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8" activeTab="4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Т-пит'!$58:$59</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Т-пит'!$60:$61</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ТП'!$C$26:$C$46</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ТП'!$A$21:$A$46</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ТП'!$E$32</definedName>
    <definedName name="pIns_P_PROCEDURE_TC_3">'Порядок ТП'!$E$36</definedName>
    <definedName name="pIns_P_PROCEDURE_TC_4">'Порядок ТП'!$E$39</definedName>
    <definedName name="pIns_P_PROCEDURE_TC_5">'Порядок ТП'!$E$46</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Т-пит'!$T$57</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Т-пит'!$GA$37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Т-пит'!$43:$54</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Т-пит'!$41:$56</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Т-пит'!$42:$55</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REESTR_IP!$A$2:$D$19</definedName>
    <definedName name="VD_LIST">REESTR_VED!$A$2:$B$8</definedName>
    <definedName name="VD_ID_LIST">REESTR_VED!$A$2:$A$8</definedName>
    <definedName name="VD_NAME_LIST">REESTR_VED!$B$2:$B$8</definedName>
    <definedName name="et_B_FHD20_1">et_union_hor!$107:$115</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<sst xmlns="http://schemas.openxmlformats.org/spreadsheetml/2006/main" count="20497" uniqueCount="4786">
  <si>
    <t xml:space="preserve"> (требуется обновление)</t>
  </si>
  <si>
    <t>Код отчёта: PP108.OPEN.INFO.PRICE.COLDVSNA.EIAS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</si>
  <si>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</si>
  <si>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</si>
  <si>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</si>
  <si>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</si>
  <si>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</si>
  <si>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</si>
  <si>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</si>
  <si>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</si>
  <si>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</si>
  <si>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</si>
  <si>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</si>
  <si>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</si>
  <si>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Удмуртская республика</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</si>
  <si>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</si>
  <si>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</si>
  <si>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</si>
  <si>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</si>
  <si>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</si>
  <si>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</si>
  <si>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</si>
  <si>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</si>
  <si>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</si>
  <si>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</si>
  <si>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</si>
  <si>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</si>
  <si>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</si>
  <si>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</si>
  <si>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</si>
  <si>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</si>
  <si>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</si>
  <si>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</si>
  <si>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</si>
  <si>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</si>
  <si>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</si>
  <si>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</si>
  <si>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30/68</t>
  </si>
  <si>
    <t>Наименование органа регулирования, принявшего решение об утверждении тарифов</t>
  </si>
  <si>
    <t>Министерство строительства, жилищно-коммунального хозяйства и энергетики УР</t>
  </si>
  <si>
    <t>Источник официального опубликования решения</t>
  </si>
  <si>
    <t>www.udmurt.ru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</si>
  <si>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</si>
  <si>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</si>
  <si>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</si>
  <si>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"РИР" (филиал в г. Глазове)</t>
  </si>
  <si>
    <t>Наименование (описание) обособленного подразделения</t>
  </si>
  <si>
    <t>ИНН</t>
  </si>
  <si>
    <t>7706757331</t>
  </si>
  <si>
    <t>КПП</t>
  </si>
  <si>
    <t>183743001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</si>
  <si>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</si>
  <si>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</si>
  <si>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</si>
  <si>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</si>
  <si>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</si>
  <si>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</si>
  <si>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</si>
  <si>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</si>
  <si>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</si>
  <si>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</si>
  <si>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</si>
  <si>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</si>
  <si>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</si>
  <si>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</si>
  <si>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</si>
  <si>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</si>
  <si>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</si>
  <si>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</si>
  <si>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427620, Удмуртская республика, г.Глазов, ул. Белова,7</t>
  </si>
  <si>
    <t>Фамилия, имя, отчество руководителя</t>
  </si>
  <si>
    <t>Корепанов Игорь Владимирович</t>
  </si>
  <si>
    <t>Ответственный за заполнение формы</t>
  </si>
  <si>
    <t>Фамилия, имя, отчество</t>
  </si>
  <si>
    <t>Зорина Ольга Сергеевна</t>
  </si>
  <si>
    <t>Должность</t>
  </si>
  <si>
    <t>Начальник отдела экономики и финансов</t>
  </si>
  <si>
    <t>Контактный телефон</t>
  </si>
  <si>
    <t>8(34141)6-09-55</t>
  </si>
  <si>
    <t>E-mail</t>
  </si>
  <si>
    <t>OSeZorina@rusatom-utilities.ru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</si>
  <si>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</si>
  <si>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</si>
  <si>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</si>
  <si>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</si>
  <si>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</si>
  <si>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</si>
  <si>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</si>
  <si>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</si>
  <si>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</si>
  <si>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</si>
  <si>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</si>
  <si>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</si>
  <si>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</si>
  <si>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</si>
  <si>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</si>
  <si>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</si>
  <si>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69</t>
  </si>
  <si>
    <t>Город Глазов</t>
  </si>
  <si>
    <t>94720000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</si>
  <si>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</si>
  <si>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</si>
  <si>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</si>
  <si>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</si>
  <si>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</si>
  <si>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</si>
  <si>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</si>
  <si>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</si>
  <si>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</si>
  <si>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</si>
  <si>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</si>
  <si>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</si>
  <si>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</si>
  <si>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</si>
  <si>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</si>
  <si>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</si>
  <si>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</si>
  <si>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</si>
  <si>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</si>
  <si>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</si>
  <si>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</si>
  <si>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</si>
  <si>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</si>
  <si>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</si>
  <si>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</si>
  <si>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</si>
  <si>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</si>
  <si>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</si>
  <si>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</si>
  <si>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</si>
  <si>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</si>
  <si>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</si>
  <si>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</si>
  <si>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</si>
  <si>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</si>
  <si>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</si>
  <si>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</si>
  <si>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</si>
  <si>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</si>
  <si>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</si>
  <si>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</si>
  <si>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</si>
  <si>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</si>
  <si>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</si>
  <si>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</si>
  <si>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</si>
  <si>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</si>
  <si>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</si>
  <si>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</si>
  <si>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</si>
  <si>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</si>
  <si>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</si>
  <si>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</si>
  <si>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</si>
  <si>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</si>
  <si>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</si>
  <si>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</si>
  <si>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</si>
  <si>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</si>
  <si>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</si>
  <si>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</si>
  <si>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</si>
  <si>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</si>
  <si>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</si>
  <si>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</si>
  <si>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</si>
  <si>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</si>
  <si>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</si>
  <si>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</si>
  <si>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</si>
  <si>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</si>
  <si>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</si>
  <si>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</si>
  <si>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</si>
  <si>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</si>
  <si>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</si>
  <si>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</si>
  <si>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</si>
  <si>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</si>
  <si>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</si>
  <si>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</si>
  <si>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</si>
  <si>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</si>
  <si>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</si>
  <si>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</si>
  <si>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</si>
  <si>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</si>
  <si>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</si>
  <si>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</si>
  <si>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</si>
  <si>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</si>
  <si>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</si>
  <si>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</si>
  <si>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</si>
  <si>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</si>
  <si>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</si>
  <si>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</si>
  <si>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</si>
  <si>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</si>
  <si>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</si>
  <si>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</si>
  <si>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</si>
  <si>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</si>
  <si>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</si>
  <si>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</si>
  <si>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</si>
  <si>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</si>
  <si>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</si>
  <si>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</si>
  <si>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</si>
  <si>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</si>
  <si>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</si>
  <si>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</si>
  <si>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</si>
  <si>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</si>
  <si>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</si>
  <si>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</si>
  <si>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</si>
  <si>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</si>
  <si>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</si>
  <si>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</si>
  <si>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</si>
  <si>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</si>
  <si>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</si>
  <si>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</si>
  <si>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</si>
  <si>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</si>
  <si>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</si>
  <si>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</si>
  <si>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</si>
  <si>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</si>
  <si>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</si>
  <si>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</si>
  <si>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</si>
  <si>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</si>
  <si>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</si>
  <si>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</si>
  <si>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</si>
  <si>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</si>
  <si>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</si>
  <si>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</si>
  <si>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</si>
  <si>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</si>
  <si>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</si>
  <si>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</si>
  <si>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</si>
  <si>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</si>
  <si>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</si>
  <si>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</si>
  <si>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</si>
  <si>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</si>
  <si>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</si>
  <si>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</si>
  <si>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</si>
  <si>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</si>
  <si>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</si>
  <si>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</si>
  <si>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</si>
  <si>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</si>
  <si>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</si>
  <si>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</si>
  <si>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</si>
  <si>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</si>
  <si>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</si>
  <si>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</si>
  <si>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</si>
  <si>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</si>
  <si>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</si>
  <si>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</si>
  <si>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</si>
  <si>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</si>
  <si>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</si>
  <si>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</si>
  <si>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</si>
  <si>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</si>
  <si>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</si>
  <si>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</si>
  <si>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</si>
  <si>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</si>
  <si>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</si>
  <si>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</si>
  <si>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</si>
  <si>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</si>
  <si>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</si>
  <si>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</si>
  <si>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</si>
  <si>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</si>
  <si>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</si>
  <si>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</si>
  <si>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</si>
  <si>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</si>
  <si>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</si>
  <si>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</si>
  <si>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</si>
  <si>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</si>
  <si>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</si>
  <si>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</si>
  <si>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</si>
  <si>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</si>
  <si>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</si>
  <si>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</si>
  <si>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</si>
  <si>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</si>
  <si>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</si>
  <si>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</si>
  <si>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</si>
  <si>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</si>
  <si>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</si>
  <si>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</si>
  <si>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</si>
  <si>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</si>
  <si>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</si>
  <si>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</si>
  <si>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</si>
  <si>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</si>
  <si>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</si>
  <si>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</si>
  <si>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</si>
  <si>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</si>
  <si>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</si>
  <si>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</si>
  <si>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</si>
  <si>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</si>
  <si>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</si>
  <si>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</si>
  <si>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</si>
  <si>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</si>
  <si>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</si>
  <si>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</si>
  <si>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</si>
  <si>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</si>
  <si>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</si>
  <si>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</si>
  <si>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</si>
  <si>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</si>
  <si>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</si>
  <si>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</si>
  <si>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</si>
  <si>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</si>
  <si>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</si>
  <si>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</si>
  <si>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</si>
  <si>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</si>
  <si>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</si>
  <si>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</si>
  <si>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</si>
  <si>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</si>
  <si>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</si>
  <si>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</si>
  <si>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</si>
  <si>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</si>
  <si>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</si>
  <si>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</si>
  <si>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</si>
  <si>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</si>
  <si>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</si>
  <si>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</si>
  <si>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</si>
  <si>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</si>
  <si>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</si>
  <si>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</si>
  <si>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</si>
  <si>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</si>
  <si>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</si>
  <si>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</si>
  <si>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</si>
  <si>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</si>
  <si>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</si>
  <si>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</si>
  <si>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</si>
  <si>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</si>
  <si>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</si>
  <si>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</si>
  <si>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</si>
  <si>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</si>
  <si>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</si>
  <si>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</si>
  <si>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</si>
  <si>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</si>
  <si>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</si>
  <si>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</si>
  <si>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</si>
  <si>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</si>
  <si>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</si>
  <si>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</si>
  <si>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</si>
  <si>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</si>
  <si>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</si>
  <si>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</si>
  <si>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</si>
  <si>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</si>
  <si>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</si>
  <si>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</si>
  <si>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</si>
  <si>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</si>
  <si>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</si>
  <si>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</si>
  <si>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</si>
  <si>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</si>
  <si>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</si>
  <si>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</si>
  <si>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</si>
  <si>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</si>
  <si>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</si>
  <si>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</si>
  <si>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</si>
  <si>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</si>
  <si>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</si>
  <si>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</si>
  <si>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</si>
  <si>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</si>
  <si>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</si>
  <si>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</si>
  <si>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</si>
  <si>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</si>
  <si>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</si>
  <si>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</si>
  <si>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</si>
  <si>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</si>
  <si>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</si>
  <si>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</si>
  <si>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</si>
  <si>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</si>
  <si>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</si>
  <si>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</si>
  <si>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</si>
  <si>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</si>
  <si>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</si>
  <si>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</si>
  <si>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</si>
  <si>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</si>
  <si>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</si>
  <si>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</si>
  <si>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</si>
  <si>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</si>
  <si>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</si>
  <si>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</si>
  <si>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</si>
  <si>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</si>
  <si>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</si>
  <si>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</si>
  <si>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</si>
  <si>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</si>
  <si>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</si>
  <si>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</si>
  <si>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</si>
  <si>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</si>
  <si>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</si>
  <si>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</si>
  <si>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</si>
  <si>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</si>
  <si>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</si>
  <si>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</si>
  <si>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</si>
  <si>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</si>
  <si>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</si>
  <si>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</si>
  <si>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</si>
  <si>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</si>
  <si>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</si>
  <si>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</si>
  <si>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</si>
  <si>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</si>
  <si>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</si>
  <si>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</si>
  <si>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</si>
  <si>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</si>
  <si>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</si>
  <si>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</si>
  <si>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</si>
  <si>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</si>
  <si>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</si>
  <si>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</si>
  <si>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</si>
  <si>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</si>
  <si>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</si>
  <si>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</si>
  <si>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</si>
  <si>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</si>
  <si>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</si>
  <si>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</si>
  <si>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</si>
  <si>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</si>
  <si>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</si>
  <si>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прочие</t>
  </si>
  <si>
    <t>Потребители, кроме населения (тарифы указаны без учета НДС)</t>
  </si>
  <si>
    <t>население</t>
  </si>
  <si>
    <t>Население (тарифы указаны с учетом НДС)</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</si>
  <si>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</si>
  <si>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</si>
  <si>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</si>
  <si>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</si>
  <si>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</si>
  <si>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</si>
  <si>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</si>
  <si>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</si>
  <si>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</si>
  <si>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</si>
  <si>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</si>
  <si>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</si>
  <si>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</si>
  <si>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</si>
  <si>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</si>
  <si>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</si>
  <si>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</si>
  <si>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</si>
  <si>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</si>
  <si>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</si>
  <si>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</si>
  <si>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</si>
  <si>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</si>
  <si>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</si>
  <si>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</si>
  <si>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</si>
  <si>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</si>
  <si>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</si>
  <si>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</si>
  <si>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</si>
  <si>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</si>
  <si>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</si>
  <si>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</si>
  <si>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</si>
  <si>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</si>
  <si>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</si>
  <si>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</si>
  <si>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</si>
  <si>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</si>
  <si>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</si>
  <si>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</si>
  <si>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</si>
  <si>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</si>
  <si>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</si>
  <si>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</si>
  <si>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</si>
  <si>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</si>
  <si>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</si>
  <si>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</si>
  <si>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</si>
  <si>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</si>
  <si>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</si>
  <si>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</si>
  <si>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</si>
  <si>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</si>
  <si>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</si>
  <si>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</si>
  <si>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</si>
  <si>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</si>
  <si>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</si>
  <si>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</si>
  <si>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</si>
  <si>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</si>
  <si>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</si>
  <si>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</si>
  <si>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</si>
  <si>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</si>
  <si>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</si>
  <si>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</si>
  <si>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</si>
  <si>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</si>
  <si>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</si>
  <si>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</si>
  <si>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</si>
  <si>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</si>
  <si>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</si>
  <si>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</si>
  <si>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</si>
  <si>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</si>
  <si>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</si>
  <si>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</si>
  <si>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</si>
  <si>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</si>
  <si>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</si>
  <si>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</si>
  <si>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</si>
  <si>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</si>
  <si>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</si>
  <si>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</si>
  <si>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</si>
  <si>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</si>
  <si>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</si>
  <si>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</si>
  <si>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</si>
  <si>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</si>
  <si>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</si>
  <si>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</si>
  <si>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</si>
  <si>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</si>
  <si>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</si>
  <si>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</si>
  <si>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</si>
  <si>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</si>
  <si>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</si>
  <si>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</si>
  <si>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</si>
  <si>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</si>
  <si>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</si>
  <si>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</si>
  <si>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</si>
  <si>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</si>
  <si>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</si>
  <si>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</si>
  <si>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</si>
  <si>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</si>
  <si>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</si>
  <si>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</si>
  <si>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</si>
  <si>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</si>
  <si>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</si>
  <si>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</si>
  <si>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</si>
  <si>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</si>
  <si>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</si>
  <si>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</si>
  <si>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</si>
  <si>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</si>
  <si>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</si>
  <si>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</si>
  <si>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</si>
  <si>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</si>
  <si>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</si>
  <si>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</si>
  <si>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</si>
  <si>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</si>
  <si>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</si>
  <si>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</si>
  <si>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</si>
  <si>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</si>
  <si>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</si>
  <si>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</si>
  <si>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</si>
  <si>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</si>
  <si>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</si>
  <si>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</si>
  <si>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</si>
  <si>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</si>
  <si>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</si>
  <si>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</si>
  <si>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</si>
  <si>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</si>
  <si>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</si>
  <si>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</si>
  <si>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</si>
  <si>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</si>
  <si>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</si>
  <si>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</si>
  <si>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</si>
  <si>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</si>
  <si>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</si>
  <si>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</si>
  <si>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</si>
  <si>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</si>
  <si>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</si>
  <si>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</si>
  <si>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</si>
  <si>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</si>
  <si>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</si>
  <si>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</si>
  <si>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</si>
  <si>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</si>
  <si>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</si>
  <si>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</si>
  <si>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</si>
  <si>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</si>
  <si>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</si>
  <si>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</si>
  <si>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</si>
  <si>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</si>
  <si>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</si>
  <si>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</si>
  <si>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</si>
  <si>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</si>
  <si>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</si>
  <si>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</si>
  <si>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</si>
  <si>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</si>
  <si>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</si>
  <si>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</si>
  <si>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</si>
  <si>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</si>
  <si>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</si>
  <si>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</si>
  <si>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</si>
  <si>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</si>
  <si>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</si>
  <si>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</si>
  <si>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</si>
  <si>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</si>
  <si>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</si>
  <si>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</si>
  <si>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</si>
  <si>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</si>
  <si>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</si>
  <si>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</si>
  <si>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</si>
  <si>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</si>
  <si>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</si>
  <si>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</si>
  <si>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</si>
  <si>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</si>
  <si>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</si>
  <si>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</si>
  <si>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</si>
  <si>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</si>
  <si>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</si>
  <si>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</si>
  <si>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</si>
  <si>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</si>
  <si>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</si>
  <si>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</si>
  <si>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</si>
  <si>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</si>
  <si>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</si>
  <si>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</si>
  <si>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</si>
  <si>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</si>
  <si>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</si>
  <si>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</si>
  <si>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</si>
  <si>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</si>
  <si>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</si>
  <si>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</si>
  <si>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</si>
  <si>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</si>
  <si>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</si>
  <si>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</si>
  <si>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</si>
  <si>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</si>
  <si>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</si>
  <si>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</si>
  <si>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</si>
  <si>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</si>
  <si>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</si>
  <si>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</si>
  <si>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</si>
  <si>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</si>
  <si>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</si>
  <si>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</si>
  <si>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</si>
  <si>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</si>
  <si>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</si>
  <si>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</si>
  <si>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</si>
  <si>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</si>
  <si>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</si>
  <si>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</si>
  <si>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</si>
  <si>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</si>
  <si>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</si>
  <si>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</si>
  <si>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</si>
  <si>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</si>
  <si>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</si>
  <si>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</si>
  <si>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</si>
  <si>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</si>
  <si>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</si>
  <si>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</si>
  <si>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</si>
  <si>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</si>
  <si>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</si>
  <si>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</si>
  <si>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</si>
  <si>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</si>
  <si>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</si>
  <si>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</si>
  <si>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</si>
  <si>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</si>
  <si>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</si>
  <si>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</si>
  <si>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</si>
  <si>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</si>
  <si>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</si>
  <si>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</si>
  <si>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</si>
  <si>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</si>
  <si>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</si>
  <si>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</si>
  <si>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</si>
  <si>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</si>
  <si>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</si>
  <si>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</si>
  <si>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</si>
  <si>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</si>
  <si>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</si>
  <si>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</si>
  <si>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</si>
  <si>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</si>
  <si>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</si>
  <si>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</si>
  <si>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</si>
  <si>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</si>
  <si>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</si>
  <si>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</si>
  <si>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</si>
  <si>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</si>
  <si>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</si>
  <si>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</si>
  <si>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</si>
  <si>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</si>
  <si>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</si>
  <si>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</si>
  <si>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</si>
  <si>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</si>
  <si>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</si>
  <si>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</si>
  <si>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</si>
  <si>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</si>
  <si>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</si>
  <si>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</si>
  <si>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</si>
  <si>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</si>
  <si>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</si>
  <si>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</si>
  <si>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</si>
  <si>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</si>
  <si>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</si>
  <si>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</si>
  <si>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</si>
  <si>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</si>
  <si>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</si>
  <si>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</si>
  <si>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</si>
  <si>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</si>
  <si>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</si>
  <si>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</si>
  <si>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</si>
  <si>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</si>
  <si>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</si>
  <si>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</si>
  <si>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</si>
  <si>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</si>
  <si>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</si>
  <si>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</si>
  <si>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</si>
  <si>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</si>
  <si>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</si>
  <si>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</si>
  <si>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</si>
  <si>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</si>
  <si>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</si>
  <si>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</si>
  <si>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</si>
  <si>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</si>
  <si>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</si>
  <si>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</si>
  <si>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</si>
  <si>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</si>
  <si>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</si>
  <si>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</si>
  <si>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</si>
  <si>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</si>
  <si>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</si>
  <si>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</si>
  <si>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</si>
  <si>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</si>
  <si>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</si>
  <si>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</si>
  <si>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</si>
  <si>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</si>
  <si>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</si>
  <si>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</si>
  <si>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</si>
  <si>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</si>
  <si>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</si>
  <si>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</si>
  <si>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</si>
  <si>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</si>
  <si>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</si>
  <si>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</si>
  <si>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</si>
  <si>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</si>
  <si>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</si>
  <si>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</si>
  <si>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</si>
  <si>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</si>
  <si>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</si>
  <si>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</si>
  <si>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</si>
  <si>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</si>
  <si>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</si>
  <si>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</si>
  <si>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</si>
  <si>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</si>
  <si>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</si>
  <si>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</si>
  <si>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</si>
  <si>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</si>
  <si>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</si>
  <si>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</si>
  <si>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</si>
  <si>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</si>
  <si>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</si>
  <si>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</si>
  <si>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</si>
  <si>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</si>
  <si>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</si>
  <si>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</si>
  <si>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</si>
  <si>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</si>
  <si>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</si>
  <si>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</si>
  <si>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</si>
  <si>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</si>
  <si>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</si>
  <si>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</si>
  <si>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</si>
  <si>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</si>
  <si>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</si>
  <si>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</si>
  <si>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</si>
  <si>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</si>
  <si>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</si>
  <si>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</si>
  <si>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</si>
  <si>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</si>
  <si>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</si>
  <si>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</si>
  <si>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</si>
  <si>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</si>
  <si>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</si>
  <si>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</si>
  <si>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</si>
  <si>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</si>
  <si>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</si>
  <si>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</si>
  <si>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</si>
  <si>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</si>
  <si>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</si>
  <si>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</si>
  <si>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</si>
  <si>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</si>
  <si>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</si>
  <si>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</si>
  <si>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</si>
  <si>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</si>
  <si>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</si>
  <si>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</si>
  <si>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</si>
  <si>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</si>
  <si>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</si>
  <si>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</si>
  <si>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</si>
  <si>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</si>
  <si>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</si>
  <si>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</si>
  <si>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</si>
  <si>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</si>
  <si>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</si>
  <si>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</si>
  <si>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</si>
  <si>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</si>
  <si>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</si>
  <si>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</si>
  <si>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</si>
  <si>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</si>
  <si>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</si>
  <si>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</si>
  <si>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</si>
  <si>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</si>
  <si>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</si>
  <si>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</si>
  <si>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</si>
  <si>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</si>
  <si>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</si>
  <si>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</si>
  <si>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</si>
  <si>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</si>
  <si>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</si>
  <si>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</si>
  <si>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</si>
  <si>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</si>
  <si>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</si>
  <si>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</si>
  <si>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</si>
  <si>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</si>
  <si>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</si>
  <si>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</si>
  <si>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</si>
  <si>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</si>
  <si>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</si>
  <si>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</si>
  <si>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</si>
  <si>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</si>
  <si>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</si>
  <si>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</si>
  <si>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</si>
  <si>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</si>
  <si>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</si>
  <si>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</si>
  <si>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</si>
  <si>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</si>
  <si>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</si>
  <si>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</si>
  <si>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</si>
  <si>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</si>
  <si>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</si>
  <si>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</si>
  <si>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</si>
  <si>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</si>
  <si>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</si>
  <si>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</si>
  <si>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</si>
  <si>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</si>
  <si>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</si>
  <si>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</si>
  <si>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</si>
  <si>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</si>
  <si>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</si>
  <si>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</si>
  <si>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</si>
  <si>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</si>
  <si>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</si>
  <si>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</si>
  <si>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</si>
  <si>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</si>
  <si>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</si>
  <si>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</si>
  <si>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</si>
  <si>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</si>
  <si>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</si>
  <si>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</si>
  <si>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</si>
  <si>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</si>
  <si>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</si>
  <si>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</si>
  <si>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</si>
  <si>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</si>
  <si>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</si>
  <si>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</si>
  <si>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</si>
  <si>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</si>
  <si>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</si>
  <si>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</si>
  <si>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</si>
  <si>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</si>
  <si>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https://rosatom-teplo.ru</t>
  </si>
  <si>
    <t>https://portal.eias.ru/Portal/DownloadPage.aspx?type=12&amp;guid=e5f7c001-f18a-4887-8dde-25351a471c01</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</si>
  <si>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</si>
  <si>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https://portal.eias.ru/Portal/DownloadPage.aspx?type=12&amp;guid=bb7f1c73-88a1-4648-97cf-ba45fb6aec51</t>
  </si>
  <si>
    <t>Перечень документов</t>
  </si>
  <si>
    <t>https://portal.eias.ru/Portal/DownloadPage.aspx?type=12&amp;guid=ca40a283-20e1-40bd-8f4c-859a428b2a9f</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</si>
  <si>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</si>
  <si>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 416-ФЗ от 07.12.2011 «О водоснабжении и водоотведении»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</si>
  <si>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</si>
  <si>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 645 от 29.07.2013 «Об утверждении типовых договоров в области холодного водоснабжения и водоотведения»</t>
  </si>
  <si>
    <t>Правила (Постановление Правительства РФ от 30.11.2021 №21/30)</t>
  </si>
  <si>
    <t>5.1.1</t>
  </si>
  <si>
    <t>8(34141)91817 Щепин Евгений Андреевич</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</si>
  <si>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</si>
  <si>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</si>
  <si>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Удмуртская Республика, г. Глазов, ул. Интернациональная, 2. Кабинет 204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</si>
  <si>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</si>
  <si>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</si>
  <si>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</si>
  <si>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Вторник: с 08:00 до 17:00</t>
  </si>
  <si>
    <t>5.3.3</t>
  </si>
  <si>
    <t>Среда: с 08:00 до 17:00</t>
  </si>
  <si>
    <t>5.3.4</t>
  </si>
  <si>
    <t>Четверг: с 08:00 до 17:00</t>
  </si>
  <si>
    <t>5.3.5</t>
  </si>
  <si>
    <t>Пятница: с 08:00 до 16:00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</si>
  <si>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</si>
  <si>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</si>
  <si>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</si>
  <si>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</si>
  <si>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</si>
  <si>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</si>
  <si>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</si>
  <si>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</si>
  <si>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</si>
  <si>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</si>
  <si>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</si>
  <si>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</si>
  <si>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</si>
  <si>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</si>
  <si>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</si>
  <si>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</si>
  <si>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</si>
  <si>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</si>
  <si>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</si>
  <si>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</si>
  <si>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</si>
  <si>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</si>
  <si>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</si>
  <si>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</si>
  <si>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</si>
  <si>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</si>
  <si>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</si>
  <si>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</si>
  <si>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</si>
  <si>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</si>
  <si>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</si>
  <si>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</si>
  <si>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</si>
  <si>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</si>
  <si>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</si>
  <si>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</si>
  <si>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</si>
  <si>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</si>
  <si>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</si>
  <si>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</si>
  <si>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</si>
  <si>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</si>
  <si>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</si>
  <si>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</si>
  <si>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</si>
  <si>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</si>
  <si>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</si>
  <si>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</si>
  <si>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</si>
  <si>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</si>
  <si>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</si>
  <si>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</si>
  <si>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</si>
  <si>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</si>
  <si>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</si>
  <si>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</si>
  <si>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</si>
  <si>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</si>
  <si>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</si>
  <si>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</si>
  <si>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</si>
  <si>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</si>
  <si>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</si>
  <si>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</si>
  <si>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</si>
  <si>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</si>
  <si>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</si>
  <si>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</si>
  <si>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</si>
  <si>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</si>
  <si>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</si>
  <si>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</si>
  <si>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</si>
  <si>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</si>
  <si>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</si>
  <si>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</si>
  <si>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</si>
  <si>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</si>
  <si>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</si>
  <si>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</si>
  <si>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</si>
  <si>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</si>
  <si>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</si>
  <si>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</si>
  <si>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</si>
  <si>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</si>
  <si>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</si>
  <si>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</si>
  <si>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</si>
  <si>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</si>
  <si>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</si>
  <si>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</si>
  <si>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</si>
  <si>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</si>
  <si>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</si>
  <si>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</si>
  <si>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</si>
  <si>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</si>
  <si>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</si>
  <si>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</si>
  <si>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</si>
  <si>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</si>
  <si>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</si>
  <si>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</si>
  <si>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</si>
  <si>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</si>
  <si>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</si>
  <si>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</si>
  <si>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</si>
  <si>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</si>
  <si>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</si>
  <si>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</si>
  <si>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</si>
  <si>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</si>
  <si>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</si>
  <si>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</si>
  <si>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</si>
  <si>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</si>
  <si>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</si>
  <si>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</si>
  <si>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</si>
  <si>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</si>
  <si>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</si>
  <si>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</si>
  <si>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</si>
  <si>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</si>
  <si>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</si>
  <si>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</si>
  <si>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</si>
  <si>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</si>
  <si>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</si>
  <si>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</si>
  <si>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</si>
  <si>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</si>
  <si>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</si>
  <si>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</si>
  <si>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</si>
  <si>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</si>
  <si>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</si>
  <si>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</si>
  <si>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</si>
  <si>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</si>
  <si>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</si>
  <si>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</si>
  <si>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</si>
  <si>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</si>
  <si>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</si>
  <si>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</si>
  <si>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</si>
  <si>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</si>
  <si>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</si>
  <si>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</si>
  <si>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</si>
  <si>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</si>
  <si>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</si>
  <si>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</si>
  <si>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</si>
  <si>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</si>
  <si>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</si>
  <si>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</si>
  <si>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</si>
  <si>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</si>
  <si>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</si>
  <si>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</si>
  <si>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</si>
  <si>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</si>
  <si>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</si>
  <si>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</si>
  <si>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</si>
  <si>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</si>
  <si>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</si>
  <si>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</si>
  <si>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</si>
  <si>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</si>
  <si>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</si>
  <si>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</si>
  <si>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</si>
  <si>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</si>
  <si>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</si>
  <si>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</si>
  <si>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</si>
  <si>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</si>
  <si>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</si>
  <si>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</si>
  <si>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</si>
  <si>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</si>
  <si>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</si>
  <si>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</si>
  <si>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</si>
  <si>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</si>
  <si>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</si>
  <si>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</si>
  <si>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</si>
  <si>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</si>
  <si>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</si>
  <si>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</si>
  <si>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</si>
  <si>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</si>
  <si>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</si>
  <si>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</si>
  <si>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</si>
  <si>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</si>
  <si>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</si>
  <si>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</si>
  <si>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</si>
  <si>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</si>
  <si>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</si>
  <si>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</si>
  <si>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</si>
  <si>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</si>
  <si>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</si>
  <si>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</si>
  <si>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</si>
  <si>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</si>
  <si>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</si>
  <si>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</si>
  <si>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</si>
  <si>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</si>
  <si>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</si>
  <si>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</si>
  <si>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</si>
  <si>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</si>
  <si>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</si>
  <si>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</si>
  <si>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</si>
  <si>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</si>
  <si>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</si>
  <si>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</si>
  <si>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</si>
  <si>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</si>
  <si>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</si>
  <si>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</si>
  <si>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</si>
  <si>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</si>
  <si>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</si>
  <si>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</si>
  <si>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</si>
  <si>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</si>
  <si>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</si>
  <si>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</si>
  <si>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</si>
  <si>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</si>
  <si>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</si>
  <si>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</si>
  <si>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</si>
  <si>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</si>
  <si>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</si>
  <si>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</si>
  <si>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</si>
  <si>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</si>
  <si>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</si>
  <si>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</si>
  <si>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</si>
  <si>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</si>
  <si>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</si>
  <si>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</si>
  <si>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</si>
  <si>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</si>
  <si>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</si>
  <si>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</si>
  <si>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</si>
  <si>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</si>
  <si>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</si>
  <si>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</si>
  <si>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</si>
  <si>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</si>
  <si>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</si>
  <si>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</si>
  <si>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</si>
  <si>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</si>
  <si>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</si>
  <si>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</si>
  <si>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</si>
  <si>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</si>
  <si>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</si>
  <si>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</si>
  <si>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</si>
  <si>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</si>
  <si>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</si>
  <si>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</si>
  <si>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</si>
  <si>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</si>
  <si>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</si>
  <si>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</si>
  <si>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</si>
  <si>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</si>
  <si>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</si>
  <si>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</si>
  <si>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</si>
  <si>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</si>
  <si>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</si>
  <si>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</si>
  <si>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</si>
  <si>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</si>
  <si>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</si>
  <si>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</si>
  <si>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</si>
  <si>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</si>
  <si>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</si>
  <si>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</si>
  <si>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</si>
  <si>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</si>
  <si>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</si>
  <si>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</si>
  <si>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</si>
  <si>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</si>
  <si>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</si>
  <si>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</si>
  <si>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</si>
  <si>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</si>
  <si>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</si>
  <si>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</si>
  <si>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</si>
  <si>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</si>
  <si>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</si>
  <si>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</si>
  <si>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</si>
  <si>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</si>
  <si>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</si>
  <si>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</si>
  <si>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</si>
  <si>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</si>
  <si>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</si>
  <si>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</si>
  <si>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</si>
  <si>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</si>
  <si>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</si>
  <si>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</si>
  <si>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</si>
  <si>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</si>
  <si>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</si>
  <si>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</si>
  <si>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</si>
  <si>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</si>
  <si>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</si>
  <si>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</si>
  <si>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</si>
  <si>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</si>
  <si>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</si>
  <si>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</si>
  <si>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</si>
  <si>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</si>
  <si>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</si>
  <si>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</si>
  <si>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</si>
  <si>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</si>
  <si>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</si>
  <si>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</si>
  <si>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</si>
  <si>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</si>
  <si>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</si>
  <si>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</si>
  <si>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</si>
  <si>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</si>
  <si>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</si>
  <si>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</si>
  <si>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</si>
  <si>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</si>
  <si>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</si>
  <si>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</si>
  <si>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</si>
  <si>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</si>
  <si>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</si>
  <si>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</si>
  <si>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</si>
  <si>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</si>
  <si>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</si>
  <si>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</si>
  <si>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</si>
  <si>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</si>
  <si>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</si>
  <si>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</si>
  <si>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</si>
  <si>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</si>
  <si>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</si>
  <si>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</si>
  <si>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</si>
  <si>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</si>
  <si>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</si>
  <si>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</si>
  <si>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</si>
  <si>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</si>
  <si>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</si>
  <si>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</si>
  <si>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</si>
  <si>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</si>
  <si>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</si>
  <si>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</si>
  <si>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</si>
  <si>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</si>
  <si>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</si>
  <si>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</si>
  <si>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</si>
  <si>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</si>
  <si>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</si>
  <si>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</si>
  <si>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</si>
  <si>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</si>
  <si>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</si>
  <si>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</si>
  <si>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</si>
  <si>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</si>
  <si>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</si>
  <si>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</si>
  <si>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</si>
  <si>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</si>
  <si>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</si>
  <si>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</si>
  <si>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</si>
  <si>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</si>
  <si>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</si>
  <si>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</si>
  <si>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</si>
  <si>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</si>
  <si>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</si>
  <si>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</si>
  <si>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</si>
  <si>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</si>
  <si>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</si>
  <si>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</si>
  <si>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</si>
  <si>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</si>
  <si>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</si>
  <si>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</si>
  <si>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</si>
  <si>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</si>
  <si>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</si>
  <si>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</si>
  <si>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</si>
  <si>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</si>
  <si>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</si>
  <si>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</si>
  <si>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</si>
  <si>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</si>
  <si>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</si>
  <si>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</si>
  <si>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</si>
  <si>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</si>
  <si>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</si>
  <si>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</si>
  <si>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</si>
  <si>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</si>
  <si>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</si>
  <si>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</si>
  <si>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</si>
  <si>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</si>
  <si>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</si>
  <si>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</si>
  <si>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</si>
  <si>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</si>
  <si>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</si>
  <si>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</si>
  <si>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</si>
  <si>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</si>
  <si>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</si>
  <si>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</si>
  <si>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</si>
  <si>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</si>
  <si>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</si>
  <si>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</si>
  <si>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</si>
  <si>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</si>
  <si>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</si>
  <si>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</si>
  <si>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</si>
  <si>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</si>
  <si>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</si>
  <si>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</si>
  <si>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</si>
  <si>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</si>
  <si>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</si>
  <si>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</si>
  <si>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</si>
  <si>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</si>
  <si>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</si>
  <si>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</si>
  <si>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</si>
  <si>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</si>
  <si>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</si>
  <si>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</si>
  <si>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</si>
  <si>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</si>
  <si>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</si>
  <si>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</si>
  <si>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</si>
  <si>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</si>
  <si>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</si>
  <si>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</si>
  <si>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</si>
  <si>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</si>
  <si>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</si>
  <si>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</si>
  <si>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</si>
  <si>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</si>
  <si>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</si>
  <si>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</si>
  <si>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</si>
  <si>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</si>
  <si>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</si>
  <si>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</si>
  <si>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</si>
  <si>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</si>
  <si>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</si>
  <si>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</si>
  <si>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</si>
  <si>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</si>
  <si>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</si>
  <si>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</si>
  <si>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</si>
  <si>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</si>
  <si>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</si>
  <si>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</si>
  <si>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</si>
  <si>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</si>
  <si>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</si>
  <si>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</si>
  <si>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</si>
  <si>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</si>
  <si>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</si>
  <si>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</si>
  <si>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</si>
  <si>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</si>
  <si>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</si>
  <si>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</si>
  <si>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</si>
  <si>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</si>
  <si>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</si>
  <si>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</si>
  <si>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</si>
  <si>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</si>
  <si>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</si>
  <si>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</si>
  <si>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</si>
  <si>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</si>
  <si>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</si>
  <si>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</si>
  <si>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</si>
  <si>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</si>
  <si>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</si>
  <si>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</si>
  <si>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</si>
  <si>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</si>
  <si>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</si>
  <si>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</si>
  <si>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</si>
  <si>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</si>
  <si>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</si>
  <si>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</si>
  <si>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</si>
  <si>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</si>
  <si>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</si>
  <si>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</si>
  <si>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</si>
  <si>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</si>
  <si>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</si>
  <si>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</si>
  <si>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</si>
  <si>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</si>
  <si>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</si>
  <si>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</si>
  <si>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</si>
  <si>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</si>
  <si>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</si>
  <si>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</si>
  <si>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</si>
  <si>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</si>
  <si>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</si>
  <si>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</si>
  <si>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</si>
  <si>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</si>
  <si>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</si>
  <si>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</si>
  <si>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</si>
  <si>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</si>
  <si>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</si>
  <si>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</si>
  <si>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</si>
  <si>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</si>
  <si>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</si>
  <si>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</si>
  <si>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</si>
  <si>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</si>
  <si>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</si>
  <si>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</si>
  <si>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</si>
  <si>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</si>
  <si>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</si>
  <si>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</si>
  <si>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</si>
  <si>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</si>
  <si>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</si>
  <si>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</si>
  <si>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</si>
  <si>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</si>
  <si>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</si>
  <si>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</si>
  <si>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</si>
  <si>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</si>
  <si>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</si>
  <si>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</si>
  <si>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</si>
  <si>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</si>
  <si>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</si>
  <si>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</si>
  <si>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</si>
  <si>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</si>
  <si>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</si>
  <si>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</si>
  <si>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</si>
  <si>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</si>
  <si>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</si>
  <si>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</si>
  <si>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</si>
  <si>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</si>
  <si>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</si>
  <si>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</si>
  <si>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</si>
  <si>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</si>
  <si>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</si>
  <si>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</si>
  <si>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</si>
  <si>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</si>
  <si>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</si>
  <si>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</si>
  <si>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</si>
  <si>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</si>
  <si>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</si>
  <si>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</si>
  <si>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</si>
  <si>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</si>
  <si>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</si>
  <si>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</si>
  <si>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</si>
  <si>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</si>
  <si>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</si>
  <si>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</si>
  <si>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</si>
  <si>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</si>
  <si>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</si>
  <si>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</si>
  <si>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</si>
  <si>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</si>
  <si>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</si>
  <si>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</si>
  <si>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</si>
  <si>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</si>
  <si>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</si>
  <si>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</si>
  <si>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</si>
  <si>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</si>
  <si>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</si>
  <si>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</si>
  <si>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</si>
  <si>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</si>
  <si>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</si>
  <si>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</si>
  <si>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</si>
  <si>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</si>
  <si>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</si>
  <si>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</si>
  <si>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</si>
  <si>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</si>
  <si>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</si>
  <si>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</si>
  <si>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</si>
  <si>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</si>
  <si>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</si>
  <si>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</si>
  <si>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</si>
  <si>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</si>
  <si>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</si>
  <si>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</si>
  <si>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</si>
  <si>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</si>
  <si>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</si>
  <si>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</si>
  <si>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</si>
  <si>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</si>
  <si>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</si>
  <si>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</si>
  <si>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</si>
  <si>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</si>
  <si>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</si>
  <si>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</si>
  <si>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</si>
  <si>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</si>
  <si>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</si>
  <si>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</si>
  <si>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</si>
  <si>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</si>
  <si>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</si>
  <si>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</si>
  <si>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</si>
  <si>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</si>
  <si>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</si>
  <si>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</si>
  <si>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</si>
  <si>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</si>
  <si>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</si>
  <si>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</si>
  <si>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</si>
  <si>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</si>
  <si>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</si>
  <si>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</si>
  <si>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</si>
  <si>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</si>
  <si>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</si>
  <si>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</si>
  <si>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</si>
  <si>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</si>
  <si>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</si>
  <si>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</si>
  <si>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</si>
  <si>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</si>
  <si>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</si>
  <si>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</si>
  <si>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</si>
  <si>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</si>
  <si>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</si>
  <si>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</si>
  <si>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</si>
  <si>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</si>
  <si>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</si>
  <si>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</si>
  <si>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</si>
  <si>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</si>
  <si>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</si>
  <si>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</si>
  <si>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</si>
  <si>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</si>
  <si>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</si>
  <si>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</si>
  <si>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</si>
  <si>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</si>
  <si>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</si>
  <si>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</si>
  <si>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</si>
  <si>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</si>
  <si>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</si>
  <si>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</si>
  <si>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</si>
  <si>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</si>
  <si>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</si>
  <si>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</si>
  <si>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</si>
  <si>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</si>
  <si>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</si>
  <si>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</si>
  <si>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</si>
  <si>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</si>
  <si>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</si>
  <si>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</si>
  <si>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</si>
  <si>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</si>
  <si>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</si>
  <si>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</si>
  <si>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</si>
  <si>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</si>
  <si>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</si>
  <si>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</si>
  <si>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</si>
  <si>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</si>
  <si>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</si>
  <si>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</si>
  <si>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</si>
  <si>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</si>
  <si>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</si>
  <si>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</si>
  <si>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</si>
  <si>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</si>
  <si>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</si>
  <si>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</si>
  <si>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</si>
  <si>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</si>
  <si>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</si>
  <si>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</si>
  <si>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</si>
  <si>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</si>
  <si>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</si>
  <si>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</si>
  <si>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</si>
  <si>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</si>
  <si>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</si>
  <si>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</si>
  <si>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</si>
  <si>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</si>
  <si>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</si>
  <si>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</si>
  <si>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</si>
  <si>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</si>
  <si>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</si>
  <si>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</si>
  <si>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</si>
  <si>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</si>
  <si>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</si>
  <si>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</si>
  <si>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</si>
  <si>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</si>
  <si>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</si>
  <si>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</si>
  <si>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</si>
  <si>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</si>
  <si>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</si>
  <si>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</si>
  <si>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</si>
  <si>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</si>
  <si>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</si>
  <si>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</si>
  <si>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</si>
  <si>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</si>
  <si>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</si>
  <si>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</si>
  <si>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</si>
  <si>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</si>
  <si>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</si>
  <si>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</si>
  <si>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</si>
  <si>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</si>
  <si>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</si>
  <si>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</si>
  <si>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</si>
  <si>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</si>
  <si>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</si>
  <si>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</si>
  <si>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</si>
  <si>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</si>
  <si>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</si>
  <si>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</si>
  <si>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</si>
  <si>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</si>
  <si>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</si>
  <si>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</si>
  <si>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</si>
  <si>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</si>
  <si>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</si>
  <si>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</si>
  <si>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</si>
  <si>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</si>
  <si>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</si>
  <si>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</si>
  <si>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</si>
  <si>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</si>
  <si>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</si>
  <si>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</si>
  <si>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</si>
  <si>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</si>
  <si>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</si>
  <si>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</si>
  <si>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</si>
  <si>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</si>
  <si>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</si>
  <si>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</si>
  <si>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</si>
  <si>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</si>
  <si>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</si>
  <si>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</si>
  <si>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</si>
  <si>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</si>
  <si>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</si>
  <si>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</si>
  <si>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</si>
  <si>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</si>
  <si>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</si>
  <si>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</si>
  <si>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</si>
  <si>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</si>
  <si>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</si>
  <si>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</si>
  <si>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</si>
  <si>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</si>
  <si>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</si>
  <si>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</si>
  <si>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</si>
  <si>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</si>
  <si>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</si>
  <si>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</si>
  <si>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</si>
  <si>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</si>
  <si>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</si>
  <si>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</si>
  <si>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</si>
  <si>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</si>
  <si>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</si>
  <si>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</si>
  <si>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</si>
  <si>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</si>
  <si>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</si>
  <si>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</si>
  <si>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</si>
  <si>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</si>
  <si>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</si>
  <si>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</si>
  <si>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</si>
  <si>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</si>
  <si>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</si>
  <si>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</si>
  <si>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</si>
  <si>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</si>
  <si>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</si>
  <si>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</si>
  <si>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</si>
  <si>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</si>
  <si>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</si>
  <si>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</si>
  <si>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</si>
  <si>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</si>
  <si>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</si>
  <si>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</si>
  <si>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</si>
  <si>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</si>
  <si>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</si>
  <si>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</si>
  <si>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</si>
  <si>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</si>
  <si>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</si>
  <si>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</si>
  <si>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</si>
  <si>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</si>
  <si>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</si>
  <si>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</si>
  <si>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</si>
  <si>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</si>
  <si>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</si>
  <si>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</si>
  <si>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</si>
  <si>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</si>
  <si>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</si>
  <si>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</si>
  <si>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</si>
  <si>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</si>
  <si>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</si>
  <si>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</si>
  <si>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</si>
  <si>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</si>
  <si>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</si>
  <si>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</si>
  <si>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</si>
  <si>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</si>
  <si>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</si>
  <si>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</si>
  <si>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</si>
  <si>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</si>
  <si>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</si>
  <si>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</si>
  <si>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</si>
  <si>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</si>
  <si>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</si>
  <si>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</si>
  <si>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</si>
  <si>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</si>
  <si>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</si>
  <si>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</si>
  <si>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</si>
  <si>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</si>
  <si>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</si>
  <si>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</si>
  <si>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</si>
  <si>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</si>
  <si>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</si>
  <si>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</si>
  <si>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</si>
  <si>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</si>
  <si>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</si>
  <si>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</si>
  <si>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</si>
  <si>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</si>
  <si>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</si>
  <si>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</si>
  <si>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</si>
  <si>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</si>
  <si>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</si>
  <si>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</si>
  <si>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</si>
  <si>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</si>
  <si>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</si>
  <si>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</si>
  <si>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</si>
  <si>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</si>
  <si>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</si>
  <si>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</si>
  <si>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</si>
  <si>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</si>
  <si>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</si>
  <si>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</si>
  <si>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</si>
  <si>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</si>
  <si>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</si>
  <si>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</si>
  <si>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</si>
  <si>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</si>
  <si>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</si>
  <si>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</si>
  <si>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</si>
  <si>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</si>
  <si>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</si>
  <si>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</si>
  <si>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</si>
  <si>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</si>
  <si>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</si>
  <si>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</si>
  <si>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</si>
  <si>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</si>
  <si>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</si>
  <si>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</si>
  <si>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</si>
  <si>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</si>
  <si>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</si>
  <si>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</si>
  <si>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</si>
  <si>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</si>
  <si>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</si>
  <si>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</si>
  <si>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</si>
  <si>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</si>
  <si>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</si>
  <si>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</si>
  <si>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</si>
  <si>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</si>
  <si>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</si>
  <si>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</si>
  <si>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</si>
  <si>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</si>
  <si>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</si>
  <si>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</si>
  <si>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</si>
  <si>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</si>
  <si>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</si>
  <si>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</si>
  <si>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</si>
  <si>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</si>
  <si>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</si>
  <si>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</si>
  <si>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</si>
  <si>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</si>
  <si>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</si>
  <si>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</si>
  <si>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</si>
  <si>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</si>
  <si>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</si>
  <si>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</si>
  <si>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</si>
  <si>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</si>
  <si>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</si>
  <si>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</si>
  <si>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</si>
  <si>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</si>
  <si>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</si>
  <si>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</si>
  <si>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</si>
  <si>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</si>
  <si>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</si>
  <si>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</si>
  <si>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</si>
  <si>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</si>
  <si>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</si>
  <si>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</si>
  <si>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</si>
  <si>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</si>
  <si>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</si>
  <si>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</si>
  <si>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</si>
  <si>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</si>
  <si>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</si>
  <si>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</si>
  <si>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</si>
  <si>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</si>
  <si>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</si>
  <si>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</si>
  <si>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</si>
  <si>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</si>
  <si>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</si>
  <si>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</si>
  <si>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</si>
  <si>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</si>
  <si>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</si>
  <si>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</si>
  <si>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</si>
  <si>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</si>
  <si>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</si>
  <si>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</si>
  <si>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</si>
  <si>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</si>
  <si>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</si>
  <si>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</si>
  <si>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</si>
  <si>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</si>
  <si>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</si>
  <si>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</si>
  <si>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</si>
  <si>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</si>
  <si>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</si>
  <si>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</si>
  <si>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</si>
  <si>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</si>
  <si>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</si>
  <si>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</si>
  <si>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</si>
  <si>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</si>
  <si>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</si>
  <si>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</si>
  <si>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</si>
  <si>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</si>
  <si>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</si>
  <si>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</si>
  <si>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</si>
  <si>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</si>
  <si>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</si>
  <si>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</si>
  <si>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</si>
  <si>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</si>
  <si>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</si>
  <si>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</si>
  <si>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</si>
  <si>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</si>
  <si>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</si>
  <si>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</si>
  <si>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</si>
  <si>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</si>
  <si>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</si>
  <si>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</si>
  <si>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</si>
  <si>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</si>
  <si>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</si>
  <si>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</si>
  <si>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2631</t>
  </si>
  <si>
    <t>26354586</t>
  </si>
  <si>
    <t>АО "АРЗ "Можгинский"</t>
  </si>
  <si>
    <t>1830000070</t>
  </si>
  <si>
    <t>183201001</t>
  </si>
  <si>
    <t>26354571</t>
  </si>
  <si>
    <t>АО "Воткинский завод"</t>
  </si>
  <si>
    <t>1828020110</t>
  </si>
  <si>
    <t>785050001</t>
  </si>
  <si>
    <t>30407160</t>
  </si>
  <si>
    <t>АО "ГУ ЖКХ"</t>
  </si>
  <si>
    <t>5116000922</t>
  </si>
  <si>
    <t>183845001</t>
  </si>
  <si>
    <t>26560525</t>
  </si>
  <si>
    <t>511601001</t>
  </si>
  <si>
    <t>13-05-2009 00:00:00</t>
  </si>
  <si>
    <t>26449642</t>
  </si>
  <si>
    <t>АО "ДП "Ижевское"</t>
  </si>
  <si>
    <t>1831125762</t>
  </si>
  <si>
    <t>183101001</t>
  </si>
  <si>
    <t>26354607</t>
  </si>
  <si>
    <t>АО "ИПОПАТ"</t>
  </si>
  <si>
    <t>1833046700</t>
  </si>
  <si>
    <t>184001001</t>
  </si>
  <si>
    <t>26493643</t>
  </si>
  <si>
    <t>АО "ИЭМЗ "Купол"</t>
  </si>
  <si>
    <t>1831083343</t>
  </si>
  <si>
    <t>997450001</t>
  </si>
  <si>
    <t>26354514</t>
  </si>
  <si>
    <t>АО "Ижавиа"</t>
  </si>
  <si>
    <t>1808204247</t>
  </si>
  <si>
    <t>184101001</t>
  </si>
  <si>
    <t>26354616</t>
  </si>
  <si>
    <t>АО "Ижевский завод пластмасс"</t>
  </si>
  <si>
    <t>1834100029</t>
  </si>
  <si>
    <t>26466217</t>
  </si>
  <si>
    <t>АО "Ижевский механический завод"</t>
  </si>
  <si>
    <t>1841030037</t>
  </si>
  <si>
    <t>26615651</t>
  </si>
  <si>
    <t>АО "Ижевский опытно-механический завод"</t>
  </si>
  <si>
    <t>1832028112</t>
  </si>
  <si>
    <t>27732477</t>
  </si>
  <si>
    <t>АО "Ижметмаш"</t>
  </si>
  <si>
    <t>1840005542</t>
  </si>
  <si>
    <t>26354588</t>
  </si>
  <si>
    <t>АО "МДП "Красная звезда"</t>
  </si>
  <si>
    <t>1830000383</t>
  </si>
  <si>
    <t>183001001</t>
  </si>
  <si>
    <t>26354584</t>
  </si>
  <si>
    <t>АО "Можгинский лесокомбинат"</t>
  </si>
  <si>
    <t>1830000030</t>
  </si>
  <si>
    <t>28277042</t>
  </si>
  <si>
    <t>АО "Путь Ильича"</t>
  </si>
  <si>
    <t>1808203211</t>
  </si>
  <si>
    <t>30848754</t>
  </si>
  <si>
    <t>31530603</t>
  </si>
  <si>
    <t>АО "РСК"</t>
  </si>
  <si>
    <t>1831203259</t>
  </si>
  <si>
    <t>01-01-2022 00:00:00</t>
  </si>
  <si>
    <t>26354505</t>
  </si>
  <si>
    <t>АО "Реммаш"</t>
  </si>
  <si>
    <t>1805001016</t>
  </si>
  <si>
    <t>183701001</t>
  </si>
  <si>
    <t>26493659</t>
  </si>
  <si>
    <t>АО "Транснефть-Прикамье" (филиал в Удмуртской Республике)</t>
  </si>
  <si>
    <t>1645000340</t>
  </si>
  <si>
    <t>183402001</t>
  </si>
  <si>
    <t>26354580</t>
  </si>
  <si>
    <t>АО "Чепецкий механический завод"</t>
  </si>
  <si>
    <t>1829008035</t>
  </si>
  <si>
    <t>26354618</t>
  </si>
  <si>
    <t>АО санаторий "Металлург"</t>
  </si>
  <si>
    <t>1835012287</t>
  </si>
  <si>
    <t>31309315</t>
  </si>
  <si>
    <t>АСУ СО УР "Республиканский дом-интернат для престарелых и инвалидов"</t>
  </si>
  <si>
    <t>1841085195</t>
  </si>
  <si>
    <t>26762119</t>
  </si>
  <si>
    <t>АУ ДО "СШОР ПО БИАТЛОНУ ИМ. А.М. ДЕМИДОВА"</t>
  </si>
  <si>
    <t>1831101345</t>
  </si>
  <si>
    <t>26495987</t>
  </si>
  <si>
    <t>АУ УР "Удмуртлес"</t>
  </si>
  <si>
    <t>1832025104</t>
  </si>
  <si>
    <t>30438930</t>
  </si>
  <si>
    <t>АУ УР "Удмуртлес" филиал "Глазовлес"</t>
  </si>
  <si>
    <t>30438909</t>
  </si>
  <si>
    <t>АУ УР "Удмуртлес" филиал "Можгалес"</t>
  </si>
  <si>
    <t>183902001</t>
  </si>
  <si>
    <t>30438915</t>
  </si>
  <si>
    <t>АУ УР "Удмуртлес" филиал "Селтылес"</t>
  </si>
  <si>
    <t>181902002</t>
  </si>
  <si>
    <t>30438924</t>
  </si>
  <si>
    <t>АУ УР "Удмуртлес" филиал "Сюмсилес"</t>
  </si>
  <si>
    <t>182002002</t>
  </si>
  <si>
    <t>30861507</t>
  </si>
  <si>
    <t>АУ УР ЗОК "Лесная сказка"</t>
  </si>
  <si>
    <t>1841032690</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</si>
  <si>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</si>
  <si>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</si>
  <si>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</si>
  <si>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</si>
  <si>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26490245</t>
  </si>
  <si>
    <t>БПОУ УР "Асановский аграрно-технический техникум"</t>
  </si>
  <si>
    <t>1801000501</t>
  </si>
  <si>
    <t>183901001</t>
  </si>
  <si>
    <t>30854211</t>
  </si>
  <si>
    <t>БПОУ УР "Воткинский промышленный техникум"</t>
  </si>
  <si>
    <t>1804001341</t>
  </si>
  <si>
    <t>182801001</t>
  </si>
  <si>
    <t>26354599</t>
  </si>
  <si>
    <t>БПОУ УР "Ижевский Агростроительный техникум"</t>
  </si>
  <si>
    <t>1832015385</t>
  </si>
  <si>
    <t>31195269</t>
  </si>
  <si>
    <t>БПОУ УР "Ижевский техникум индустрии питания"</t>
  </si>
  <si>
    <t>1834045089</t>
  </si>
  <si>
    <t>31415203</t>
  </si>
  <si>
    <t>БУЗ УР "Республиканский клинический центр психического здоровья МЗ УР"</t>
  </si>
  <si>
    <t>1831049039</t>
  </si>
  <si>
    <t>26619050</t>
  </si>
  <si>
    <t>БУЗ УР «Якшур-Бодьинская РБ МЗ УР»</t>
  </si>
  <si>
    <t>1824002030</t>
  </si>
  <si>
    <t>182401001</t>
  </si>
  <si>
    <t>27577347</t>
  </si>
  <si>
    <t>ГУ УР "Поисково-спасательная служба Удмуртской Республики"</t>
  </si>
  <si>
    <t>1832033497</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</si>
  <si>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</si>
  <si>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</si>
  <si>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</si>
  <si>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30892777</t>
  </si>
  <si>
    <t>ЗАО "Завод минеральных вод "Серебряные ключи"</t>
  </si>
  <si>
    <t>1832008476</t>
  </si>
  <si>
    <t>28817596</t>
  </si>
  <si>
    <t>ЗАО "ТСК "Воткинский завод"</t>
  </si>
  <si>
    <t>1828025599</t>
  </si>
  <si>
    <t>30857870</t>
  </si>
  <si>
    <t>ИП Бадртдинов Илдар Рафикович</t>
  </si>
  <si>
    <t>183303097907</t>
  </si>
  <si>
    <t>28029546</t>
  </si>
  <si>
    <t>ИП Богданов Андрей Васильевич</t>
  </si>
  <si>
    <t>182707367554</t>
  </si>
  <si>
    <t>28489267</t>
  </si>
  <si>
    <t>ИП Котова Тамара Владимировна</t>
  </si>
  <si>
    <t>180100261049</t>
  </si>
  <si>
    <t>30477279</t>
  </si>
  <si>
    <t>ИП Мельникова Любовь Александровна</t>
  </si>
  <si>
    <t>181600101670</t>
  </si>
  <si>
    <t>31416250</t>
  </si>
  <si>
    <t>ИП Перевозчиков Андрей Николаевич</t>
  </si>
  <si>
    <t>180901467644</t>
  </si>
  <si>
    <t>27869709</t>
  </si>
  <si>
    <t>Индивидуальный предприниматель Божко Роман Сергеевич</t>
  </si>
  <si>
    <t>182101606500</t>
  </si>
  <si>
    <t>26493765</t>
  </si>
  <si>
    <t>Карашурское УПХГ ООО"Газпром ПХГ"</t>
  </si>
  <si>
    <t>5003065767</t>
  </si>
  <si>
    <t>28448760</t>
  </si>
  <si>
    <t>МАУ ВР ФОК "Здоровье"</t>
  </si>
  <si>
    <t>1821011244</t>
  </si>
  <si>
    <t>182101001</t>
  </si>
  <si>
    <t>28447185</t>
  </si>
  <si>
    <t>МБДОУ д/с "Сказка" с. Волипельга</t>
  </si>
  <si>
    <t>1803003096</t>
  </si>
  <si>
    <t>180301001</t>
  </si>
  <si>
    <t>30365199</t>
  </si>
  <si>
    <t>МБУК "Вавожский РКМ"</t>
  </si>
  <si>
    <t>1803004357</t>
  </si>
  <si>
    <t>МИНИСТЕРСТВО СТРОИТЕЛЬСТВА, ЖИЛИЩНО-КОММУНАЛЬНОГО ХОЗЯЙСТВА И ЭНЕРГЕТИКИ УДМУРТСКОЙ РЕСПУБЛИКИ</t>
  </si>
  <si>
    <t>1831062093</t>
  </si>
  <si>
    <t>31214010</t>
  </si>
  <si>
    <t>МКУ "УЖКХ" Воткинского района</t>
  </si>
  <si>
    <t>1828011500</t>
  </si>
  <si>
    <t>30847794</t>
  </si>
  <si>
    <t>МУП " Коммунсервис"</t>
  </si>
  <si>
    <t>1822004715</t>
  </si>
  <si>
    <t>01-04-2004 00:00:00</t>
  </si>
  <si>
    <t>27869435</t>
  </si>
  <si>
    <t>МУП "Азинское ЖКХ"</t>
  </si>
  <si>
    <t>1841027764</t>
  </si>
  <si>
    <t>26354495</t>
  </si>
  <si>
    <t>МУП "Андрейшурское ЖКХ" МО "Балезинский район"</t>
  </si>
  <si>
    <t>1802003008</t>
  </si>
  <si>
    <t>180201001</t>
  </si>
  <si>
    <t>26354582</t>
  </si>
  <si>
    <t>МУП "Глазовские теплосети" муниципального образования "Город Глазов"</t>
  </si>
  <si>
    <t>1829012970</t>
  </si>
  <si>
    <t>182901001</t>
  </si>
  <si>
    <t>06-04-2023 00:00:00</t>
  </si>
  <si>
    <t>26466187</t>
  </si>
  <si>
    <t>МУП "ЖКХ "Сюмсинское"</t>
  </si>
  <si>
    <t>1820002991</t>
  </si>
  <si>
    <t>26466167</t>
  </si>
  <si>
    <t>МУП "Жилкоммунсервис"</t>
  </si>
  <si>
    <t>1806006296</t>
  </si>
  <si>
    <t>26495971</t>
  </si>
  <si>
    <t>МУП "Камбарского района "Энергия"</t>
  </si>
  <si>
    <t>1838002400</t>
  </si>
  <si>
    <t>183801001</t>
  </si>
  <si>
    <t>26650639</t>
  </si>
  <si>
    <t>МУП "Кизнерский коммунальный комплекс"</t>
  </si>
  <si>
    <t>1839003621</t>
  </si>
  <si>
    <t>26354572</t>
  </si>
  <si>
    <t>МУП "Коммунальные тепловые сети"</t>
  </si>
  <si>
    <t>1828007350</t>
  </si>
  <si>
    <t>31624483</t>
  </si>
  <si>
    <t>МУП "Коммунальный сервис"</t>
  </si>
  <si>
    <t>1837021689</t>
  </si>
  <si>
    <t>28144574</t>
  </si>
  <si>
    <t>МУП "Тепловая энергетическая компания"</t>
  </si>
  <si>
    <t>1841032524</t>
  </si>
  <si>
    <t>30840177</t>
  </si>
  <si>
    <t>МУП "Тепловодосети"</t>
  </si>
  <si>
    <t>1819001601</t>
  </si>
  <si>
    <t>26490243</t>
  </si>
  <si>
    <t>МУП "Теплосервис"</t>
  </si>
  <si>
    <t>1839000074</t>
  </si>
  <si>
    <t>30796413</t>
  </si>
  <si>
    <t>МУП "Теплосервис" города Воткинска</t>
  </si>
  <si>
    <t>1828027910</t>
  </si>
  <si>
    <t>26354512</t>
  </si>
  <si>
    <t>МУП "Теплосети"</t>
  </si>
  <si>
    <t>1807901982</t>
  </si>
  <si>
    <t>26354533</t>
  </si>
  <si>
    <t>МУП "Управляющая компания в "ЖКХ"</t>
  </si>
  <si>
    <t>1816005661</t>
  </si>
  <si>
    <t>28816819</t>
  </si>
  <si>
    <t>МУП "Хохряковское ЖКХ"</t>
  </si>
  <si>
    <t>1841042113</t>
  </si>
  <si>
    <t>28445652</t>
  </si>
  <si>
    <t>МУП "Энергия"</t>
  </si>
  <si>
    <t>1837011306</t>
  </si>
  <si>
    <t>26354589</t>
  </si>
  <si>
    <t>МУП ЖКХ г. Можги</t>
  </si>
  <si>
    <t>1830003056</t>
  </si>
  <si>
    <t>26466151</t>
  </si>
  <si>
    <t>МУП г. Ижевска "Ижводоканал"</t>
  </si>
  <si>
    <t>1826000408</t>
  </si>
  <si>
    <t>28536417</t>
  </si>
  <si>
    <t>МУП г. Ижевска "МУК - Спецдомоуправление"</t>
  </si>
  <si>
    <t>1834028950</t>
  </si>
  <si>
    <t>27567098</t>
  </si>
  <si>
    <t>МУП г. Ижевска "Спецдомоуправление"</t>
  </si>
  <si>
    <t>183401001</t>
  </si>
  <si>
    <t>31495034</t>
  </si>
  <si>
    <t>МУП г. Сарапула "Городские ТеплоСистемы"</t>
  </si>
  <si>
    <t>1827001193</t>
  </si>
  <si>
    <t>30-04-2021 00:00:00</t>
  </si>
  <si>
    <t>26354563</t>
  </si>
  <si>
    <t>МУП г. Сарапула "Сарапульский водоканал"</t>
  </si>
  <si>
    <t>1827004081</t>
  </si>
  <si>
    <t>21-07-2003 00:00:00</t>
  </si>
  <si>
    <t>30365224</t>
  </si>
  <si>
    <t>Муниципальное бюджетное учреждение культуры "Вавожский районный дом культуры" (МБУК "Вавожский РДК")</t>
  </si>
  <si>
    <t>1803004300</t>
  </si>
  <si>
    <t>28456520</t>
  </si>
  <si>
    <t>НОУ ДОВД Региональный Центр военно-патриотического воспитания и подготовки граждан к военной службе РО ДОСААФ УР</t>
  </si>
  <si>
    <t>1832088986</t>
  </si>
  <si>
    <t>27573572</t>
  </si>
  <si>
    <t>Научно-производственный центр "ПромТех"</t>
  </si>
  <si>
    <t>1831034804</t>
  </si>
  <si>
    <t>03-03-2023 00:00:00</t>
  </si>
  <si>
    <t>26768227</t>
  </si>
  <si>
    <t>ОАО "136 ЦБПР"</t>
  </si>
  <si>
    <t>1838006108</t>
  </si>
  <si>
    <t>26354493</t>
  </si>
  <si>
    <t>ОАО "Балезинское РТП"</t>
  </si>
  <si>
    <t>1802000889</t>
  </si>
  <si>
    <t>26354570</t>
  </si>
  <si>
    <t>ОАО "Воткинскмолоко"</t>
  </si>
  <si>
    <t>1828003059</t>
  </si>
  <si>
    <t>26759675</t>
  </si>
  <si>
    <t>ОАО "Камбарский завод газового оборудования"</t>
  </si>
  <si>
    <t>1810000138</t>
  </si>
  <si>
    <t>28144558</t>
  </si>
  <si>
    <t>ОАО "Камский завод ЖБИ"</t>
  </si>
  <si>
    <t>1828023739</t>
  </si>
  <si>
    <t>26648395</t>
  </si>
  <si>
    <t>ОАО "НИТИ Прогресс"</t>
  </si>
  <si>
    <t>1831020840</t>
  </si>
  <si>
    <t>26354587</t>
  </si>
  <si>
    <t>ОАО "Свет"</t>
  </si>
  <si>
    <t>1830000094</t>
  </si>
  <si>
    <t>28447157</t>
  </si>
  <si>
    <t>ОАО "Селтыагрохим"</t>
  </si>
  <si>
    <t>1819000333</t>
  </si>
  <si>
    <t>26354577</t>
  </si>
  <si>
    <t>ОАО "Удмуртский завод строительных материалов"</t>
  </si>
  <si>
    <t>1829005860</t>
  </si>
  <si>
    <t>667201001</t>
  </si>
  <si>
    <t>27901731</t>
  </si>
  <si>
    <t>ООО  "Теплосеть Угра"</t>
  </si>
  <si>
    <t>1838003731</t>
  </si>
  <si>
    <t>28981765</t>
  </si>
  <si>
    <t>ООО "АНК"</t>
  </si>
  <si>
    <t>1840031172</t>
  </si>
  <si>
    <t>26615555</t>
  </si>
  <si>
    <t>ООО "Автокотельная"</t>
  </si>
  <si>
    <t>7718808870</t>
  </si>
  <si>
    <t>28447170</t>
  </si>
  <si>
    <t>ООО "Альтаир"</t>
  </si>
  <si>
    <t>1840021110</t>
  </si>
  <si>
    <t>28277053</t>
  </si>
  <si>
    <t>ООО "Альянс-Строй"</t>
  </si>
  <si>
    <t>1821011371</t>
  </si>
  <si>
    <t>26770558</t>
  </si>
  <si>
    <t>ООО "База Южная"</t>
  </si>
  <si>
    <t>1832045809</t>
  </si>
  <si>
    <t>28425229</t>
  </si>
  <si>
    <t>ООО "Балезинская межхозяйственная строительная организация"</t>
  </si>
  <si>
    <t>1802004403</t>
  </si>
  <si>
    <t>26496026</t>
  </si>
  <si>
    <t>ООО "Бытовик"</t>
  </si>
  <si>
    <t>1808204984</t>
  </si>
  <si>
    <t>31635623</t>
  </si>
  <si>
    <t>ООО "ВОДОВОД"</t>
  </si>
  <si>
    <t>1831207380</t>
  </si>
  <si>
    <t>26466279</t>
  </si>
  <si>
    <t>ООО "Вавожское ЖКХ"</t>
  </si>
  <si>
    <t>1803000384</t>
  </si>
  <si>
    <t>28445607</t>
  </si>
  <si>
    <t>ООО "Водоканал"</t>
  </si>
  <si>
    <t>1831161344</t>
  </si>
  <si>
    <t>26828939</t>
  </si>
  <si>
    <t>ООО "Восточный"</t>
  </si>
  <si>
    <t>1841017491</t>
  </si>
  <si>
    <t>31521880</t>
  </si>
  <si>
    <t>ООО "ГИБРИД"</t>
  </si>
  <si>
    <t>5503194190</t>
  </si>
  <si>
    <t>01-10-2021 00:00:00</t>
  </si>
  <si>
    <t>28132021</t>
  </si>
  <si>
    <t>ООО "ГЭК"</t>
  </si>
  <si>
    <t>5904281731</t>
  </si>
  <si>
    <t>590401001</t>
  </si>
  <si>
    <t>31693658</t>
  </si>
  <si>
    <t>ООО "Гвард"</t>
  </si>
  <si>
    <t>1800002400</t>
  </si>
  <si>
    <t>180001001</t>
  </si>
  <si>
    <t>11-09-2023 00:00:00</t>
  </si>
  <si>
    <t>29648764</t>
  </si>
  <si>
    <t>ООО "Геосейс-Групп"</t>
  </si>
  <si>
    <t>1832090079</t>
  </si>
  <si>
    <t>28489256</t>
  </si>
  <si>
    <t>ООО "Горснаб"</t>
  </si>
  <si>
    <t>1841008232</t>
  </si>
  <si>
    <t>04-04-2023 00:00:00</t>
  </si>
  <si>
    <t>28425218</t>
  </si>
  <si>
    <t>ООО "Декоративно-цветочные культуры"</t>
  </si>
  <si>
    <t>1840021262</t>
  </si>
  <si>
    <t>26466235</t>
  </si>
  <si>
    <t>ООО "ЖИЛКОМ"</t>
  </si>
  <si>
    <t>1837004531</t>
  </si>
  <si>
    <t>26466267</t>
  </si>
  <si>
    <t>ООО "ЖКХ Энергия"</t>
  </si>
  <si>
    <t>1804009319</t>
  </si>
  <si>
    <t>30990411</t>
  </si>
  <si>
    <t>ООО "Жешартский ЛПК" ( ОП ООО "Жешартский ЛПК" в п. Балезино)</t>
  </si>
  <si>
    <t>1121022681</t>
  </si>
  <si>
    <t>183745001</t>
  </si>
  <si>
    <t>26354504</t>
  </si>
  <si>
    <t>ООО "Жилищно-коммунальный сервис"</t>
  </si>
  <si>
    <t>1804009020</t>
  </si>
  <si>
    <t>180401001</t>
  </si>
  <si>
    <t>26354507</t>
  </si>
  <si>
    <t>ООО "Жилкомсервис"</t>
  </si>
  <si>
    <t>1805001111</t>
  </si>
  <si>
    <t>180501001</t>
  </si>
  <si>
    <t>27326816</t>
  </si>
  <si>
    <t>ООО "Жилкомснаб"</t>
  </si>
  <si>
    <t>1821008280</t>
  </si>
  <si>
    <t>26497666</t>
  </si>
  <si>
    <t>ООО "Завьялово Энерго"</t>
  </si>
  <si>
    <t>1841004333</t>
  </si>
  <si>
    <t>28982379</t>
  </si>
  <si>
    <t>ООО "Завьялово-Энерго"</t>
  </si>
  <si>
    <t>1841053034</t>
  </si>
  <si>
    <t>30346532</t>
  </si>
  <si>
    <t>ООО "Завьяловские теплосети"</t>
  </si>
  <si>
    <t>1832074366</t>
  </si>
  <si>
    <t>26354598</t>
  </si>
  <si>
    <t>ООО "ИЗКМ"</t>
  </si>
  <si>
    <t>1832100908</t>
  </si>
  <si>
    <t>22-03-2023 00:00:00</t>
  </si>
  <si>
    <t>26354606</t>
  </si>
  <si>
    <t>ООО "ИРЗ-Энерго"</t>
  </si>
  <si>
    <t>1833027591</t>
  </si>
  <si>
    <t>26354538</t>
  </si>
  <si>
    <t>ООО "ИСТОК"</t>
  </si>
  <si>
    <t>1817006280</t>
  </si>
  <si>
    <t>26449638</t>
  </si>
  <si>
    <t>ООО "Игринская энергетическая компания"</t>
  </si>
  <si>
    <t>1809005572</t>
  </si>
  <si>
    <t>27837682</t>
  </si>
  <si>
    <t>ООО "ИжевскЭнергоСервис"</t>
  </si>
  <si>
    <t>1832096338</t>
  </si>
  <si>
    <t>30802210</t>
  </si>
  <si>
    <t>ООО "Ижевская сетевая компания"</t>
  </si>
  <si>
    <t>1841062945</t>
  </si>
  <si>
    <t>26615895</t>
  </si>
  <si>
    <t>ООО "Ижевский нефтеперерабатывающий завод"</t>
  </si>
  <si>
    <t>1831106470</t>
  </si>
  <si>
    <t>26648453</t>
  </si>
  <si>
    <t>ООО "Ижевский подшипниковый завод - Инвест"</t>
  </si>
  <si>
    <t>1833033250</t>
  </si>
  <si>
    <t>31176810</t>
  </si>
  <si>
    <t>ООО "Ижметаллсервис"</t>
  </si>
  <si>
    <t>1833024992</t>
  </si>
  <si>
    <t>27731684</t>
  </si>
  <si>
    <t>ООО "Ижтеплоресурс"</t>
  </si>
  <si>
    <t>1841025260</t>
  </si>
  <si>
    <t>28798484</t>
  </si>
  <si>
    <t>ООО "КамбаркаТеплоЭнерго"</t>
  </si>
  <si>
    <t>1838015462</t>
  </si>
  <si>
    <t>29647988</t>
  </si>
  <si>
    <t>ООО "Камбарский машиностроительный завод"</t>
  </si>
  <si>
    <t>1838009571</t>
  </si>
  <si>
    <t>27-06-2023 00:00:00</t>
  </si>
  <si>
    <t>26765918</t>
  </si>
  <si>
    <t>ООО "Каравай"</t>
  </si>
  <si>
    <t>5920034144</t>
  </si>
  <si>
    <t>26575442</t>
  </si>
  <si>
    <t>ООО "Кезское предприятие коммунального хозяйства"</t>
  </si>
  <si>
    <t>1809007883</t>
  </si>
  <si>
    <t>28153108</t>
  </si>
  <si>
    <t>ООО "КомЭнерго"</t>
  </si>
  <si>
    <t>1840013624</t>
  </si>
  <si>
    <t>26466277</t>
  </si>
  <si>
    <t>ООО "Коммунально-технический Сервис"</t>
  </si>
  <si>
    <t>1839000902</t>
  </si>
  <si>
    <t>26814734</t>
  </si>
  <si>
    <t>ООО "Коммунально-энергетические системы"</t>
  </si>
  <si>
    <t>1839003773</t>
  </si>
  <si>
    <t>26354629</t>
  </si>
  <si>
    <t>ООО "Коммунэнерго"</t>
  </si>
  <si>
    <t>1838001935</t>
  </si>
  <si>
    <t>27718671</t>
  </si>
  <si>
    <t>ООО "Комфорт"</t>
  </si>
  <si>
    <t>1838010344</t>
  </si>
  <si>
    <t>16-08-2023 00:00:00</t>
  </si>
  <si>
    <t>26762233</t>
  </si>
  <si>
    <t>ООО "Конструктор-ТМ"</t>
  </si>
  <si>
    <t>1841046421</t>
  </si>
  <si>
    <t>26495967</t>
  </si>
  <si>
    <t>ООО "Контакт"</t>
  </si>
  <si>
    <t>1838001220</t>
  </si>
  <si>
    <t>30356015</t>
  </si>
  <si>
    <t>ООО "Котельная 20"</t>
  </si>
  <si>
    <t>1840043876</t>
  </si>
  <si>
    <t>30371799</t>
  </si>
  <si>
    <t>ООО "Кристалл-Проект"</t>
  </si>
  <si>
    <t>1827018454</t>
  </si>
  <si>
    <t>31625197</t>
  </si>
  <si>
    <t>ООО "Купол"</t>
  </si>
  <si>
    <t>1841066763</t>
  </si>
  <si>
    <t>30827586</t>
  </si>
  <si>
    <t>ООО "МАН"</t>
  </si>
  <si>
    <t>1832084188</t>
  </si>
  <si>
    <t>27837591</t>
  </si>
  <si>
    <t>ООО "Малопургинское ЖКХ"</t>
  </si>
  <si>
    <t>1816005703</t>
  </si>
  <si>
    <t>181601001</t>
  </si>
  <si>
    <t>19-10-2023 00:00:00</t>
  </si>
  <si>
    <t>26318945</t>
  </si>
  <si>
    <t>ООО "Мечел-Энерго"</t>
  </si>
  <si>
    <t>7722245108</t>
  </si>
  <si>
    <t>183232001</t>
  </si>
  <si>
    <t>31666900</t>
  </si>
  <si>
    <t>ООО "Модуль"</t>
  </si>
  <si>
    <t>1837012518</t>
  </si>
  <si>
    <t>31154807</t>
  </si>
  <si>
    <t>ООО "НИКА-ПЕТРОТЭК"</t>
  </si>
  <si>
    <t>7734720936</t>
  </si>
  <si>
    <t>667001001</t>
  </si>
  <si>
    <t>26649245</t>
  </si>
  <si>
    <t>ООО "Новый стиль"</t>
  </si>
  <si>
    <t>1831083047</t>
  </si>
  <si>
    <t>28006213</t>
  </si>
  <si>
    <t>ООО "ОЛИМП и К"</t>
  </si>
  <si>
    <t>1838010506</t>
  </si>
  <si>
    <t>31445201</t>
  </si>
  <si>
    <t>ООО "Оператор коммунальных расчетов"</t>
  </si>
  <si>
    <t>1840098515</t>
  </si>
  <si>
    <t>31713835</t>
  </si>
  <si>
    <t>ООО "Парус-Энерго"</t>
  </si>
  <si>
    <t>1831206299</t>
  </si>
  <si>
    <t>26354532</t>
  </si>
  <si>
    <t>ООО "Первый Май"</t>
  </si>
  <si>
    <t>1821009855</t>
  </si>
  <si>
    <t>31346879</t>
  </si>
  <si>
    <t>ООО "Передвижная механизированная колонна-8"</t>
  </si>
  <si>
    <t>1828007945</t>
  </si>
  <si>
    <t>26466261</t>
  </si>
  <si>
    <t>ООО "Подгорновский ЖКС"</t>
  </si>
  <si>
    <t>1838004598</t>
  </si>
  <si>
    <t>28269154</t>
  </si>
  <si>
    <t>ООО "Практическая метрология"</t>
  </si>
  <si>
    <t>1841021610</t>
  </si>
  <si>
    <t>26354573</t>
  </si>
  <si>
    <t>ООО "Прикамский эколого-технологический комплекс"</t>
  </si>
  <si>
    <t>1828010578</t>
  </si>
  <si>
    <t>26466175</t>
  </si>
  <si>
    <t>ООО "Прометей"</t>
  </si>
  <si>
    <t>1804009380</t>
  </si>
  <si>
    <t>30843165</t>
  </si>
  <si>
    <t>ООО "Проминвестстрой"</t>
  </si>
  <si>
    <t>1821010628</t>
  </si>
  <si>
    <t>31158097</t>
  </si>
  <si>
    <t>ООО "Профит"</t>
  </si>
  <si>
    <t>1841042593</t>
  </si>
  <si>
    <t>26826805</t>
  </si>
  <si>
    <t>ООО "Птицефабрика "Вараксино"</t>
  </si>
  <si>
    <t>1841017484</t>
  </si>
  <si>
    <t>30848065</t>
  </si>
  <si>
    <t>ООО "РИЭЛТИ"</t>
  </si>
  <si>
    <t>1831165123</t>
  </si>
  <si>
    <t>26466189</t>
  </si>
  <si>
    <t>ООО "РС-Сервис"</t>
  </si>
  <si>
    <t>1804009118</t>
  </si>
  <si>
    <t>27803978</t>
  </si>
  <si>
    <t>ООО "РСК-18"</t>
  </si>
  <si>
    <t>1831149964</t>
  </si>
  <si>
    <t>31503964</t>
  </si>
  <si>
    <t>ООО "РСО 1"</t>
  </si>
  <si>
    <t>1841098324</t>
  </si>
  <si>
    <t>31379390</t>
  </si>
  <si>
    <t>ООО "РСУ-7"</t>
  </si>
  <si>
    <t>1831112611</t>
  </si>
  <si>
    <t>28870732</t>
  </si>
  <si>
    <t>ООО "Районная теплоснабжающая компания"</t>
  </si>
  <si>
    <t>1832118849</t>
  </si>
  <si>
    <t>06-11-2014 00:00:00</t>
  </si>
  <si>
    <t>28488910</t>
  </si>
  <si>
    <t>ООО "Регионресурсы"</t>
  </si>
  <si>
    <t>1831109270</t>
  </si>
  <si>
    <t>31338993</t>
  </si>
  <si>
    <t>ООО "Республиканская тепловая компания"</t>
  </si>
  <si>
    <t>1831181125</t>
  </si>
  <si>
    <t>31366464</t>
  </si>
  <si>
    <t>ООО "Ресурс-Капитал"</t>
  </si>
  <si>
    <t>1828031810</t>
  </si>
  <si>
    <t>26354535</t>
  </si>
  <si>
    <t>ООО "Русский Пычас"</t>
  </si>
  <si>
    <t>1817003498</t>
  </si>
  <si>
    <t>181701001</t>
  </si>
  <si>
    <t>26466219</t>
  </si>
  <si>
    <t>ООО "СТВ-Сервис"</t>
  </si>
  <si>
    <t>1805182274</t>
  </si>
  <si>
    <t>03-06-2004 00:00:00</t>
  </si>
  <si>
    <t>12-07-2023 00:00:00</t>
  </si>
  <si>
    <t>31565081</t>
  </si>
  <si>
    <t>ООО "СЦХБ"</t>
  </si>
  <si>
    <t>1832089242</t>
  </si>
  <si>
    <t>05-04-2011 00:00:00</t>
  </si>
  <si>
    <t>26354492</t>
  </si>
  <si>
    <t>ООО "Санаторий Варзи-Ятчи"</t>
  </si>
  <si>
    <t>1801000290</t>
  </si>
  <si>
    <t>26354542</t>
  </si>
  <si>
    <t>ООО "Санаторий Ува"</t>
  </si>
  <si>
    <t>1821000122</t>
  </si>
  <si>
    <t>26354569</t>
  </si>
  <si>
    <t>ООО "Сарабелла-Инвест"</t>
  </si>
  <si>
    <t>1838011228</t>
  </si>
  <si>
    <t>27869799</t>
  </si>
  <si>
    <t>ООО "Сарапултеплоэнерго +"</t>
  </si>
  <si>
    <t>1838011436</t>
  </si>
  <si>
    <t>26354568</t>
  </si>
  <si>
    <t>ООО "Сарапултеплоэнерго"</t>
  </si>
  <si>
    <t>1827019419</t>
  </si>
  <si>
    <t>26354592</t>
  </si>
  <si>
    <t>ООО "Сарапульская швейная фабрика"</t>
  </si>
  <si>
    <t>1831094257</t>
  </si>
  <si>
    <t>26493534</t>
  </si>
  <si>
    <t>ООО "Свет"</t>
  </si>
  <si>
    <t>1837004796</t>
  </si>
  <si>
    <t>26471612</t>
  </si>
  <si>
    <t>ООО "Сервис"</t>
  </si>
  <si>
    <t>1818006413</t>
  </si>
  <si>
    <t>31601398</t>
  </si>
  <si>
    <t>ООО "Сириус"</t>
  </si>
  <si>
    <t>1838022438</t>
  </si>
  <si>
    <t>26646174</t>
  </si>
  <si>
    <t>ООО "Системы водоснабжения и канализации"</t>
  </si>
  <si>
    <t>1831127343</t>
  </si>
  <si>
    <t>12-12-2023 00:00:00</t>
  </si>
  <si>
    <t>30352068</t>
  </si>
  <si>
    <t>ООО "Спиртзавод "Балезинский"</t>
  </si>
  <si>
    <t>1837000590</t>
  </si>
  <si>
    <t>17-05-2006 00:00:00</t>
  </si>
  <si>
    <t>28943702</t>
  </si>
  <si>
    <t>ООО "Строительная компания "Развитие"</t>
  </si>
  <si>
    <t>1808206156</t>
  </si>
  <si>
    <t>31606158</t>
  </si>
  <si>
    <t>ООО "Т-Групп"</t>
  </si>
  <si>
    <t>5903151546</t>
  </si>
  <si>
    <t>590301001</t>
  </si>
  <si>
    <t>27284099</t>
  </si>
  <si>
    <t>ООО "ТИТАН - Управляющая Компания"</t>
  </si>
  <si>
    <t>1832089250</t>
  </si>
  <si>
    <t>30851373</t>
  </si>
  <si>
    <t>ООО "ТЭС"</t>
  </si>
  <si>
    <t>1840055504</t>
  </si>
  <si>
    <t>26466213</t>
  </si>
  <si>
    <t>ООО "Тарасовское"</t>
  </si>
  <si>
    <t>1818006420</t>
  </si>
  <si>
    <t>31519382</t>
  </si>
  <si>
    <t>ООО "ТеплоСтрой"</t>
  </si>
  <si>
    <t>1828031458</t>
  </si>
  <si>
    <t>05-10-2021 00:00:00</t>
  </si>
  <si>
    <t>30842451</t>
  </si>
  <si>
    <t>ООО "Теплоком"</t>
  </si>
  <si>
    <t>1837014392</t>
  </si>
  <si>
    <t>26471644</t>
  </si>
  <si>
    <t>ООО "Теплокомплекс"</t>
  </si>
  <si>
    <t>1818006646</t>
  </si>
  <si>
    <t>30840192</t>
  </si>
  <si>
    <t>ООО "Теплоресурс"</t>
  </si>
  <si>
    <t>1828028247</t>
  </si>
  <si>
    <t>28029473</t>
  </si>
  <si>
    <t>1837010542</t>
  </si>
  <si>
    <t>28957917</t>
  </si>
  <si>
    <t>ООО "Теплосервис"</t>
  </si>
  <si>
    <t>1840007476</t>
  </si>
  <si>
    <t>19-03-2012 00:00:00</t>
  </si>
  <si>
    <t>26449636</t>
  </si>
  <si>
    <t>ООО "Теплосети ЮГ"</t>
  </si>
  <si>
    <t>1838002897</t>
  </si>
  <si>
    <t>26354631</t>
  </si>
  <si>
    <t>ООО "Теплоцентр"</t>
  </si>
  <si>
    <t>1838002255</t>
  </si>
  <si>
    <t>26495978</t>
  </si>
  <si>
    <t>ООО "Теплоэнергия"</t>
  </si>
  <si>
    <t>1834042560</t>
  </si>
  <si>
    <t>31442217</t>
  </si>
  <si>
    <t>ООО "Тесла"</t>
  </si>
  <si>
    <t>1831198672</t>
  </si>
  <si>
    <t>30949627</t>
  </si>
  <si>
    <t>ООО "Техэксплуатация"</t>
  </si>
  <si>
    <t>1841072189</t>
  </si>
  <si>
    <t>26511167</t>
  </si>
  <si>
    <t>ООО "Торговый дом Завьяловский"</t>
  </si>
  <si>
    <t>1808203959</t>
  </si>
  <si>
    <t>26759678</t>
  </si>
  <si>
    <t>ООО "Триумф"</t>
  </si>
  <si>
    <t>1832075715</t>
  </si>
  <si>
    <t>27687992</t>
  </si>
  <si>
    <t>ООО "УК "Талисман"</t>
  </si>
  <si>
    <t>1831149650</t>
  </si>
  <si>
    <t>30876879</t>
  </si>
  <si>
    <t>ООО "УК Хохряковская"</t>
  </si>
  <si>
    <t>1841053041</t>
  </si>
  <si>
    <t>31633563</t>
  </si>
  <si>
    <t>ООО "УК"АМ"</t>
  </si>
  <si>
    <t>1835083739</t>
  </si>
  <si>
    <t>30-09-2008 00:00:00</t>
  </si>
  <si>
    <t>31348944</t>
  </si>
  <si>
    <t>ООО "УК-СИТИ"</t>
  </si>
  <si>
    <t>1840043629</t>
  </si>
  <si>
    <t>30856097</t>
  </si>
  <si>
    <t>ООО "Увадрев-Холдинг"</t>
  </si>
  <si>
    <t>1831090774</t>
  </si>
  <si>
    <t>26496024</t>
  </si>
  <si>
    <t>ООО "Увинская управляющая компания ЖКХ"</t>
  </si>
  <si>
    <t>1821008869</t>
  </si>
  <si>
    <t>31445141</t>
  </si>
  <si>
    <t>ООО "Удмуртская Теплоснабжающая Компания"</t>
  </si>
  <si>
    <t>1831184278</t>
  </si>
  <si>
    <t>26829782</t>
  </si>
  <si>
    <t>ООО "Удмуртская птицефабрика"</t>
  </si>
  <si>
    <t>1837008416</t>
  </si>
  <si>
    <t>28269143</t>
  </si>
  <si>
    <t>ООО "Удмуртская топливно-энергетическая компания"</t>
  </si>
  <si>
    <t>1837011120</t>
  </si>
  <si>
    <t>27235625</t>
  </si>
  <si>
    <t>ООО "Удмурттоппром"</t>
  </si>
  <si>
    <t>1835083545</t>
  </si>
  <si>
    <t>183501001</t>
  </si>
  <si>
    <t>26466287</t>
  </si>
  <si>
    <t>ООО "Удмуртэнергонефть"</t>
  </si>
  <si>
    <t>1834028862</t>
  </si>
  <si>
    <t>27719688</t>
  </si>
  <si>
    <t>ООО "Управление коммунальными системами"</t>
  </si>
  <si>
    <t>1841023230</t>
  </si>
  <si>
    <t>10-07-2023 00:00:00</t>
  </si>
  <si>
    <t>31210306</t>
  </si>
  <si>
    <t>ООО "Управляющая компания XXI"</t>
  </si>
  <si>
    <t>1838013680</t>
  </si>
  <si>
    <t>30914672</t>
  </si>
  <si>
    <t>ООО "Управляющая компания Мост"</t>
  </si>
  <si>
    <t>1835085750</t>
  </si>
  <si>
    <t>26615856</t>
  </si>
  <si>
    <t>ООО "Фабрика мебели"</t>
  </si>
  <si>
    <t>1809006978</t>
  </si>
  <si>
    <t>180901001</t>
  </si>
  <si>
    <t>26466257</t>
  </si>
  <si>
    <t>ООО "Феникс"</t>
  </si>
  <si>
    <t>1804009372</t>
  </si>
  <si>
    <t>27256363</t>
  </si>
  <si>
    <t>ООО "ЦТП Октябрь"</t>
  </si>
  <si>
    <t>1831144211</t>
  </si>
  <si>
    <t>31304467</t>
  </si>
  <si>
    <t>ООО "ЭГЗ-ТЕРМАКС"</t>
  </si>
  <si>
    <t>1827011000</t>
  </si>
  <si>
    <t>26354601</t>
  </si>
  <si>
    <t>ООО "Энергетическая Компания "Строим Вместе"</t>
  </si>
  <si>
    <t>1832027239</t>
  </si>
  <si>
    <t>26493545</t>
  </si>
  <si>
    <t>ООО "Энергия"</t>
  </si>
  <si>
    <t>1809005808</t>
  </si>
  <si>
    <t>26354583</t>
  </si>
  <si>
    <t>1829015459</t>
  </si>
  <si>
    <t>29647970</t>
  </si>
  <si>
    <t>ООО "Энерго Системы"</t>
  </si>
  <si>
    <t>1831108767</t>
  </si>
  <si>
    <t>30837219</t>
  </si>
  <si>
    <t>ООО "Энерго"</t>
  </si>
  <si>
    <t>1824910458</t>
  </si>
  <si>
    <t>28981757</t>
  </si>
  <si>
    <t>ООО "ЭнергоРезерв"</t>
  </si>
  <si>
    <t>1837001918</t>
  </si>
  <si>
    <t>28500713</t>
  </si>
  <si>
    <t>ООО "ЭнергоРесурс"</t>
  </si>
  <si>
    <t>1832093256</t>
  </si>
  <si>
    <t>31680552</t>
  </si>
  <si>
    <t>ООО "Энергогарант"</t>
  </si>
  <si>
    <t>1828026698</t>
  </si>
  <si>
    <t>30842624</t>
  </si>
  <si>
    <t>ООО "Энергологистик"</t>
  </si>
  <si>
    <t>7720333790</t>
  </si>
  <si>
    <t>772001001</t>
  </si>
  <si>
    <t>31160731</t>
  </si>
  <si>
    <t>ООО "Энергосервис"</t>
  </si>
  <si>
    <t>1840075074</t>
  </si>
  <si>
    <t>28506206</t>
  </si>
  <si>
    <t>ООО "Энергосфера"</t>
  </si>
  <si>
    <t>1840021583</t>
  </si>
  <si>
    <t>28536435</t>
  </si>
  <si>
    <t>ООО "Энерготерм"</t>
  </si>
  <si>
    <t>1832118447</t>
  </si>
  <si>
    <t>28006257</t>
  </si>
  <si>
    <t>ООО "Южная"</t>
  </si>
  <si>
    <t>1833055334</t>
  </si>
  <si>
    <t>183301001</t>
  </si>
  <si>
    <t>28269165</t>
  </si>
  <si>
    <t>ООО "Яр Энерго"</t>
  </si>
  <si>
    <t>1837011754</t>
  </si>
  <si>
    <t>30371919</t>
  </si>
  <si>
    <t>ООО "Ярский водоканал"</t>
  </si>
  <si>
    <t>1837013416</t>
  </si>
  <si>
    <t>31182911</t>
  </si>
  <si>
    <t>ООО «ДомЭксперт»</t>
  </si>
  <si>
    <t>1821013788</t>
  </si>
  <si>
    <t>26354579</t>
  </si>
  <si>
    <t>ООО Глазовский завод "Химмаш"</t>
  </si>
  <si>
    <t>1829007218</t>
  </si>
  <si>
    <t>26493773</t>
  </si>
  <si>
    <t>ООО ПКФ "СпецЖилСтрой"</t>
  </si>
  <si>
    <t>1808205378</t>
  </si>
  <si>
    <t>180801001</t>
  </si>
  <si>
    <t>31509460</t>
  </si>
  <si>
    <t>ООО ПКЦ "Гагаринский"</t>
  </si>
  <si>
    <t>1832147092</t>
  </si>
  <si>
    <t>30356021</t>
  </si>
  <si>
    <t>ООО СК "Ижпромстрой"</t>
  </si>
  <si>
    <t>1831165902</t>
  </si>
  <si>
    <t>28798473</t>
  </si>
  <si>
    <t>ООО СК "Стройторг"</t>
  </si>
  <si>
    <t>1832049144</t>
  </si>
  <si>
    <t>28981799</t>
  </si>
  <si>
    <t>ООО СК «Развитие»</t>
  </si>
  <si>
    <t>30347183</t>
  </si>
  <si>
    <t>ООО УК "Мегаполис"</t>
  </si>
  <si>
    <t>1833053288</t>
  </si>
  <si>
    <t>30388054</t>
  </si>
  <si>
    <t>ООО УК "Продвижение"</t>
  </si>
  <si>
    <t>1809008206</t>
  </si>
  <si>
    <t>27235635</t>
  </si>
  <si>
    <t>ООО УК "Соцкомсервис"</t>
  </si>
  <si>
    <t>1809008654</t>
  </si>
  <si>
    <t>31410121</t>
  </si>
  <si>
    <t>ООО Управляющая компания "Сервисный центр"</t>
  </si>
  <si>
    <t>1839009870</t>
  </si>
  <si>
    <t>31207605</t>
  </si>
  <si>
    <t>ООО проектно-строительная компания "ОНИКС"</t>
  </si>
  <si>
    <t>1832142009</t>
  </si>
  <si>
    <t>30365187</t>
  </si>
  <si>
    <t>Общество с ограниченной ответственностью "Ланза"</t>
  </si>
  <si>
    <t>1833025812</t>
  </si>
  <si>
    <t>31517410</t>
  </si>
  <si>
    <t>Общество с ограниченной ответственностью "РусЭнергоАудит"</t>
  </si>
  <si>
    <t>1838012983</t>
  </si>
  <si>
    <t>22-09-2021 00:00:00</t>
  </si>
  <si>
    <t>27869726</t>
  </si>
  <si>
    <t>Общество с ограниченной ответственностью "Сталкер"</t>
  </si>
  <si>
    <t>1809002518</t>
  </si>
  <si>
    <t>27901618</t>
  </si>
  <si>
    <t>Общество с ограниченной ответственностью "Уральская управляющая компания"</t>
  </si>
  <si>
    <t>1841005418</t>
  </si>
  <si>
    <t>26354619</t>
  </si>
  <si>
    <t>ПАО "Ижнефтемаш"</t>
  </si>
  <si>
    <t>1835012826</t>
  </si>
  <si>
    <t>26493625</t>
  </si>
  <si>
    <t>ПАО "Редуктор"</t>
  </si>
  <si>
    <t>1833001674</t>
  </si>
  <si>
    <t>26319852</t>
  </si>
  <si>
    <t>ПАО "Россети Центр и Приволжье" -  (филиал "Удмуртэнерго")</t>
  </si>
  <si>
    <t>5260200603</t>
  </si>
  <si>
    <t>183502001</t>
  </si>
  <si>
    <t>26354528</t>
  </si>
  <si>
    <t>Первомайское МУПП "Коммун-сервис"</t>
  </si>
  <si>
    <t>1814000040</t>
  </si>
  <si>
    <t>31506576</t>
  </si>
  <si>
    <t>Республиканский СРЦН</t>
  </si>
  <si>
    <t>1831051750</t>
  </si>
  <si>
    <t>26354494</t>
  </si>
  <si>
    <t>СПК "Сергинский"</t>
  </si>
  <si>
    <t>1802001219</t>
  </si>
  <si>
    <t>26354520</t>
  </si>
  <si>
    <t>СПК "Чутырский"</t>
  </si>
  <si>
    <t>1809000052</t>
  </si>
  <si>
    <t>26493763</t>
  </si>
  <si>
    <t>СПК-колхоз "Заря"</t>
  </si>
  <si>
    <t>1817000730</t>
  </si>
  <si>
    <t>26496020</t>
  </si>
  <si>
    <t>СПК-колхоз "Красный Октябрь"</t>
  </si>
  <si>
    <t>1817000761</t>
  </si>
  <si>
    <t>26772587</t>
  </si>
  <si>
    <t>СУПР филиал ДОАО «Спецгазавтотранс» ОАО «Газпром»</t>
  </si>
  <si>
    <t>1834100050</t>
  </si>
  <si>
    <t>183202001</t>
  </si>
  <si>
    <t>26628390</t>
  </si>
  <si>
    <t>СХПК "Горд Октябрь"</t>
  </si>
  <si>
    <t>1803000634</t>
  </si>
  <si>
    <t>26354497</t>
  </si>
  <si>
    <t>СХПК "Колос"</t>
  </si>
  <si>
    <t>1803002222</t>
  </si>
  <si>
    <t>26798936</t>
  </si>
  <si>
    <t>Свердловская железная дорога - филиал ОАО "РЖД"</t>
  </si>
  <si>
    <t>180645032</t>
  </si>
  <si>
    <t>26359246</t>
  </si>
  <si>
    <t>Увинское ЛПУМГ ООО "Газпромтрансгаз Чайковский"</t>
  </si>
  <si>
    <t>5920000593</t>
  </si>
  <si>
    <t>182102001</t>
  </si>
  <si>
    <t>30903763</t>
  </si>
  <si>
    <t>ФГБУ "ЦЖКУ" МИНОБОРОНЫ РОССИИ</t>
  </si>
  <si>
    <t>7729314745</t>
  </si>
  <si>
    <t>770101001</t>
  </si>
  <si>
    <t>26354523</t>
  </si>
  <si>
    <t>ФГКУ "Приоритет"</t>
  </si>
  <si>
    <t>1810001452</t>
  </si>
  <si>
    <t>31434157</t>
  </si>
  <si>
    <t>ФГУП "ГУСС" (Филиал "Дирекция по эксплуатации имущественного комплекса")</t>
  </si>
  <si>
    <t>2315078029</t>
  </si>
  <si>
    <t>784101001</t>
  </si>
  <si>
    <t>26354565</t>
  </si>
  <si>
    <t>ФКУ "ИК №5 УФСИН России по УР"</t>
  </si>
  <si>
    <t>1827013015</t>
  </si>
  <si>
    <t>26354519</t>
  </si>
  <si>
    <t>ФКУ ИК-7 УФСИН России</t>
  </si>
  <si>
    <t>1808400763</t>
  </si>
  <si>
    <t>28006272</t>
  </si>
  <si>
    <t>Федеральное казенное учреждение "Центр хозяйственного и сервисного обеспечения МВД по УР"</t>
  </si>
  <si>
    <t>1840010630</t>
  </si>
  <si>
    <t>28977071</t>
  </si>
  <si>
    <t>Филиал "Удмуртский" ПАО "Т Плюс"</t>
  </si>
  <si>
    <t>6315376946</t>
  </si>
  <si>
    <t>183243001</t>
  </si>
  <si>
    <t>26619339</t>
  </si>
  <si>
    <t>Филиал ФБУ «Федеральное управление по безопасному хранению и уничтожению химического оружия при Министерстве промышленности и торговли Российской Федерации (в/ч 70855) – 1203 объект по уничтожению химического оружия (в/ч 35776)</t>
  </si>
  <si>
    <t>7724729390</t>
  </si>
  <si>
    <t>183843001</t>
  </si>
  <si>
    <t>30914574</t>
  </si>
  <si>
    <t>Филиал ФГБУ "ЦЖКУ" МИНОБОРОНЫ РОССИИ (по ЦВО)</t>
  </si>
  <si>
    <t>667043001</t>
  </si>
  <si>
    <t>31035878</t>
  </si>
  <si>
    <t>Филиал федерального бюджетного учреждения "Федеральное управление по безопасному хранению и уничтожению химического оружия при Министерстве промышленности и торговли РФ (в/ч 70855)" -1208 объект по хранению и уничтожению хим.оружия (в/ч 55498)</t>
  </si>
  <si>
    <t>183943001</t>
  </si>
  <si>
    <t>31443592</t>
  </si>
  <si>
    <t>ФГБОУ ВО «УдГУ»</t>
  </si>
  <si>
    <t>1833010750</t>
  </si>
  <si>
    <t>26354554</t>
  </si>
  <si>
    <t>Ярское МУП "Тепловодоснабжение" МО "Ярский район"</t>
  </si>
  <si>
    <t>1825003406</t>
  </si>
  <si>
    <t>05-02-2004 00:00:00</t>
  </si>
  <si>
    <t>28466664</t>
  </si>
  <si>
    <t>АО "Игринский мясокомбинат"</t>
  </si>
  <si>
    <t>1809000278</t>
  </si>
  <si>
    <t>160101001</t>
  </si>
  <si>
    <t>28462225</t>
  </si>
  <si>
    <t>АО "Концерн "Калашников"</t>
  </si>
  <si>
    <t>1832090230</t>
  </si>
  <si>
    <t>26535409</t>
  </si>
  <si>
    <t>АО "Сарапульский электрогенераторный завод"</t>
  </si>
  <si>
    <t>1827001683</t>
  </si>
  <si>
    <t>26617721</t>
  </si>
  <si>
    <t>АО "Тепличный комбинат "Завьяловский"</t>
  </si>
  <si>
    <t>1808400330</t>
  </si>
  <si>
    <t>26851240</t>
  </si>
  <si>
    <t>АО "Уральская нефть"</t>
  </si>
  <si>
    <t>1826000768</t>
  </si>
  <si>
    <t>26354549</t>
  </si>
  <si>
    <t>БУЗ РСД "Селычка" Министерства здравоохранения УР</t>
  </si>
  <si>
    <t>1824001269</t>
  </si>
  <si>
    <t>26497002</t>
  </si>
  <si>
    <t>ЗАО "Развитие"</t>
  </si>
  <si>
    <t>1802004280</t>
  </si>
  <si>
    <t>31499187</t>
  </si>
  <si>
    <t>ИП Кокин А.А.</t>
  </si>
  <si>
    <t>183060991570</t>
  </si>
  <si>
    <t>31158936</t>
  </si>
  <si>
    <t>ИП Мирошевская М.В.</t>
  </si>
  <si>
    <t>183508646717</t>
  </si>
  <si>
    <t>30894265</t>
  </si>
  <si>
    <t>ИП Мордвин О. В.</t>
  </si>
  <si>
    <t>183504246637</t>
  </si>
  <si>
    <t>28981833</t>
  </si>
  <si>
    <t>Индивидуальный предприниматель Серебренников Алексей Валентинович</t>
  </si>
  <si>
    <t>180700796470</t>
  </si>
  <si>
    <t>26629787</t>
  </si>
  <si>
    <t>Колхоз (СХПК) имени Мичурина</t>
  </si>
  <si>
    <t>1803001067</t>
  </si>
  <si>
    <t>26629356</t>
  </si>
  <si>
    <t>Кооперативное хозяйство "Труд"</t>
  </si>
  <si>
    <t>1820000289</t>
  </si>
  <si>
    <t>182001001</t>
  </si>
  <si>
    <t>31451478</t>
  </si>
  <si>
    <t>Красногорское МУП ЖКС</t>
  </si>
  <si>
    <t>1815906247</t>
  </si>
  <si>
    <t>31422964</t>
  </si>
  <si>
    <t>МБУ "Водоканал Кизнерского района"</t>
  </si>
  <si>
    <t>1839011407</t>
  </si>
  <si>
    <t>09-02-2023 00:00:00</t>
  </si>
  <si>
    <t>31370227</t>
  </si>
  <si>
    <t>МБУ "Центр по комплексному обслуживанию муниципальных учреждений МО "Кизнерский район"</t>
  </si>
  <si>
    <t>1839009214</t>
  </si>
  <si>
    <t>30952090</t>
  </si>
  <si>
    <t>МП "Водоканал Камбарского района"</t>
  </si>
  <si>
    <t>1838020857</t>
  </si>
  <si>
    <t>31663293</t>
  </si>
  <si>
    <t>МП "КОС г. Камбарка"</t>
  </si>
  <si>
    <t>1838025125</t>
  </si>
  <si>
    <t>31561913</t>
  </si>
  <si>
    <t>МУП "АлнашВУ"</t>
  </si>
  <si>
    <t>1839012471</t>
  </si>
  <si>
    <t>31563456</t>
  </si>
  <si>
    <t>МУП "Балезинский Водоканал"</t>
  </si>
  <si>
    <t>1837021336</t>
  </si>
  <si>
    <t>26466201</t>
  </si>
  <si>
    <t>МУП "Водоканал"</t>
  </si>
  <si>
    <t>1828000481</t>
  </si>
  <si>
    <t>23-04-1993 00:00:00</t>
  </si>
  <si>
    <t>31460516</t>
  </si>
  <si>
    <t>МУП "Завьяловский ГИЦ"</t>
  </si>
  <si>
    <t>1808701217</t>
  </si>
  <si>
    <t>31530564</t>
  </si>
  <si>
    <t>МУП ВКХ</t>
  </si>
  <si>
    <t>1839012390</t>
  </si>
  <si>
    <t>31489434</t>
  </si>
  <si>
    <t>Муниципальное унитарное предприятие "Служба заказчика Кизнерского района"</t>
  </si>
  <si>
    <t>1839001335</t>
  </si>
  <si>
    <t>27695209</t>
  </si>
  <si>
    <t>Муниципальное учреждение "Управление благоустройства"</t>
  </si>
  <si>
    <t>1838010432</t>
  </si>
  <si>
    <t>26644444</t>
  </si>
  <si>
    <t>Нижне-Камский район водных путей и судоходства</t>
  </si>
  <si>
    <t>5902290191</t>
  </si>
  <si>
    <t>182702001</t>
  </si>
  <si>
    <t>26619033</t>
  </si>
  <si>
    <t>ОАО "Агрохим-Прибой"</t>
  </si>
  <si>
    <t>1806001555</t>
  </si>
  <si>
    <t>28877187</t>
  </si>
  <si>
    <t>ООО  "Центральная База Производственного Обслуживания"</t>
  </si>
  <si>
    <t>1832039795</t>
  </si>
  <si>
    <t>30871721</t>
  </si>
  <si>
    <t>ООО "Аквафонд"</t>
  </si>
  <si>
    <t>1837014642</t>
  </si>
  <si>
    <t>26471827</t>
  </si>
  <si>
    <t>ООО "Атолл"</t>
  </si>
  <si>
    <t>1809006495</t>
  </si>
  <si>
    <t>26466237</t>
  </si>
  <si>
    <t>ООО "Батыр"</t>
  </si>
  <si>
    <t>1819002940</t>
  </si>
  <si>
    <t>181901001</t>
  </si>
  <si>
    <t>30917034</t>
  </si>
  <si>
    <t>ООО "Белкамнефть"</t>
  </si>
  <si>
    <t>1835058718</t>
  </si>
  <si>
    <t>997250001</t>
  </si>
  <si>
    <t>27731749</t>
  </si>
  <si>
    <t>ООО "Варзи-Ятчи"</t>
  </si>
  <si>
    <t>1839000067</t>
  </si>
  <si>
    <t>26466165</t>
  </si>
  <si>
    <t>1838003756</t>
  </si>
  <si>
    <t>30358570</t>
  </si>
  <si>
    <t>ООО "Водоканал-Сервис"</t>
  </si>
  <si>
    <t>1841057014</t>
  </si>
  <si>
    <t>31077252</t>
  </si>
  <si>
    <t>ООО "Водосток</t>
  </si>
  <si>
    <t>1837009988</t>
  </si>
  <si>
    <t>28036958</t>
  </si>
  <si>
    <t>ООО "Водосток"</t>
  </si>
  <si>
    <t>183701002</t>
  </si>
  <si>
    <t>30370665</t>
  </si>
  <si>
    <t>ООО "Водсервис"</t>
  </si>
  <si>
    <t>1821013107</t>
  </si>
  <si>
    <t>16-09-2015 00:00:00</t>
  </si>
  <si>
    <t>25-01-2023 00:00:00</t>
  </si>
  <si>
    <t>26497012</t>
  </si>
  <si>
    <t>ООО "Восход"</t>
  </si>
  <si>
    <t>1802000494</t>
  </si>
  <si>
    <t>26466199</t>
  </si>
  <si>
    <t>ООО "Гопгурт"</t>
  </si>
  <si>
    <t>1835059285</t>
  </si>
  <si>
    <t>30832049</t>
  </si>
  <si>
    <t>ООО "ДомСтройУрал"</t>
  </si>
  <si>
    <t>1831165910</t>
  </si>
  <si>
    <t>26619334</t>
  </si>
  <si>
    <t>ООО "Дружба"</t>
  </si>
  <si>
    <t>1821005900</t>
  </si>
  <si>
    <t>28152502</t>
  </si>
  <si>
    <t>ООО "ЖКХ "Постольское"</t>
  </si>
  <si>
    <t>1841031256</t>
  </si>
  <si>
    <t>26617313</t>
  </si>
  <si>
    <t>ООО "Завьялово-Водоканал"</t>
  </si>
  <si>
    <t>1841010810</t>
  </si>
  <si>
    <t>31527895</t>
  </si>
  <si>
    <t>ООО "Индустриальный парк "РАЗВИТИЕ"</t>
  </si>
  <si>
    <t>1835080400</t>
  </si>
  <si>
    <t>28276071</t>
  </si>
  <si>
    <t>ООО "Исток"</t>
  </si>
  <si>
    <t>1821007720</t>
  </si>
  <si>
    <t>28874910</t>
  </si>
  <si>
    <t>1822004835</t>
  </si>
  <si>
    <t>26497086</t>
  </si>
  <si>
    <t>ООО "Какси"</t>
  </si>
  <si>
    <t>1817006940</t>
  </si>
  <si>
    <t>26497070</t>
  </si>
  <si>
    <t>ООО "Качкашурское"</t>
  </si>
  <si>
    <t>1815906261</t>
  </si>
  <si>
    <t>27713971</t>
  </si>
  <si>
    <t>ООО "Кизнерводоканал"</t>
  </si>
  <si>
    <t>1839002843</t>
  </si>
  <si>
    <t>21-02-2012 00:00:00</t>
  </si>
  <si>
    <t>26466233</t>
  </si>
  <si>
    <t>ООО "Коммунальные сети"</t>
  </si>
  <si>
    <t>1804009069</t>
  </si>
  <si>
    <t>31391523</t>
  </si>
  <si>
    <t>ООО "Кооператив Дружба"</t>
  </si>
  <si>
    <t>27675692</t>
  </si>
  <si>
    <t>ООО "ЛАДА Ижевск"</t>
  </si>
  <si>
    <t>1834051678</t>
  </si>
  <si>
    <t>27687196</t>
  </si>
  <si>
    <t>ООО "Маяк"</t>
  </si>
  <si>
    <t>1837007356</t>
  </si>
  <si>
    <t>30358527</t>
  </si>
  <si>
    <t>ООО "Недра"</t>
  </si>
  <si>
    <t>1841019450</t>
  </si>
  <si>
    <t>28040921</t>
  </si>
  <si>
    <t>ООО "Нива"</t>
  </si>
  <si>
    <t>1839001350</t>
  </si>
  <si>
    <t>27719524</t>
  </si>
  <si>
    <t>ООО "Октябрьское"</t>
  </si>
  <si>
    <t>1841019114</t>
  </si>
  <si>
    <t>27395788</t>
  </si>
  <si>
    <t>ООО "Писеевское"</t>
  </si>
  <si>
    <t>1839002392</t>
  </si>
  <si>
    <t>26497006</t>
  </si>
  <si>
    <t>ООО "Прогресс"</t>
  </si>
  <si>
    <t>1802004435</t>
  </si>
  <si>
    <t>31521600</t>
  </si>
  <si>
    <t>ООО "ПрофСнаб"</t>
  </si>
  <si>
    <t>1837007420</t>
  </si>
  <si>
    <t>31340091</t>
  </si>
  <si>
    <t>ООО "РОССИЯ"</t>
  </si>
  <si>
    <t>1817006160</t>
  </si>
  <si>
    <t>28870347</t>
  </si>
  <si>
    <t>ООО "Решительный"</t>
  </si>
  <si>
    <t>1801008324</t>
  </si>
  <si>
    <t>23-11-2009 00:00:00</t>
  </si>
  <si>
    <t>26466161</t>
  </si>
  <si>
    <t>ООО "Родина"</t>
  </si>
  <si>
    <t>1817006273</t>
  </si>
  <si>
    <t>31081231</t>
  </si>
  <si>
    <t>ООО "Русская Нива"</t>
  </si>
  <si>
    <t>1838001692</t>
  </si>
  <si>
    <t>26647596</t>
  </si>
  <si>
    <t>ООО "Сервис плюс"</t>
  </si>
  <si>
    <t>1838007944</t>
  </si>
  <si>
    <t>31471205</t>
  </si>
  <si>
    <t>ООО "Спартак-Сервис"</t>
  </si>
  <si>
    <t>1841097063</t>
  </si>
  <si>
    <t>28134912</t>
  </si>
  <si>
    <t>ООО "Строй Сервис"</t>
  </si>
  <si>
    <t>1839005097</t>
  </si>
  <si>
    <t>27719692</t>
  </si>
  <si>
    <t>ООО "Тихие зори"</t>
  </si>
  <si>
    <t>1831122803</t>
  </si>
  <si>
    <t>28151212</t>
  </si>
  <si>
    <t>ООО "Труженик"</t>
  </si>
  <si>
    <t>1809006826</t>
  </si>
  <si>
    <t>26628637</t>
  </si>
  <si>
    <t>ООО "Тулкым"</t>
  </si>
  <si>
    <t>1839003477</t>
  </si>
  <si>
    <t>26762198</t>
  </si>
  <si>
    <t>ООО "Турнес"</t>
  </si>
  <si>
    <t>1809005734</t>
  </si>
  <si>
    <t>31305339</t>
  </si>
  <si>
    <t>ООО "УК "Ближняя усадьба"</t>
  </si>
  <si>
    <t>1841027806</t>
  </si>
  <si>
    <t>26619127</t>
  </si>
  <si>
    <t>ООО "УК ЖКХ "Территория"</t>
  </si>
  <si>
    <t>1837007042</t>
  </si>
  <si>
    <t>13-10-2023 00:00:00</t>
  </si>
  <si>
    <t>31346228</t>
  </si>
  <si>
    <t>ООО "Удмуртгеофизика"</t>
  </si>
  <si>
    <t>1832120421</t>
  </si>
  <si>
    <t>31594490</t>
  </si>
  <si>
    <t>ООО "УралСтройКом"</t>
  </si>
  <si>
    <t>1831154428</t>
  </si>
  <si>
    <t>26618959</t>
  </si>
  <si>
    <t>ООО "Уютный дом"</t>
  </si>
  <si>
    <t>1832042325</t>
  </si>
  <si>
    <t>27366481</t>
  </si>
  <si>
    <t>ООО "Шарканский льнозавод"</t>
  </si>
  <si>
    <t>1822004680</t>
  </si>
  <si>
    <t>182201001</t>
  </si>
  <si>
    <t>28152474</t>
  </si>
  <si>
    <t>ООО "Штурман"</t>
  </si>
  <si>
    <t>1837001114</t>
  </si>
  <si>
    <t>26617684</t>
  </si>
  <si>
    <t>ООО "ЭРИК"</t>
  </si>
  <si>
    <t>1808203892</t>
  </si>
  <si>
    <t>30861487</t>
  </si>
  <si>
    <t>1838018470</t>
  </si>
  <si>
    <t>12-11-2015 00:00:00</t>
  </si>
  <si>
    <t>28037251</t>
  </si>
  <si>
    <t>ПАО "Ижсталь"</t>
  </si>
  <si>
    <t>1826000655</t>
  </si>
  <si>
    <t>26618829</t>
  </si>
  <si>
    <t>ПАО "Удмуртнефть" имени В.И. Кудинова</t>
  </si>
  <si>
    <t>1831034040</t>
  </si>
  <si>
    <t>26497090</t>
  </si>
  <si>
    <t>СПК "Держава"</t>
  </si>
  <si>
    <t>1817006192</t>
  </si>
  <si>
    <t>13-02-2004 00:00:00</t>
  </si>
  <si>
    <t>26497030</t>
  </si>
  <si>
    <t>СПК "Заря"</t>
  </si>
  <si>
    <t>1809000623</t>
  </si>
  <si>
    <t>26466177</t>
  </si>
  <si>
    <t>СПК "Звезда"</t>
  </si>
  <si>
    <t>1819000301</t>
  </si>
  <si>
    <t>26466285</t>
  </si>
  <si>
    <t>СПК "Колхоз Заря"</t>
  </si>
  <si>
    <t>1821000563</t>
  </si>
  <si>
    <t>26466153</t>
  </si>
  <si>
    <t>СПК "Колхоз Искра"</t>
  </si>
  <si>
    <t>1821000228</t>
  </si>
  <si>
    <t>26466289</t>
  </si>
  <si>
    <t>СПК "Колхоз Луч"</t>
  </si>
  <si>
    <t>1821001359</t>
  </si>
  <si>
    <t>26466247</t>
  </si>
  <si>
    <t>СПК "Колхоз имени Ленина"</t>
  </si>
  <si>
    <t>1821000588</t>
  </si>
  <si>
    <t>26466227</t>
  </si>
  <si>
    <t>СПК "Колхоз имени Свердлова"</t>
  </si>
  <si>
    <t>1821000637</t>
  </si>
  <si>
    <t>26497133</t>
  </si>
  <si>
    <t>СПК "Коммунар"</t>
  </si>
  <si>
    <t>1805000069</t>
  </si>
  <si>
    <t>26497129</t>
  </si>
  <si>
    <t>СПК "Коротай"</t>
  </si>
  <si>
    <t>1805009368</t>
  </si>
  <si>
    <t>28464250</t>
  </si>
  <si>
    <t>СПК "Луч"</t>
  </si>
  <si>
    <t>1805005067</t>
  </si>
  <si>
    <t>31354902</t>
  </si>
  <si>
    <t>1817006386</t>
  </si>
  <si>
    <t>26354543</t>
  </si>
  <si>
    <t>СПК "Победа"</t>
  </si>
  <si>
    <t>1821000348</t>
  </si>
  <si>
    <t>28-09-2023 00:00:00</t>
  </si>
  <si>
    <t>26621326</t>
  </si>
  <si>
    <t>СПК "Родина"</t>
  </si>
  <si>
    <t>1806002012</t>
  </si>
  <si>
    <t>26650200</t>
  </si>
  <si>
    <t>1816001346</t>
  </si>
  <si>
    <t>31651210</t>
  </si>
  <si>
    <t>26466205</t>
  </si>
  <si>
    <t>СПК "Свобода"</t>
  </si>
  <si>
    <t>1819000157</t>
  </si>
  <si>
    <t>26466207</t>
  </si>
  <si>
    <t>1821000443</t>
  </si>
  <si>
    <t>26618129</t>
  </si>
  <si>
    <t>СПК "Югдон"</t>
  </si>
  <si>
    <t>1816000688</t>
  </si>
  <si>
    <t>26585004</t>
  </si>
  <si>
    <t>1817002568</t>
  </si>
  <si>
    <t>26618010</t>
  </si>
  <si>
    <t>СПК (колхоз) "Большевик"</t>
  </si>
  <si>
    <t>1812000045</t>
  </si>
  <si>
    <t>27356712</t>
  </si>
  <si>
    <t>СПК (колхоз) "Восток"</t>
  </si>
  <si>
    <t>1807002618</t>
  </si>
  <si>
    <t>26617965</t>
  </si>
  <si>
    <t>СПК (колхоз) "Гулейшур"</t>
  </si>
  <si>
    <t>1812003494</t>
  </si>
  <si>
    <t>26618101</t>
  </si>
  <si>
    <t>СПК (колхоз) "Дружба"</t>
  </si>
  <si>
    <t>1812000408</t>
  </si>
  <si>
    <t>26617987</t>
  </si>
  <si>
    <t>СПК (колхоз) "Искра"</t>
  </si>
  <si>
    <t>1812000172</t>
  </si>
  <si>
    <t>26618031</t>
  </si>
  <si>
    <t>СПК (колхоз) "Маяк"</t>
  </si>
  <si>
    <t>1812000623</t>
  </si>
  <si>
    <t>26629360</t>
  </si>
  <si>
    <t>СПК (колхоз) "Мир"</t>
  </si>
  <si>
    <t>1807000353</t>
  </si>
  <si>
    <t>26618133</t>
  </si>
  <si>
    <t>СПК (колхоз) "Рассвет"</t>
  </si>
  <si>
    <t>1816001258</t>
  </si>
  <si>
    <t>26617976</t>
  </si>
  <si>
    <t>СПК (колхоз) "Степаненки"</t>
  </si>
  <si>
    <t>1812003575</t>
  </si>
  <si>
    <t>27327484</t>
  </si>
  <si>
    <t>СПК (колхоз) "Труженик"</t>
  </si>
  <si>
    <t>1807000360</t>
  </si>
  <si>
    <t>31221351</t>
  </si>
  <si>
    <t>СПК (колхоз) "Удмуртия"</t>
  </si>
  <si>
    <t>1803000169</t>
  </si>
  <si>
    <t>26618106</t>
  </si>
  <si>
    <t>СПК (колхоз) им. Кирова</t>
  </si>
  <si>
    <t>1812000246</t>
  </si>
  <si>
    <t>26646354</t>
  </si>
  <si>
    <t>СПК (колхоз) имени Калинина</t>
  </si>
  <si>
    <t>1807000378</t>
  </si>
  <si>
    <t>26466171</t>
  </si>
  <si>
    <t>СПК колхоз "Авангард"</t>
  </si>
  <si>
    <t>1821000620</t>
  </si>
  <si>
    <t>26629362</t>
  </si>
  <si>
    <t>СПК колхоз "Дружба"</t>
  </si>
  <si>
    <t>1807000339</t>
  </si>
  <si>
    <t>26629358</t>
  </si>
  <si>
    <t>СПК колхоз "Лесагурт"</t>
  </si>
  <si>
    <t>1807000949</t>
  </si>
  <si>
    <t>31492441</t>
  </si>
  <si>
    <t>СПК колхоз "Победа"</t>
  </si>
  <si>
    <t>1817000680</t>
  </si>
  <si>
    <t>26466245</t>
  </si>
  <si>
    <t>СПК колхоз "Трактор"</t>
  </si>
  <si>
    <t>1817000722</t>
  </si>
  <si>
    <t>26496971</t>
  </si>
  <si>
    <t>СХК "Колхоз "Молодая гвардия"</t>
  </si>
  <si>
    <t>1801005203</t>
  </si>
  <si>
    <t>27366513</t>
  </si>
  <si>
    <t>СХК "Луч"</t>
  </si>
  <si>
    <t>1822000069</t>
  </si>
  <si>
    <t>27356916</t>
  </si>
  <si>
    <t>СХПК-колхоз "Луч"</t>
  </si>
  <si>
    <t>1803001050</t>
  </si>
  <si>
    <t>26354537</t>
  </si>
  <si>
    <t>ФБУ ИК-6 УФСИН России</t>
  </si>
  <si>
    <t>1817000257</t>
  </si>
  <si>
    <t>28463900</t>
  </si>
  <si>
    <t>ФКУ ИК-6 УФСИН России по УР</t>
  </si>
  <si>
    <t>26493538</t>
  </si>
  <si>
    <t>МКП "Служба единого заказчика"</t>
  </si>
  <si>
    <t>1809000704</t>
  </si>
  <si>
    <t>31717090</t>
  </si>
  <si>
    <t>МУ "ЦКО"</t>
  </si>
  <si>
    <t>1821014238</t>
  </si>
  <si>
    <t>28144007</t>
  </si>
  <si>
    <t>МУП "Городские канализационные очистные сооружения" г. Камбарка</t>
  </si>
  <si>
    <t>1838012101</t>
  </si>
  <si>
    <t>31061460</t>
  </si>
  <si>
    <t>ООО "Дом моделей"</t>
  </si>
  <si>
    <t>1840072066</t>
  </si>
  <si>
    <t>21-06-2017 00:00:00</t>
  </si>
  <si>
    <t>27572135</t>
  </si>
  <si>
    <t>ООО "Завод РТО"</t>
  </si>
  <si>
    <t>1828010803</t>
  </si>
  <si>
    <t>28870689</t>
  </si>
  <si>
    <t>ООО "КезКоммунСервис"</t>
  </si>
  <si>
    <t>1809006939</t>
  </si>
  <si>
    <t>12-12-2008 00:00:00</t>
  </si>
  <si>
    <t>28975770</t>
  </si>
  <si>
    <t>ООО СК "УралПромКомплект"</t>
  </si>
  <si>
    <t>1837012733</t>
  </si>
  <si>
    <t>30861493</t>
  </si>
  <si>
    <t>ФКУ ИК-1 УФСИН России по Удмуртской Республике</t>
  </si>
  <si>
    <t>1808400749</t>
  </si>
  <si>
    <t>26-11-2002 00:00:00</t>
  </si>
  <si>
    <t>30861503</t>
  </si>
  <si>
    <t>ФКУ КП-3 УФСИН России по Удмуртской Республике</t>
  </si>
  <si>
    <t>1821004568</t>
  </si>
  <si>
    <t>18-03-2011 00:00:00</t>
  </si>
  <si>
    <t>28494655</t>
  </si>
  <si>
    <t>ООО "Ареал"</t>
  </si>
  <si>
    <t>1808206999</t>
  </si>
  <si>
    <t>31527964</t>
  </si>
  <si>
    <t>ООО "КЭТ"</t>
  </si>
  <si>
    <t>1840052817</t>
  </si>
  <si>
    <t>26-02-2016 00:00:00</t>
  </si>
  <si>
    <t>31223683</t>
  </si>
  <si>
    <t>ООО "МСК"</t>
  </si>
  <si>
    <t>1841031263</t>
  </si>
  <si>
    <t>31706493</t>
  </si>
  <si>
    <t>ООО "Мусоровозов"</t>
  </si>
  <si>
    <t>1841013391</t>
  </si>
  <si>
    <t>21-09-2010 00:00:00</t>
  </si>
  <si>
    <t>31708258</t>
  </si>
  <si>
    <t>ООО "РЕМОНТНО-ДОМОВОЙ СЕРВИС"</t>
  </si>
  <si>
    <t>1827021312</t>
  </si>
  <si>
    <t>19-01-2006 00:00:00</t>
  </si>
  <si>
    <t>31224026</t>
  </si>
  <si>
    <t>ООО "САХ"</t>
  </si>
  <si>
    <t>1841023336</t>
  </si>
  <si>
    <t>28978476</t>
  </si>
  <si>
    <t>ООО "СЭС"</t>
  </si>
  <si>
    <t>1828015569</t>
  </si>
  <si>
    <t>13-12-2006 00:00:00</t>
  </si>
  <si>
    <t>26466501</t>
  </si>
  <si>
    <t>ООО "СЭХ"</t>
  </si>
  <si>
    <t>1828012991</t>
  </si>
  <si>
    <t>26466499</t>
  </si>
  <si>
    <t>ООО "Специализированный полигон "Эколог"</t>
  </si>
  <si>
    <t>1805000051</t>
  </si>
  <si>
    <t>31391916</t>
  </si>
  <si>
    <t>ООО "Строй-Инвест"</t>
  </si>
  <si>
    <t>1831180611</t>
  </si>
  <si>
    <t>30906759</t>
  </si>
  <si>
    <t>ООО "УК "Престиж"</t>
  </si>
  <si>
    <t>1821012939</t>
  </si>
  <si>
    <t>31698690</t>
  </si>
  <si>
    <t>ООО "Центр Управления Имуществом"</t>
  </si>
  <si>
    <t>1831136411</t>
  </si>
  <si>
    <t>11-08-2009 00:00:00</t>
  </si>
  <si>
    <t>26466511</t>
  </si>
  <si>
    <t>ООО "Чистый город"</t>
  </si>
  <si>
    <t>1835070144</t>
  </si>
  <si>
    <t>NSRF</t>
  </si>
  <si>
    <t>MR_NAME</t>
  </si>
  <si>
    <t>OKTMO_MR_NAME</t>
  </si>
  <si>
    <t>MO_NAME</t>
  </si>
  <si>
    <t>OKTMO_NAME</t>
  </si>
  <si>
    <t>TYPE</t>
  </si>
  <si>
    <t>MR_ID</t>
  </si>
  <si>
    <t>Алнашский муниципальный район</t>
  </si>
  <si>
    <t>94602000</t>
  </si>
  <si>
    <t>Азаматовское</t>
  </si>
  <si>
    <t>94602410</t>
  </si>
  <si>
    <t>сельское поселение</t>
  </si>
  <si>
    <t>муниципальный район</t>
  </si>
  <si>
    <t>Алнашское</t>
  </si>
  <si>
    <t>94602420</t>
  </si>
  <si>
    <t>Асановское</t>
  </si>
  <si>
    <t>94602430</t>
  </si>
  <si>
    <t>Байтеряковское</t>
  </si>
  <si>
    <t>94602440</t>
  </si>
  <si>
    <t>Варзи-Ятчинское</t>
  </si>
  <si>
    <t>94602450</t>
  </si>
  <si>
    <t>Кузебаевское</t>
  </si>
  <si>
    <t>94602460</t>
  </si>
  <si>
    <t>Муважинское</t>
  </si>
  <si>
    <t>94602465</t>
  </si>
  <si>
    <t>Писеевское</t>
  </si>
  <si>
    <t>94602470</t>
  </si>
  <si>
    <t>Ромашкинское</t>
  </si>
  <si>
    <t>94602474</t>
  </si>
  <si>
    <t>Староутчанское</t>
  </si>
  <si>
    <t>94602480</t>
  </si>
  <si>
    <t>Техникумовское</t>
  </si>
  <si>
    <t>94602485</t>
  </si>
  <si>
    <t>Удмурт-Тоймобашское</t>
  </si>
  <si>
    <t>94602490</t>
  </si>
  <si>
    <t>Балезинский муниципальный район</t>
  </si>
  <si>
    <t>94604000</t>
  </si>
  <si>
    <t>Андрейшурское</t>
  </si>
  <si>
    <t>94604405</t>
  </si>
  <si>
    <t>Балезинское</t>
  </si>
  <si>
    <t>94604475</t>
  </si>
  <si>
    <t>Большеварыжское</t>
  </si>
  <si>
    <t>94604410</t>
  </si>
  <si>
    <t>Верх-Люкинское</t>
  </si>
  <si>
    <t>94604415</t>
  </si>
  <si>
    <t>Воегуртское</t>
  </si>
  <si>
    <t>94604420</t>
  </si>
  <si>
    <t>Исаковское</t>
  </si>
  <si>
    <t>94604422</t>
  </si>
  <si>
    <t>Каменно-Задельское</t>
  </si>
  <si>
    <t>94604423</t>
  </si>
  <si>
    <t>Карсовайское</t>
  </si>
  <si>
    <t>94604425</t>
  </si>
  <si>
    <t>Кестымское</t>
  </si>
  <si>
    <t>94604430</t>
  </si>
  <si>
    <t>Киршонское</t>
  </si>
  <si>
    <t>94604432</t>
  </si>
  <si>
    <t>Кожильское</t>
  </si>
  <si>
    <t>94604435</t>
  </si>
  <si>
    <t>Люкское</t>
  </si>
  <si>
    <t>94604445</t>
  </si>
  <si>
    <t>Пыбьинское</t>
  </si>
  <si>
    <t>94604447</t>
  </si>
  <si>
    <t>Сергинское</t>
  </si>
  <si>
    <t>94604455</t>
  </si>
  <si>
    <t>Турецкое</t>
  </si>
  <si>
    <t>94604460</t>
  </si>
  <si>
    <t>Эркешевское</t>
  </si>
  <si>
    <t>94604450</t>
  </si>
  <si>
    <t>Юндинское</t>
  </si>
  <si>
    <t>94604470</t>
  </si>
  <si>
    <t>Вавожский муниципальный район</t>
  </si>
  <si>
    <t>94606000</t>
  </si>
  <si>
    <t>Большеволковское</t>
  </si>
  <si>
    <t>94606411</t>
  </si>
  <si>
    <t>Брызгаловское</t>
  </si>
  <si>
    <t>94606422</t>
  </si>
  <si>
    <t>Вавожское</t>
  </si>
  <si>
    <t>94606433</t>
  </si>
  <si>
    <t>Водзимоньинское</t>
  </si>
  <si>
    <t>94606444</t>
  </si>
  <si>
    <t>Волипельгинское</t>
  </si>
  <si>
    <t>94606455</t>
  </si>
  <si>
    <t>Гурезь-Пудгинское</t>
  </si>
  <si>
    <t>94606466</t>
  </si>
  <si>
    <t>Зямбайгуртское</t>
  </si>
  <si>
    <t>94606470</t>
  </si>
  <si>
    <t>Какможское</t>
  </si>
  <si>
    <t>94606477</t>
  </si>
  <si>
    <t>Нюрдор-Котьинское</t>
  </si>
  <si>
    <t>94606480</t>
  </si>
  <si>
    <t>Тыловыл-Пельгинское</t>
  </si>
  <si>
    <t>94606488</t>
  </si>
  <si>
    <t>Воткинский муниципальный район</t>
  </si>
  <si>
    <t>94608000</t>
  </si>
  <si>
    <t>Болгуринское</t>
  </si>
  <si>
    <t>94608405</t>
  </si>
  <si>
    <t>Большикиварское</t>
  </si>
  <si>
    <t>94608410</t>
  </si>
  <si>
    <t>Верхнеталицкое</t>
  </si>
  <si>
    <t>94608413</t>
  </si>
  <si>
    <t>Гавриловское</t>
  </si>
  <si>
    <t>94608420</t>
  </si>
  <si>
    <t>Июльское</t>
  </si>
  <si>
    <t>94608425</t>
  </si>
  <si>
    <t>Камское</t>
  </si>
  <si>
    <t>94608430</t>
  </si>
  <si>
    <t>Кварсинское</t>
  </si>
  <si>
    <t>94608435</t>
  </si>
  <si>
    <t>Кукуевское</t>
  </si>
  <si>
    <t>94608437</t>
  </si>
  <si>
    <t>Нововолковское</t>
  </si>
  <si>
    <t>94608455</t>
  </si>
  <si>
    <t>Первомайское</t>
  </si>
  <si>
    <t>94608440</t>
  </si>
  <si>
    <t>Перевозинское</t>
  </si>
  <si>
    <t>94608445</t>
  </si>
  <si>
    <t>Светлянское</t>
  </si>
  <si>
    <t>94608450</t>
  </si>
  <si>
    <t>Глазовский муниципальный район</t>
  </si>
  <si>
    <t>94610000</t>
  </si>
  <si>
    <t>Адамское</t>
  </si>
  <si>
    <t>94610405</t>
  </si>
  <si>
    <t>Верхнебогатырское</t>
  </si>
  <si>
    <t>94610410</t>
  </si>
  <si>
    <t>Гулековское</t>
  </si>
  <si>
    <t>94610415</t>
  </si>
  <si>
    <t>Качкашурское</t>
  </si>
  <si>
    <t>94610430</t>
  </si>
  <si>
    <t>60</t>
  </si>
  <si>
    <t>94610435</t>
  </si>
  <si>
    <t>61</t>
  </si>
  <si>
    <t>Куреговское</t>
  </si>
  <si>
    <t>94610442</t>
  </si>
  <si>
    <t>62</t>
  </si>
  <si>
    <t>Октябрьское</t>
  </si>
  <si>
    <t>94610448</t>
  </si>
  <si>
    <t>63</t>
  </si>
  <si>
    <t>Парзинское</t>
  </si>
  <si>
    <t>94610450</t>
  </si>
  <si>
    <t>64</t>
  </si>
  <si>
    <t>Понинское</t>
  </si>
  <si>
    <t>94610455</t>
  </si>
  <si>
    <t>65</t>
  </si>
  <si>
    <t>Ураковское</t>
  </si>
  <si>
    <t>94610465</t>
  </si>
  <si>
    <t>Штанигуртское</t>
  </si>
  <si>
    <t>94610460</t>
  </si>
  <si>
    <t>67</t>
  </si>
  <si>
    <t>Город Воткинск</t>
  </si>
  <si>
    <t>94710000</t>
  </si>
  <si>
    <t>городской округ</t>
  </si>
  <si>
    <t>Город Ижевск</t>
  </si>
  <si>
    <t>94701000</t>
  </si>
  <si>
    <t>70</t>
  </si>
  <si>
    <t>Город Можга</t>
  </si>
  <si>
    <t>94730000</t>
  </si>
  <si>
    <t>71</t>
  </si>
  <si>
    <t>Город Сарапул</t>
  </si>
  <si>
    <t>94740000</t>
  </si>
  <si>
    <t>72</t>
  </si>
  <si>
    <t>Граховский муниципальный район</t>
  </si>
  <si>
    <t>94612000</t>
  </si>
  <si>
    <t>Верхнеигринское</t>
  </si>
  <si>
    <t>94612411</t>
  </si>
  <si>
    <t>73</t>
  </si>
  <si>
    <t>74</t>
  </si>
  <si>
    <t>Граховское</t>
  </si>
  <si>
    <t>94612422</t>
  </si>
  <si>
    <t>75</t>
  </si>
  <si>
    <t>Каменское</t>
  </si>
  <si>
    <t>94612430</t>
  </si>
  <si>
    <t>76</t>
  </si>
  <si>
    <t>Котловское</t>
  </si>
  <si>
    <t>94612431</t>
  </si>
  <si>
    <t>77</t>
  </si>
  <si>
    <t>Лолошур-Возжинское</t>
  </si>
  <si>
    <t>94612433</t>
  </si>
  <si>
    <t>78</t>
  </si>
  <si>
    <t>Новогорское</t>
  </si>
  <si>
    <t>94612444</t>
  </si>
  <si>
    <t>79</t>
  </si>
  <si>
    <t>Парымозареченское</t>
  </si>
  <si>
    <t>94612447</t>
  </si>
  <si>
    <t>80</t>
  </si>
  <si>
    <t>Староятчинское</t>
  </si>
  <si>
    <t>94612455</t>
  </si>
  <si>
    <t>81</t>
  </si>
  <si>
    <t>Дебесский муниципальный район</t>
  </si>
  <si>
    <t>94614000</t>
  </si>
  <si>
    <t>Большезетымское</t>
  </si>
  <si>
    <t>94614405</t>
  </si>
  <si>
    <t>82</t>
  </si>
  <si>
    <t>83</t>
  </si>
  <si>
    <t>Дебесское</t>
  </si>
  <si>
    <t>94614415</t>
  </si>
  <si>
    <t>84</t>
  </si>
  <si>
    <t>Заречномедлинское</t>
  </si>
  <si>
    <t>94614420</t>
  </si>
  <si>
    <t>85</t>
  </si>
  <si>
    <t>Котегуртское</t>
  </si>
  <si>
    <t>94614425</t>
  </si>
  <si>
    <t>86</t>
  </si>
  <si>
    <t>Нижнепыхтинское</t>
  </si>
  <si>
    <t>94614430</t>
  </si>
  <si>
    <t>87</t>
  </si>
  <si>
    <t>Старокычское</t>
  </si>
  <si>
    <t>94614434</t>
  </si>
  <si>
    <t>88</t>
  </si>
  <si>
    <t>Сюрногуртское</t>
  </si>
  <si>
    <t>94614435</t>
  </si>
  <si>
    <t>89</t>
  </si>
  <si>
    <t>Тольенское</t>
  </si>
  <si>
    <t>94614440</t>
  </si>
  <si>
    <t>90</t>
  </si>
  <si>
    <t>Тыловайское</t>
  </si>
  <si>
    <t>94614445</t>
  </si>
  <si>
    <t>91</t>
  </si>
  <si>
    <t>Уйвайское</t>
  </si>
  <si>
    <t>94614450</t>
  </si>
  <si>
    <t>92</t>
  </si>
  <si>
    <t>Завьяловский муниципальный район</t>
  </si>
  <si>
    <t>94616000</t>
  </si>
  <si>
    <t>Бабинское</t>
  </si>
  <si>
    <t>94616405</t>
  </si>
  <si>
    <t>93</t>
  </si>
  <si>
    <t>Вараксинское</t>
  </si>
  <si>
    <t>94616407</t>
  </si>
  <si>
    <t>94</t>
  </si>
  <si>
    <t>Гольянское</t>
  </si>
  <si>
    <t>94616410</t>
  </si>
  <si>
    <t>95</t>
  </si>
  <si>
    <t>96</t>
  </si>
  <si>
    <t>Завьяловское</t>
  </si>
  <si>
    <t>94616415</t>
  </si>
  <si>
    <t>97</t>
  </si>
  <si>
    <t>Италмасовское</t>
  </si>
  <si>
    <t>94616417</t>
  </si>
  <si>
    <t>98</t>
  </si>
  <si>
    <t>Казмасское</t>
  </si>
  <si>
    <t>94616420</t>
  </si>
  <si>
    <t>99</t>
  </si>
  <si>
    <t>94616425</t>
  </si>
  <si>
    <t>100</t>
  </si>
  <si>
    <t>Кияикское</t>
  </si>
  <si>
    <t>94616428</t>
  </si>
  <si>
    <t>101</t>
  </si>
  <si>
    <t>94616430</t>
  </si>
  <si>
    <t>102</t>
  </si>
  <si>
    <t>94616432</t>
  </si>
  <si>
    <t>103</t>
  </si>
  <si>
    <t>94616435</t>
  </si>
  <si>
    <t>104</t>
  </si>
  <si>
    <t>Пироговское</t>
  </si>
  <si>
    <t>94616437</t>
  </si>
  <si>
    <t>105</t>
  </si>
  <si>
    <t>Подшиваловское</t>
  </si>
  <si>
    <t>94616440</t>
  </si>
  <si>
    <t>106</t>
  </si>
  <si>
    <t>Совхозное</t>
  </si>
  <si>
    <t>94616455</t>
  </si>
  <si>
    <t>107</t>
  </si>
  <si>
    <t>Среднепостольское</t>
  </si>
  <si>
    <t>94616445</t>
  </si>
  <si>
    <t>108</t>
  </si>
  <si>
    <t>Хохряковское</t>
  </si>
  <si>
    <t>94616447</t>
  </si>
  <si>
    <t>109</t>
  </si>
  <si>
    <t>Шабердинское</t>
  </si>
  <si>
    <t>94616450</t>
  </si>
  <si>
    <t>110</t>
  </si>
  <si>
    <t>Ягульское</t>
  </si>
  <si>
    <t>94616460</t>
  </si>
  <si>
    <t>111</t>
  </si>
  <si>
    <t>Якшурское</t>
  </si>
  <si>
    <t>94616465</t>
  </si>
  <si>
    <t>112</t>
  </si>
  <si>
    <t>Игринский муниципальный район</t>
  </si>
  <si>
    <t>94618000</t>
  </si>
  <si>
    <t>Беляевское</t>
  </si>
  <si>
    <t>94618445</t>
  </si>
  <si>
    <t>113</t>
  </si>
  <si>
    <t>Зуринское</t>
  </si>
  <si>
    <t>94618410</t>
  </si>
  <si>
    <t>114</t>
  </si>
  <si>
    <t>115</t>
  </si>
  <si>
    <t>Игринское</t>
  </si>
  <si>
    <t>94618415</t>
  </si>
  <si>
    <t>116</t>
  </si>
  <si>
    <t>Кабачигуртское</t>
  </si>
  <si>
    <t>94618420</t>
  </si>
  <si>
    <t>117</t>
  </si>
  <si>
    <t>Комсомольское</t>
  </si>
  <si>
    <t>94618426</t>
  </si>
  <si>
    <t>118</t>
  </si>
  <si>
    <t>Кушьинское</t>
  </si>
  <si>
    <t>94618427</t>
  </si>
  <si>
    <t>119</t>
  </si>
  <si>
    <t>Лозинское</t>
  </si>
  <si>
    <t>94618430</t>
  </si>
  <si>
    <t>120</t>
  </si>
  <si>
    <t>Лозо-Люкское</t>
  </si>
  <si>
    <t>94618425</t>
  </si>
  <si>
    <t>121</t>
  </si>
  <si>
    <t>Лонки-Ворцинское</t>
  </si>
  <si>
    <t>94618465</t>
  </si>
  <si>
    <t>122</t>
  </si>
  <si>
    <t>Мужберское</t>
  </si>
  <si>
    <t>94618435</t>
  </si>
  <si>
    <t>123</t>
  </si>
  <si>
    <t>Новозятцинское</t>
  </si>
  <si>
    <t>94618440</t>
  </si>
  <si>
    <t>124</t>
  </si>
  <si>
    <t>Сепское</t>
  </si>
  <si>
    <t>94618450</t>
  </si>
  <si>
    <t>125</t>
  </si>
  <si>
    <t>Сундурское</t>
  </si>
  <si>
    <t>94618451</t>
  </si>
  <si>
    <t>126</t>
  </si>
  <si>
    <t>Факельское</t>
  </si>
  <si>
    <t>94618453</t>
  </si>
  <si>
    <t>127</t>
  </si>
  <si>
    <t>Чутырское</t>
  </si>
  <si>
    <t>94618455</t>
  </si>
  <si>
    <t>128</t>
  </si>
  <si>
    <t>Камбарский муниципальный район</t>
  </si>
  <si>
    <t>94620000</t>
  </si>
  <si>
    <t>Армязьское</t>
  </si>
  <si>
    <t>94620403</t>
  </si>
  <si>
    <t>129</t>
  </si>
  <si>
    <t>Борковское</t>
  </si>
  <si>
    <t>94620408</t>
  </si>
  <si>
    <t>130</t>
  </si>
  <si>
    <t>Ершовское</t>
  </si>
  <si>
    <t>94620415</t>
  </si>
  <si>
    <t>131</t>
  </si>
  <si>
    <t>132</t>
  </si>
  <si>
    <t>Камбарское</t>
  </si>
  <si>
    <t>94620101</t>
  </si>
  <si>
    <t>городское поселение, в состав которого входит город</t>
  </si>
  <si>
    <t>133</t>
  </si>
  <si>
    <t>94620420</t>
  </si>
  <si>
    <t>134</t>
  </si>
  <si>
    <t>Михайловское</t>
  </si>
  <si>
    <t>94620422</t>
  </si>
  <si>
    <t>135</t>
  </si>
  <si>
    <t>Нефтебазинское</t>
  </si>
  <si>
    <t>94620430</t>
  </si>
  <si>
    <t>136</t>
  </si>
  <si>
    <t>Шольинское</t>
  </si>
  <si>
    <t>94620450</t>
  </si>
  <si>
    <t>137</t>
  </si>
  <si>
    <t>Каракулинский муниципальный район</t>
  </si>
  <si>
    <t>94622000</t>
  </si>
  <si>
    <t>Арзамасцевское</t>
  </si>
  <si>
    <t>94622411</t>
  </si>
  <si>
    <t>138</t>
  </si>
  <si>
    <t>Боярское</t>
  </si>
  <si>
    <t>94622427</t>
  </si>
  <si>
    <t>139</t>
  </si>
  <si>
    <t>Быргындинское</t>
  </si>
  <si>
    <t>94622430</t>
  </si>
  <si>
    <t>140</t>
  </si>
  <si>
    <t>Вятское</t>
  </si>
  <si>
    <t>94622433</t>
  </si>
  <si>
    <t>141</t>
  </si>
  <si>
    <t>Галановское</t>
  </si>
  <si>
    <t>94622444</t>
  </si>
  <si>
    <t>142</t>
  </si>
  <si>
    <t>143</t>
  </si>
  <si>
    <t>Каракулинское</t>
  </si>
  <si>
    <t>94622455</t>
  </si>
  <si>
    <t>144</t>
  </si>
  <si>
    <t>Колесниковское</t>
  </si>
  <si>
    <t>94622456</t>
  </si>
  <si>
    <t>145</t>
  </si>
  <si>
    <t>Кулюшевское</t>
  </si>
  <si>
    <t>94622458</t>
  </si>
  <si>
    <t>146</t>
  </si>
  <si>
    <t>Малокалмашинское</t>
  </si>
  <si>
    <t>94622422</t>
  </si>
  <si>
    <t>147</t>
  </si>
  <si>
    <t>Ныргындинское</t>
  </si>
  <si>
    <t>94622466</t>
  </si>
  <si>
    <t>148</t>
  </si>
  <si>
    <t>Пинязьское</t>
  </si>
  <si>
    <t>94622470</t>
  </si>
  <si>
    <t>149</t>
  </si>
  <si>
    <t>Чегандинское</t>
  </si>
  <si>
    <t>94622477</t>
  </si>
  <si>
    <t>150</t>
  </si>
  <si>
    <t>Кезский муниципальный район</t>
  </si>
  <si>
    <t>94624000</t>
  </si>
  <si>
    <t>Большеолыпское</t>
  </si>
  <si>
    <t>94624415</t>
  </si>
  <si>
    <t>151</t>
  </si>
  <si>
    <t>Гыинское</t>
  </si>
  <si>
    <t>94624420</t>
  </si>
  <si>
    <t>152</t>
  </si>
  <si>
    <t>Кабалудское</t>
  </si>
  <si>
    <t>94624425</t>
  </si>
  <si>
    <t>153</t>
  </si>
  <si>
    <t>154</t>
  </si>
  <si>
    <t>Кезское</t>
  </si>
  <si>
    <t>94624426</t>
  </si>
  <si>
    <t>155</t>
  </si>
  <si>
    <t>Ключевское</t>
  </si>
  <si>
    <t>94624428</t>
  </si>
  <si>
    <t>156</t>
  </si>
  <si>
    <t>Кузьминское</t>
  </si>
  <si>
    <t>94624430</t>
  </si>
  <si>
    <t>157</t>
  </si>
  <si>
    <t>Кулигинское</t>
  </si>
  <si>
    <t>94624435</t>
  </si>
  <si>
    <t>158</t>
  </si>
  <si>
    <t>Мысовское</t>
  </si>
  <si>
    <t>94624440</t>
  </si>
  <si>
    <t>159</t>
  </si>
  <si>
    <t>Новоунтемское</t>
  </si>
  <si>
    <t>94624445</t>
  </si>
  <si>
    <t>160</t>
  </si>
  <si>
    <t>Поломское</t>
  </si>
  <si>
    <t>94624455</t>
  </si>
  <si>
    <t>161</t>
  </si>
  <si>
    <t>Сосновоборское</t>
  </si>
  <si>
    <t>94624462</t>
  </si>
  <si>
    <t>162</t>
  </si>
  <si>
    <t>Степаненское</t>
  </si>
  <si>
    <t>94624465</t>
  </si>
  <si>
    <t>163</t>
  </si>
  <si>
    <t>Сюрзинское</t>
  </si>
  <si>
    <t>94624468</t>
  </si>
  <si>
    <t>164</t>
  </si>
  <si>
    <t>Чепецкое</t>
  </si>
  <si>
    <t>94624480</t>
  </si>
  <si>
    <t>165</t>
  </si>
  <si>
    <t>Юскинское</t>
  </si>
  <si>
    <t>94624485</t>
  </si>
  <si>
    <t>166</t>
  </si>
  <si>
    <t>Кизнерский муниципальный район</t>
  </si>
  <si>
    <t>94626000</t>
  </si>
  <si>
    <t>Балдеевское</t>
  </si>
  <si>
    <t>94626405</t>
  </si>
  <si>
    <t>167</t>
  </si>
  <si>
    <t>Безменшурское</t>
  </si>
  <si>
    <t>94626410</t>
  </si>
  <si>
    <t>168</t>
  </si>
  <si>
    <t>Бемыжское</t>
  </si>
  <si>
    <t>94626415</t>
  </si>
  <si>
    <t>169</t>
  </si>
  <si>
    <t>Верхнебемыжское</t>
  </si>
  <si>
    <t>94626422</t>
  </si>
  <si>
    <t>170</t>
  </si>
  <si>
    <t>171</t>
  </si>
  <si>
    <t>Кизнерское</t>
  </si>
  <si>
    <t>94626435</t>
  </si>
  <si>
    <t>172</t>
  </si>
  <si>
    <t>Короленковское</t>
  </si>
  <si>
    <t>94626440</t>
  </si>
  <si>
    <t>173</t>
  </si>
  <si>
    <t>Крымско-Слудское</t>
  </si>
  <si>
    <t>94626445</t>
  </si>
  <si>
    <t>174</t>
  </si>
  <si>
    <t>Липовское</t>
  </si>
  <si>
    <t>94626451</t>
  </si>
  <si>
    <t>175</t>
  </si>
  <si>
    <t>Муркозь-Омгинское</t>
  </si>
  <si>
    <t>94626455</t>
  </si>
  <si>
    <t>176</t>
  </si>
  <si>
    <t>Саркузское</t>
  </si>
  <si>
    <t>94626460</t>
  </si>
  <si>
    <t>177</t>
  </si>
  <si>
    <t>Старободьинское</t>
  </si>
  <si>
    <t>94626463</t>
  </si>
  <si>
    <t>178</t>
  </si>
  <si>
    <t>Старокармыжское</t>
  </si>
  <si>
    <t>94626464</t>
  </si>
  <si>
    <t>179</t>
  </si>
  <si>
    <t>Старокопкинское</t>
  </si>
  <si>
    <t>94626465</t>
  </si>
  <si>
    <t>180</t>
  </si>
  <si>
    <t>94626470</t>
  </si>
  <si>
    <t>181</t>
  </si>
  <si>
    <t>Киясовский муниципальный район</t>
  </si>
  <si>
    <t>94628000</t>
  </si>
  <si>
    <t>Ермолаевское</t>
  </si>
  <si>
    <t>94628411</t>
  </si>
  <si>
    <t>182</t>
  </si>
  <si>
    <t>Ильдибаевское</t>
  </si>
  <si>
    <t>94628422</t>
  </si>
  <si>
    <t>183</t>
  </si>
  <si>
    <t>Карамас-Пельгинское</t>
  </si>
  <si>
    <t>94628433</t>
  </si>
  <si>
    <t>184</t>
  </si>
  <si>
    <t>185</t>
  </si>
  <si>
    <t>Киясовское</t>
  </si>
  <si>
    <t>94628444</t>
  </si>
  <si>
    <t>186</t>
  </si>
  <si>
    <t>Лутохинское</t>
  </si>
  <si>
    <t>94628455</t>
  </si>
  <si>
    <t>187</t>
  </si>
  <si>
    <t>Мушаковское</t>
  </si>
  <si>
    <t>94628466</t>
  </si>
  <si>
    <t>188</t>
  </si>
  <si>
    <t>94628477</t>
  </si>
  <si>
    <t>189</t>
  </si>
  <si>
    <t>Подгорновское</t>
  </si>
  <si>
    <t>94628488</t>
  </si>
  <si>
    <t>190</t>
  </si>
  <si>
    <t>Красногорский муниципальный район</t>
  </si>
  <si>
    <t>94630000</t>
  </si>
  <si>
    <t>Агрикольское</t>
  </si>
  <si>
    <t>94630405</t>
  </si>
  <si>
    <t>191</t>
  </si>
  <si>
    <t>Архангельское</t>
  </si>
  <si>
    <t>94630411</t>
  </si>
  <si>
    <t>192</t>
  </si>
  <si>
    <t>Валамаз</t>
  </si>
  <si>
    <t>94630430</t>
  </si>
  <si>
    <t>193</t>
  </si>
  <si>
    <t>Васильевское</t>
  </si>
  <si>
    <t>94630433</t>
  </si>
  <si>
    <t>194</t>
  </si>
  <si>
    <t>Дебинское</t>
  </si>
  <si>
    <t>94630444</t>
  </si>
  <si>
    <t>195</t>
  </si>
  <si>
    <t>Кокман</t>
  </si>
  <si>
    <t>94630455</t>
  </si>
  <si>
    <t>196</t>
  </si>
  <si>
    <t>197</t>
  </si>
  <si>
    <t>Красногорское</t>
  </si>
  <si>
    <t>94630466</t>
  </si>
  <si>
    <t>198</t>
  </si>
  <si>
    <t>Курьинское</t>
  </si>
  <si>
    <t>94630477</t>
  </si>
  <si>
    <t>199</t>
  </si>
  <si>
    <t>Прохоровское</t>
  </si>
  <si>
    <t>94630488</t>
  </si>
  <si>
    <t>200</t>
  </si>
  <si>
    <t>Селеговское</t>
  </si>
  <si>
    <t>94630422</t>
  </si>
  <si>
    <t>201</t>
  </si>
  <si>
    <t>Малопургинский муниципальный район</t>
  </si>
  <si>
    <t>94633000</t>
  </si>
  <si>
    <t>Аксакшурское</t>
  </si>
  <si>
    <t>94633403</t>
  </si>
  <si>
    <t>202</t>
  </si>
  <si>
    <t>Баграш-Бигринское</t>
  </si>
  <si>
    <t>94633408</t>
  </si>
  <si>
    <t>203</t>
  </si>
  <si>
    <t>Бобья-Учинское</t>
  </si>
  <si>
    <t>94633410</t>
  </si>
  <si>
    <t>204</t>
  </si>
  <si>
    <t>Бурановское</t>
  </si>
  <si>
    <t>94633420</t>
  </si>
  <si>
    <t>205</t>
  </si>
  <si>
    <t>Иваново-Самарское</t>
  </si>
  <si>
    <t>94633425</t>
  </si>
  <si>
    <t>206</t>
  </si>
  <si>
    <t>Ильинское</t>
  </si>
  <si>
    <t>94633430</t>
  </si>
  <si>
    <t>207</t>
  </si>
  <si>
    <t>Кечевское</t>
  </si>
  <si>
    <t>94633440</t>
  </si>
  <si>
    <t>208</t>
  </si>
  <si>
    <t>209</t>
  </si>
  <si>
    <t>Малопургинское</t>
  </si>
  <si>
    <t>94633450</t>
  </si>
  <si>
    <t>210</t>
  </si>
  <si>
    <t>Нижнеюринское</t>
  </si>
  <si>
    <t>94633460</t>
  </si>
  <si>
    <t>211</t>
  </si>
  <si>
    <t>Норьинское</t>
  </si>
  <si>
    <t>94633470</t>
  </si>
  <si>
    <t>212</t>
  </si>
  <si>
    <t>Постольское</t>
  </si>
  <si>
    <t>94633475</t>
  </si>
  <si>
    <t>213</t>
  </si>
  <si>
    <t>Пугачевское</t>
  </si>
  <si>
    <t>94633477</t>
  </si>
  <si>
    <t>214</t>
  </si>
  <si>
    <t>Старомоньинское</t>
  </si>
  <si>
    <t>94633480</t>
  </si>
  <si>
    <t>215</t>
  </si>
  <si>
    <t>Уромское</t>
  </si>
  <si>
    <t>94633490</t>
  </si>
  <si>
    <t>216</t>
  </si>
  <si>
    <t>Яганское</t>
  </si>
  <si>
    <t>94633495</t>
  </si>
  <si>
    <t>217</t>
  </si>
  <si>
    <t>Можгинский муниципальный район</t>
  </si>
  <si>
    <t>94635000</t>
  </si>
  <si>
    <t>Александровское</t>
  </si>
  <si>
    <t>94635403</t>
  </si>
  <si>
    <t>218</t>
  </si>
  <si>
    <t>Большекибьинское</t>
  </si>
  <si>
    <t>94635405</t>
  </si>
  <si>
    <t>219</t>
  </si>
  <si>
    <t>Большепудгинское</t>
  </si>
  <si>
    <t>94635410</t>
  </si>
  <si>
    <t>220</t>
  </si>
  <si>
    <t>Большесибинское</t>
  </si>
  <si>
    <t>94635412</t>
  </si>
  <si>
    <t>221</t>
  </si>
  <si>
    <t>Большеучинское</t>
  </si>
  <si>
    <t>94635415</t>
  </si>
  <si>
    <t>222</t>
  </si>
  <si>
    <t>Верхнеюринское</t>
  </si>
  <si>
    <t>94635417</t>
  </si>
  <si>
    <t>223</t>
  </si>
  <si>
    <t>Горнякское</t>
  </si>
  <si>
    <t>94635418</t>
  </si>
  <si>
    <t>224</t>
  </si>
  <si>
    <t>Кватчинское</t>
  </si>
  <si>
    <t>94635420</t>
  </si>
  <si>
    <t>225</t>
  </si>
  <si>
    <t>Люгинское</t>
  </si>
  <si>
    <t>94635422</t>
  </si>
  <si>
    <t>226</t>
  </si>
  <si>
    <t>Маловоложикьинское</t>
  </si>
  <si>
    <t>94635425</t>
  </si>
  <si>
    <t>227</t>
  </si>
  <si>
    <t>Мельниковское</t>
  </si>
  <si>
    <t>94635430</t>
  </si>
  <si>
    <t>228</t>
  </si>
  <si>
    <t>229</t>
  </si>
  <si>
    <t>Можгинское</t>
  </si>
  <si>
    <t>94635435</t>
  </si>
  <si>
    <t>230</t>
  </si>
  <si>
    <t>Нынекское</t>
  </si>
  <si>
    <t>94635445</t>
  </si>
  <si>
    <t>231</t>
  </si>
  <si>
    <t>Нышинское</t>
  </si>
  <si>
    <t>94635447</t>
  </si>
  <si>
    <t>232</t>
  </si>
  <si>
    <t>Пазяльское</t>
  </si>
  <si>
    <t>94635449</t>
  </si>
  <si>
    <t>233</t>
  </si>
  <si>
    <t>Пычасское</t>
  </si>
  <si>
    <t>94635451</t>
  </si>
  <si>
    <t>234</t>
  </si>
  <si>
    <t>Старокаксинское</t>
  </si>
  <si>
    <t>94635455</t>
  </si>
  <si>
    <t>235</t>
  </si>
  <si>
    <t>Сюгаильское</t>
  </si>
  <si>
    <t>94635460</t>
  </si>
  <si>
    <t>236</t>
  </si>
  <si>
    <t>Черемушкинское</t>
  </si>
  <si>
    <t>94635465</t>
  </si>
  <si>
    <t>237</t>
  </si>
  <si>
    <t>Муниципальный округ Алнашский район</t>
  </si>
  <si>
    <t>94502000</t>
  </si>
  <si>
    <t>муниципальный округ</t>
  </si>
  <si>
    <t>238</t>
  </si>
  <si>
    <t>Муниципальный округ Балезинский район</t>
  </si>
  <si>
    <t>94504000</t>
  </si>
  <si>
    <t>239</t>
  </si>
  <si>
    <t>Муниципальный округ Вавожский район</t>
  </si>
  <si>
    <t>94506000</t>
  </si>
  <si>
    <t>240</t>
  </si>
  <si>
    <t>Муниципальный округ Воткинский район</t>
  </si>
  <si>
    <t>94508000</t>
  </si>
  <si>
    <t>241</t>
  </si>
  <si>
    <t>Муниципальный округ Глазовский район</t>
  </si>
  <si>
    <t>94510000</t>
  </si>
  <si>
    <t>242</t>
  </si>
  <si>
    <t>Муниципальный округ Граховский район</t>
  </si>
  <si>
    <t>94512000</t>
  </si>
  <si>
    <t>243</t>
  </si>
  <si>
    <t>Муниципальный округ Дебесский район</t>
  </si>
  <si>
    <t>94514000</t>
  </si>
  <si>
    <t>244</t>
  </si>
  <si>
    <t>Муниципальный округ Завьяловский район</t>
  </si>
  <si>
    <t>94516000</t>
  </si>
  <si>
    <t>245</t>
  </si>
  <si>
    <t>Муниципальный округ Игринский район</t>
  </si>
  <si>
    <t>94518000</t>
  </si>
  <si>
    <t>246</t>
  </si>
  <si>
    <t>Муниципальный округ Камбарский район</t>
  </si>
  <si>
    <t>94520000</t>
  </si>
  <si>
    <t>247</t>
  </si>
  <si>
    <t>Муниципальный округ Каракулинский район</t>
  </si>
  <si>
    <t>94522000</t>
  </si>
  <si>
    <t>248</t>
  </si>
  <si>
    <t>Муниципальный округ Кезский район</t>
  </si>
  <si>
    <t>94524000</t>
  </si>
  <si>
    <t>249</t>
  </si>
  <si>
    <t>Муниципальный округ Кизнерский район</t>
  </si>
  <si>
    <t>94526000</t>
  </si>
  <si>
    <t>250</t>
  </si>
  <si>
    <t>Муниципальный округ Киясовский район</t>
  </si>
  <si>
    <t>94528000</t>
  </si>
  <si>
    <t>251</t>
  </si>
  <si>
    <t>Муниципальный округ Красногорский район</t>
  </si>
  <si>
    <t>94530000</t>
  </si>
  <si>
    <t>252</t>
  </si>
  <si>
    <t>Муниципальный округ Малопургинский район</t>
  </si>
  <si>
    <t>94533000</t>
  </si>
  <si>
    <t>253</t>
  </si>
  <si>
    <t>Муниципальный округ Можгинский район</t>
  </si>
  <si>
    <t>94535000</t>
  </si>
  <si>
    <t>254</t>
  </si>
  <si>
    <t>Муниципальный округ Сарапульский район</t>
  </si>
  <si>
    <t>94537000</t>
  </si>
  <si>
    <t>255</t>
  </si>
  <si>
    <t>Муниципальный округ Селтинский район</t>
  </si>
  <si>
    <t>94539000</t>
  </si>
  <si>
    <t>256</t>
  </si>
  <si>
    <t>Муниципальный округ Сюмсинский район</t>
  </si>
  <si>
    <t>94541000</t>
  </si>
  <si>
    <t>257</t>
  </si>
  <si>
    <t>Муниципальный округ Увинский район</t>
  </si>
  <si>
    <t>94544000</t>
  </si>
  <si>
    <t>258</t>
  </si>
  <si>
    <t>Муниципальный округ Шарканский район</t>
  </si>
  <si>
    <t>94546000</t>
  </si>
  <si>
    <t>259</t>
  </si>
  <si>
    <t>Муниципальный округ Юкаменский район</t>
  </si>
  <si>
    <t>94548000</t>
  </si>
  <si>
    <t>260</t>
  </si>
  <si>
    <t>Муниципальный округ Якшур-Бодьинский район</t>
  </si>
  <si>
    <t>94550000</t>
  </si>
  <si>
    <t>261</t>
  </si>
  <si>
    <t>Муниципальный округ Ярский район</t>
  </si>
  <si>
    <t>94552000</t>
  </si>
  <si>
    <t>262</t>
  </si>
  <si>
    <t>Сарапульский муниципальный район</t>
  </si>
  <si>
    <t>94637000</t>
  </si>
  <si>
    <t>Девятовское</t>
  </si>
  <si>
    <t>94637403</t>
  </si>
  <si>
    <t>263</t>
  </si>
  <si>
    <t>Дулесовское</t>
  </si>
  <si>
    <t>94637405</t>
  </si>
  <si>
    <t>264</t>
  </si>
  <si>
    <t>Кигбаевское</t>
  </si>
  <si>
    <t>94637415</t>
  </si>
  <si>
    <t>265</t>
  </si>
  <si>
    <t>Мазунинское</t>
  </si>
  <si>
    <t>94637420</t>
  </si>
  <si>
    <t>266</t>
  </si>
  <si>
    <t>Мостовинское</t>
  </si>
  <si>
    <t>94637425</t>
  </si>
  <si>
    <t>267</t>
  </si>
  <si>
    <t>Нечкинское</t>
  </si>
  <si>
    <t>94637430</t>
  </si>
  <si>
    <t>268</t>
  </si>
  <si>
    <t>94637465</t>
  </si>
  <si>
    <t>269</t>
  </si>
  <si>
    <t>Оленье Болото</t>
  </si>
  <si>
    <t>94637431</t>
  </si>
  <si>
    <t>270</t>
  </si>
  <si>
    <t>271</t>
  </si>
  <si>
    <t>Северное</t>
  </si>
  <si>
    <t>94637433</t>
  </si>
  <si>
    <t>272</t>
  </si>
  <si>
    <t>Сигаевское</t>
  </si>
  <si>
    <t>94637435</t>
  </si>
  <si>
    <t>273</t>
  </si>
  <si>
    <t>Соколовское</t>
  </si>
  <si>
    <t>94637437</t>
  </si>
  <si>
    <t>274</t>
  </si>
  <si>
    <t>Тарасовское</t>
  </si>
  <si>
    <t>94637440</t>
  </si>
  <si>
    <t>275</t>
  </si>
  <si>
    <t>Уральское</t>
  </si>
  <si>
    <t>94637445</t>
  </si>
  <si>
    <t>276</t>
  </si>
  <si>
    <t>Усть-Сарапульское</t>
  </si>
  <si>
    <t>94637447</t>
  </si>
  <si>
    <t>277</t>
  </si>
  <si>
    <t>Шадринское</t>
  </si>
  <si>
    <t>94637450</t>
  </si>
  <si>
    <t>278</t>
  </si>
  <si>
    <t>Шевыряловское</t>
  </si>
  <si>
    <t>94637455</t>
  </si>
  <si>
    <t>279</t>
  </si>
  <si>
    <t>Юринское</t>
  </si>
  <si>
    <t>94637460</t>
  </si>
  <si>
    <t>280</t>
  </si>
  <si>
    <t>Селтинский муниципальный район</t>
  </si>
  <si>
    <t>94639000</t>
  </si>
  <si>
    <t>Валамазское</t>
  </si>
  <si>
    <t>94639411</t>
  </si>
  <si>
    <t>281</t>
  </si>
  <si>
    <t>Кильмезское</t>
  </si>
  <si>
    <t>94639420</t>
  </si>
  <si>
    <t>282</t>
  </si>
  <si>
    <t>Колесурское</t>
  </si>
  <si>
    <t>94639422</t>
  </si>
  <si>
    <t>283</t>
  </si>
  <si>
    <t>Копкинское</t>
  </si>
  <si>
    <t>94639433</t>
  </si>
  <si>
    <t>284</t>
  </si>
  <si>
    <t>Новомоньинское</t>
  </si>
  <si>
    <t>94639444</t>
  </si>
  <si>
    <t>285</t>
  </si>
  <si>
    <t>286</t>
  </si>
  <si>
    <t>Селтинское</t>
  </si>
  <si>
    <t>94639455</t>
  </si>
  <si>
    <t>287</t>
  </si>
  <si>
    <t>Сюромошурское</t>
  </si>
  <si>
    <t>94639458</t>
  </si>
  <si>
    <t>288</t>
  </si>
  <si>
    <t>Узинское</t>
  </si>
  <si>
    <t>94639466</t>
  </si>
  <si>
    <t>289</t>
  </si>
  <si>
    <t>Халдинское</t>
  </si>
  <si>
    <t>94639477</t>
  </si>
  <si>
    <t>290</t>
  </si>
  <si>
    <t>Сюмсинский муниципальный район</t>
  </si>
  <si>
    <t>94641000</t>
  </si>
  <si>
    <t>Васькинское</t>
  </si>
  <si>
    <t>94641411</t>
  </si>
  <si>
    <t>291</t>
  </si>
  <si>
    <t>Гуринское</t>
  </si>
  <si>
    <t>94641422</t>
  </si>
  <si>
    <t>292</t>
  </si>
  <si>
    <t>Гуртлудское</t>
  </si>
  <si>
    <t>94641433</t>
  </si>
  <si>
    <t>293</t>
  </si>
  <si>
    <t>Дмитрошурское</t>
  </si>
  <si>
    <t>94641444</t>
  </si>
  <si>
    <t>294</t>
  </si>
  <si>
    <t>94641460</t>
  </si>
  <si>
    <t>295</t>
  </si>
  <si>
    <t>Муки-Каксинское</t>
  </si>
  <si>
    <t>94641466</t>
  </si>
  <si>
    <t>296</t>
  </si>
  <si>
    <t>Орловское</t>
  </si>
  <si>
    <t>94641455</t>
  </si>
  <si>
    <t>297</t>
  </si>
  <si>
    <t>298</t>
  </si>
  <si>
    <t>Сюмсинское</t>
  </si>
  <si>
    <t>94641488</t>
  </si>
  <si>
    <t>299</t>
  </si>
  <si>
    <t>Увинский муниципальный район</t>
  </si>
  <si>
    <t>94644000</t>
  </si>
  <si>
    <t>Булайское</t>
  </si>
  <si>
    <t>94644455</t>
  </si>
  <si>
    <t>300</t>
  </si>
  <si>
    <t>Жужгесское</t>
  </si>
  <si>
    <t>94644403</t>
  </si>
  <si>
    <t>301</t>
  </si>
  <si>
    <t>Каркалайское</t>
  </si>
  <si>
    <t>94644405</t>
  </si>
  <si>
    <t>302</t>
  </si>
  <si>
    <t>Красносельское</t>
  </si>
  <si>
    <t>94644415</t>
  </si>
  <si>
    <t>303</t>
  </si>
  <si>
    <t>Кулябинское</t>
  </si>
  <si>
    <t>94644420</t>
  </si>
  <si>
    <t>304</t>
  </si>
  <si>
    <t>Кыйлудское</t>
  </si>
  <si>
    <t>94644425</t>
  </si>
  <si>
    <t>305</t>
  </si>
  <si>
    <t>Мушковайское</t>
  </si>
  <si>
    <t>94644435</t>
  </si>
  <si>
    <t>306</t>
  </si>
  <si>
    <t>Новомултанское</t>
  </si>
  <si>
    <t>94644428</t>
  </si>
  <si>
    <t>307</t>
  </si>
  <si>
    <t>Нылгинское</t>
  </si>
  <si>
    <t>94644430</t>
  </si>
  <si>
    <t>308</t>
  </si>
  <si>
    <t>Петропавловское</t>
  </si>
  <si>
    <t>94644445</t>
  </si>
  <si>
    <t>309</t>
  </si>
  <si>
    <t>Поршур-Туклинское</t>
  </si>
  <si>
    <t>94644450</t>
  </si>
  <si>
    <t>310</t>
  </si>
  <si>
    <t>Сям-Можгинское</t>
  </si>
  <si>
    <t>94644460</t>
  </si>
  <si>
    <t>311</t>
  </si>
  <si>
    <t>Ува-Туклинское</t>
  </si>
  <si>
    <t>94644465</t>
  </si>
  <si>
    <t>312</t>
  </si>
  <si>
    <t>313</t>
  </si>
  <si>
    <t>Увинское</t>
  </si>
  <si>
    <t>94644466</t>
  </si>
  <si>
    <t>314</t>
  </si>
  <si>
    <t>Удгучинское</t>
  </si>
  <si>
    <t>94644470</t>
  </si>
  <si>
    <t>315</t>
  </si>
  <si>
    <t>Чеканское</t>
  </si>
  <si>
    <t>94644480</t>
  </si>
  <si>
    <t>316</t>
  </si>
  <si>
    <t>Чистостемское</t>
  </si>
  <si>
    <t>94644482</t>
  </si>
  <si>
    <t>317</t>
  </si>
  <si>
    <t>Шарканский муниципальный район</t>
  </si>
  <si>
    <t>94646000</t>
  </si>
  <si>
    <t>Бородулинское</t>
  </si>
  <si>
    <t>94646405</t>
  </si>
  <si>
    <t>318</t>
  </si>
  <si>
    <t>Быгинское</t>
  </si>
  <si>
    <t>94646407</t>
  </si>
  <si>
    <t>319</t>
  </si>
  <si>
    <t>Вортчинское</t>
  </si>
  <si>
    <t>94646408</t>
  </si>
  <si>
    <t>320</t>
  </si>
  <si>
    <t>Заречно-Вишурское</t>
  </si>
  <si>
    <t>94646440</t>
  </si>
  <si>
    <t>321</t>
  </si>
  <si>
    <t>Зюзинское</t>
  </si>
  <si>
    <t>94646410</t>
  </si>
  <si>
    <t>322</t>
  </si>
  <si>
    <t>Карсашурское</t>
  </si>
  <si>
    <t>94646418</t>
  </si>
  <si>
    <t>323</t>
  </si>
  <si>
    <t>Кыквинское</t>
  </si>
  <si>
    <t>94646425</t>
  </si>
  <si>
    <t>324</t>
  </si>
  <si>
    <t>Ляльшурское</t>
  </si>
  <si>
    <t>94646427</t>
  </si>
  <si>
    <t>325</t>
  </si>
  <si>
    <t>Мишкинское</t>
  </si>
  <si>
    <t>94646430</t>
  </si>
  <si>
    <t>326</t>
  </si>
  <si>
    <t>Мувырское</t>
  </si>
  <si>
    <t>94646450</t>
  </si>
  <si>
    <t>327</t>
  </si>
  <si>
    <t>Нижнекиварское</t>
  </si>
  <si>
    <t>94646435</t>
  </si>
  <si>
    <t>328</t>
  </si>
  <si>
    <t>Порозовское</t>
  </si>
  <si>
    <t>94646442</t>
  </si>
  <si>
    <t>329</t>
  </si>
  <si>
    <t>Сосновское</t>
  </si>
  <si>
    <t>94646445</t>
  </si>
  <si>
    <t>330</t>
  </si>
  <si>
    <t>Сюрсовайское</t>
  </si>
  <si>
    <t>94646455</t>
  </si>
  <si>
    <t>331</t>
  </si>
  <si>
    <t>332</t>
  </si>
  <si>
    <t>Шарканское</t>
  </si>
  <si>
    <t>94646460</t>
  </si>
  <si>
    <t>333</t>
  </si>
  <si>
    <t>Юкаменский муниципальный район</t>
  </si>
  <si>
    <t>94648000</t>
  </si>
  <si>
    <t>Верх-Унинское</t>
  </si>
  <si>
    <t>94648407</t>
  </si>
  <si>
    <t>334</t>
  </si>
  <si>
    <t>Ежевское</t>
  </si>
  <si>
    <t>94648411</t>
  </si>
  <si>
    <t>335</t>
  </si>
  <si>
    <t>Ертемское</t>
  </si>
  <si>
    <t>94648413</t>
  </si>
  <si>
    <t>336</t>
  </si>
  <si>
    <t>Засековское</t>
  </si>
  <si>
    <t>94648422</t>
  </si>
  <si>
    <t>337</t>
  </si>
  <si>
    <t>Палагайское</t>
  </si>
  <si>
    <t>94648433</t>
  </si>
  <si>
    <t>338</t>
  </si>
  <si>
    <t>Пышкетское</t>
  </si>
  <si>
    <t>94648444</t>
  </si>
  <si>
    <t>339</t>
  </si>
  <si>
    <t>Шамардановское</t>
  </si>
  <si>
    <t>94648455</t>
  </si>
  <si>
    <t>340</t>
  </si>
  <si>
    <t>341</t>
  </si>
  <si>
    <t>Юкаменское</t>
  </si>
  <si>
    <t>94648477</t>
  </si>
  <si>
    <t>342</t>
  </si>
  <si>
    <t>Якшур-Бодьинский муниципальный район</t>
  </si>
  <si>
    <t>94650000</t>
  </si>
  <si>
    <t>Большеошворцинское</t>
  </si>
  <si>
    <t>94650405</t>
  </si>
  <si>
    <t>343</t>
  </si>
  <si>
    <t>Варавайское</t>
  </si>
  <si>
    <t>94650410</t>
  </si>
  <si>
    <t>344</t>
  </si>
  <si>
    <t>Кекоранское</t>
  </si>
  <si>
    <t>94650420</t>
  </si>
  <si>
    <t>345</t>
  </si>
  <si>
    <t>Лынгинское</t>
  </si>
  <si>
    <t>94650425</t>
  </si>
  <si>
    <t>346</t>
  </si>
  <si>
    <t>Мукшинское</t>
  </si>
  <si>
    <t>94650430</t>
  </si>
  <si>
    <t>347</t>
  </si>
  <si>
    <t>Пушкаревское</t>
  </si>
  <si>
    <t>94650435</t>
  </si>
  <si>
    <t>348</t>
  </si>
  <si>
    <t>Селычинское</t>
  </si>
  <si>
    <t>94650438</t>
  </si>
  <si>
    <t>349</t>
  </si>
  <si>
    <t>Старозятцинское</t>
  </si>
  <si>
    <t>94650440</t>
  </si>
  <si>
    <t>350</t>
  </si>
  <si>
    <t>Чернушинское</t>
  </si>
  <si>
    <t>94650445</t>
  </si>
  <si>
    <t>351</t>
  </si>
  <si>
    <t>Чуровское</t>
  </si>
  <si>
    <t>94650447</t>
  </si>
  <si>
    <t>352</t>
  </si>
  <si>
    <t>353</t>
  </si>
  <si>
    <t>Якшур-Бодьинское</t>
  </si>
  <si>
    <t>94650450</t>
  </si>
  <si>
    <t>354</t>
  </si>
  <si>
    <t>94650448</t>
  </si>
  <si>
    <t>355</t>
  </si>
  <si>
    <t>Ярский муниципальный район</t>
  </si>
  <si>
    <t>94652000</t>
  </si>
  <si>
    <t>Бармашурское</t>
  </si>
  <si>
    <t>94652406</t>
  </si>
  <si>
    <t>356</t>
  </si>
  <si>
    <t>Бачумовское</t>
  </si>
  <si>
    <t>94652410</t>
  </si>
  <si>
    <t>357</t>
  </si>
  <si>
    <t>Ворцинское</t>
  </si>
  <si>
    <t>94652420</t>
  </si>
  <si>
    <t>358</t>
  </si>
  <si>
    <t>Дизьминское</t>
  </si>
  <si>
    <t>94652430</t>
  </si>
  <si>
    <t>359</t>
  </si>
  <si>
    <t>Еловское</t>
  </si>
  <si>
    <t>94652440</t>
  </si>
  <si>
    <t>360</t>
  </si>
  <si>
    <t>Зюинское</t>
  </si>
  <si>
    <t>94652445</t>
  </si>
  <si>
    <t>361</t>
  </si>
  <si>
    <t>Казаковское</t>
  </si>
  <si>
    <t>94652450</t>
  </si>
  <si>
    <t>362</t>
  </si>
  <si>
    <t>Пудемское</t>
  </si>
  <si>
    <t>94652461</t>
  </si>
  <si>
    <t>363</t>
  </si>
  <si>
    <t>Уканское</t>
  </si>
  <si>
    <t>94652470</t>
  </si>
  <si>
    <t>364</t>
  </si>
  <si>
    <t>365</t>
  </si>
  <si>
    <t>Ярское</t>
  </si>
  <si>
    <t>94652480</t>
  </si>
  <si>
    <t>366</t>
  </si>
  <si>
    <t>NUMBER_POINT</t>
  </si>
  <si>
    <t>L_NAME</t>
  </si>
  <si>
    <t>L_START_DATE</t>
  </si>
  <si>
    <t>L_END_DATE</t>
  </si>
  <si>
    <t>Инвестиционная программа № 01-05/464 от 10.09.2018 ООО УК "Соцкомсервис" в сфере холодного водоснабжения по модернизации и реконструкции водопроводных сетей на 2019-2021 годы</t>
  </si>
  <si>
    <t>01.01.2019</t>
  </si>
  <si>
    <t>31.12.2021</t>
  </si>
  <si>
    <t>Инвестиционная программа № 01-05/464 от 10.09.2018 ООО УК "Соцкомсервис" в сфере холодного водоснабжения по модернизации и реконструкции водопроводных сетей, на территории муниципального района Якшур-Бодьинский на 2019-2021 годы</t>
  </si>
  <si>
    <t>Инвестиционная программа № 01-05/595 от 30.10.2018 МУП г. Сарапула "Сарапульский водоканал" в сфере водоснабжения и водоотведения по модернизации и строительству систем инженерной инфраструктуры, на территории городского округа Сарапул на 2019-2023 годы</t>
  </si>
  <si>
    <t>31.12.2023</t>
  </si>
  <si>
    <t>Инвестиционная программа № 01-05/682 от 12.12.2018 МУП г. Ижевска "Ижводоканал" в сфере водоснабжения и водоотведения по модернизации и строительству систем инженерной инфраструктуры, на территории городского округа Ижевск на 2019-2023 годы</t>
  </si>
  <si>
    <t>Инвестиционная программа № 01-09/489 от 29.10.2020 МУП "Водоканал" в сфере водоснабжения и водоотведения по развитию систем водоснабжения и водоотведения, на территории городского округа Воткинск на 2021-2030 годы</t>
  </si>
  <si>
    <t>01.01.2021</t>
  </si>
  <si>
    <t>31.12.2030</t>
  </si>
  <si>
    <t>Инвестиционная программа № 01-09/659 от 20.12.2019 АО "РИР" (филиал в г. Глазове) в сфере водоснабжения и водоотведения по модернизации и строительству систем холодного водоснабжения и водоотведения, на территории городского округа Глазов на 2019-2024 годы</t>
  </si>
  <si>
    <t>20.12.2019</t>
  </si>
  <si>
    <t>31.12.2024</t>
  </si>
  <si>
    <t>Инвестиционная программа № 01-09/659 от 20.12.2019 ООО "Тепловодоканал" (г. Глазов)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Глазов на 2019-2024 годы</t>
  </si>
  <si>
    <t>Инвестиционная программа № 01-09/670 от 27.10.2023 МУП г. Сарапула "Сарапульский водоканал" в сфере водоснабжения и водоотведения по реконструкции объектов централизованных систем водоснабжения и водоотведения, на территории городского округа Сарапул на 2024-2026 годы</t>
  </si>
  <si>
    <t>01.01.2024</t>
  </si>
  <si>
    <t>31.12.2026</t>
  </si>
  <si>
    <t>Инвестиционная программа № 01-09/672 от 27.10.2023 МУП "Теплосервис" в сфере холодного водоснабжения по реконструкции существующих объектов водопроводных сетей, на территории муниципального округа Алнашский район на 2024-2028 годы</t>
  </si>
  <si>
    <t>31.12.2028</t>
  </si>
  <si>
    <t>Инвестиционная программа № 689 от 18.12.2013 МУП г. Ижевска "Ижводоканал" в сфере водоснабжения и водоотведения по модернизации и строительству систем инженерной инфраструктуры, на территории городского округа Ижевск на 2014-2023 годы</t>
  </si>
  <si>
    <t>01.01.2014</t>
  </si>
  <si>
    <t>Инвестиционная программа № 689 от 18.12.2013 МУП г. Ижевска "Ижводоканал" в сфере водоснабжения и водоотведения по развитию централизованных систем холодного водоснабжения и водоотведения, на территории городского округа Ижевск на 2014-2024 годы</t>
  </si>
  <si>
    <t>Инвестиционная программа № 689 от 18.12.2013 МУП г. Ижевска "Ижводоканал" в сфере холодного водоснабжения по развитию систем водоснабжения, на территории городского округа Ижевск на 2014-2024 годы</t>
  </si>
  <si>
    <t>Инвестиционная программа ООО "Аквафонд" по модернизации и реконструкции системы коммунальной инфраструктуры в сфере водоснабжения и водоотведения на территории Глазовского муниципального района на 2018-2040 годы</t>
  </si>
  <si>
    <t>10.09.2018</t>
  </si>
  <si>
    <t>31.12.2040</t>
  </si>
  <si>
    <t>Инвестиционная программа от 01.11.2020 МУП "Водоканал" в сфере водоснабжения и водоотведения по строительству, реконструкции и модернизации инженерных сетей водоснабжения и водоотведения, на территории городского округа Воткинск на 2021-2023 годы</t>
  </si>
  <si>
    <t>Инвестиционная программа от 03.09.2021 МУП "Жилкоммунсервис" в сфере холодного водоснабжения по строительству, реконструкции, модернизации и развитию объектов централизованной системы водоснабжения, на территории муниципального района Граховский на 2022-2024 годы</t>
  </si>
  <si>
    <t>01.01.2022</t>
  </si>
  <si>
    <t>Инвестиционная программа от 20.11.2013 МУП г. Ижевска "Ижводоканал" в сфере водоснабжения и водоотведения по модернизации и строительству систем инженерной инфраструктуры, на территории городского округа Ижевск на 2014-2023 годы</t>
  </si>
  <si>
    <t>Инвестиционная программа от 27.10.2023 МУП "Теплосервис" в сфере холодного водоснабжения по реконструкции систем водоснабжения, на территории муниципального округа Алнашский район на 2024-2028 годы</t>
  </si>
  <si>
    <t>Инвестиционная программа от 29.10.2020 МУП "Водоканал" в сфере водоснабжения и водоотведения по строительству, реконструкции и модернизации инженерных сетей водоснабжения и водоотведения, на территории городского округа Воткинск на 2021-2028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</si>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</sst>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604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15"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0" fillId="0" borderId="0" xfId="0" applyFont="1" applyNumberFormat="1">
      <alignment vertical="center"/>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29"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9" fontId="19" fillId="35" borderId="12" xfId="0" applyFont="1" applyFill="1" applyBorder="1" applyNumberFormat="1">
      <alignment horizontal="left" vertical="center" wrapText="1" indent="6"/>
      <protection locked="0"/>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12" xfId="0" applyFont="1" applyBorder="1" applyNumberFormat="1">
      <alignment horizontal="righ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 fontId="19" fillId="0" borderId="30" xfId="0" applyFont="1" applyBorder="1" applyNumberFormat="1">
      <alignment horizontal="right"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37" fillId="0" borderId="0" xfId="0" applyFont="1" applyNumberFormat="1">
      <alignment horizontal="center" vertical="center"/>
    </xf>
    <xf numFmtId="49" fontId="37"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100" fillId="0" borderId="0" xfId="0" applyFont="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19" fillId="0" borderId="0" xfId="0" applyFont="1" applyNumberFormat="1">
      <alignment horizontal="right" vertical="center" wrapTex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0" fontId="36" fillId="0" borderId="0" xfId="0" applyFont="1" applyNumberFormat="1">
      <alignment horizontal="left" vertical="center" indent="1"/>
    </xf>
    <xf numFmtId="0" fontId="36" fillId="0" borderId="14" xfId="0" applyFont="1" applyBorder="1" applyNumberFormat="1">
      <alignment horizontal="center" vertical="center"/>
    </xf>
    <xf numFmtId="0" fontId="36" fillId="0" borderId="14" xfId="0" applyFont="1" applyBorder="1" applyNumberFormat="1">
      <alignment horizontal="center" vertical="center" wrapText="1"/>
    </xf>
    <xf numFmtId="0" fontId="36" fillId="0" borderId="12" xfId="0" applyFont="1" applyBorder="1" applyNumberFormat="1">
      <alignment horizontal="center" vertical="center" wrapText="1"/>
    </xf>
    <xf numFmtId="0" fontId="36" fillId="0" borderId="0" xfId="0" applyFont="1" applyNumberFormat="1">
      <alignment horizontal="center" vertical="center"/>
    </xf>
    <xf numFmtId="49" fontId="36" fillId="0" borderId="0" xfId="0" applyFont="1" applyNumberFormat="1">
      <alignment vertical="center" wrapText="1"/>
    </xf>
    <xf numFmtId="0" fontId="37" fillId="0" borderId="0" xfId="0" applyFont="1" applyNumberFormat="1">
      <alignment horizontal="center" vertical="center" wrapText="1"/>
    </xf>
    <xf numFmtId="0" fontId="24" fillId="0" borderId="0" xfId="0" applyFont="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xf>
    <xf numFmtId="0" fontId="19" fillId="34" borderId="12" xfId="0" applyFont="1" applyFill="1" applyBorder="1" applyNumberFormat="1">
      <alignment horizontal="left" vertical="center" wrapText="1" indent="5"/>
    </xf>
    <xf numFmtId="0" fontId="19" fillId="0" borderId="12" xfId="0" applyFont="1" applyBorder="1" applyNumberFormat="1">
      <alignment horizontal="left" vertical="center" wrapText="1" indent="6"/>
    </xf>
    <xf numFmtId="0" fontId="34" fillId="0" borderId="17" xfId="0" applyFont="1" applyBorder="1" applyNumberFormat="1">
      <alignment vertical="top" wrapText="1"/>
    </xf>
    <xf numFmtId="0" fontId="37" fillId="0" borderId="0" xfId="0" applyFont="1" applyNumberFormat="1">
      <alignment vertical="center"/>
    </xf>
    <xf numFmtId="49" fontId="0" fillId="0" borderId="0" xfId="0" applyFont="1" applyNumberFormat="1">
      <alignment vertical="top"/>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0" fillId="0" borderId="0" xfId="0" applyFont="1" applyNumberFormat="1">
      <alignment vertical="top"/>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0" borderId="0" xfId="0" applyFont="1" applyNumberFormat="1">
      <alignment vertical="top"/>
    </xf>
    <xf numFmtId="0" fontId="37" fillId="0" borderId="24" xfId="0" applyFont="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4" fillId="0" borderId="12" xfId="0" applyFont="1" applyBorder="1" applyNumberFormat="1">
      <alignment vertical="top"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36" fillId="0" borderId="0" xfId="0" applyFont="1" applyNumberFormat="1">
      <alignment vertical="top"/>
    </xf>
    <xf numFmtId="49" fontId="111"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www.udmurt.ru" TargetMode="External"/><Relationship Id="rId5" Type="http://schemas.openxmlformats.org/officeDocument/2006/relationships/hyperlink" Target="mailto:OSeZorina@rusatom-utilitie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rosatom-teplo.ru" TargetMode="External"/><Relationship Id="rId3" Type="http://schemas.openxmlformats.org/officeDocument/2006/relationships/hyperlink" Target="https://portal.eias.ru/Portal/DownloadPage.aspx?type=12&amp;guid=e5f7c001-f18a-4887-8dde-25351a471c01" TargetMode="External"/><Relationship Id="rId4" Type="http://schemas.openxmlformats.org/officeDocument/2006/relationships/hyperlink" Target="https://portal.eias.ru/Portal/DownloadPage.aspx?type=12&amp;guid=bb7f1c73-88a1-4648-97cf-ba45fb6aec51" TargetMode="External"/><Relationship Id="rId5" Type="http://schemas.openxmlformats.org/officeDocument/2006/relationships/hyperlink" Target="https://portal.eias.ru/Portal/DownloadPage.aspx?type=12&amp;guid=ca40a283-20e1-40bd-8f4c-859a428b2a9f"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55D334-5514-EEE3-814C-BA7A3F687CB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D8B433A-A0BB-F015-2A0C-CAFD43C1FA11}" mc:Ignorable="x14ac xr xr2 xr3">
  <sheetPr>
    <tabColor rgb="FFCCCCFF"/>
  </sheetPr>
  <dimension ref="A1:P78"/>
  <sheetViews>
    <sheetView topLeftCell="C23" showGridLines="0" zoomScale="90" workbookViewId="0">
      <selection activeCell="L67" sqref="L67"/>
    </sheetView>
  </sheetViews>
  <sheetFormatPr defaultColWidth="9.140625" customHeight="1" defaultRowHeight="11.25"/>
  <cols>
    <col min="1" max="1" style="2517" width="10.7109375" hidden="1" customWidth="1"/>
    <col min="2" max="2" style="2507" width="10.7109375" hidden="1" customWidth="1"/>
    <col min="3" max="3" style="2609" width="3.7109375" customWidth="1"/>
    <col min="4" max="4" style="2610" width="1.7109375" customWidth="1"/>
    <col min="5" max="5" style="2610" width="55.28125" customWidth="1"/>
    <col min="6" max="6" style="2610" width="50.7109375" customWidth="1"/>
    <col min="7" max="7" style="2523" width="1.7109375" customWidth="1"/>
    <col min="8" max="8" style="2524" width="18.00390625" hidden="1" customWidth="1"/>
    <col min="9" max="9" style="2504" width="9.57421875" customWidth="1"/>
    <col min="10" max="10" style="2544" width="52.140625" hidden="1" customWidth="1"/>
    <col min="11" max="11" style="2610" width="9.140625"/>
    <col min="12" max="12" style="2610" width="78.00390625" customWidth="1"/>
    <col min="13" max="16" style="2610" width="9.140625"/>
  </cols>
  <sheetData>
    <row s="2501" customFormat="1" customHeight="1" ht="3">
      <c r="A1" s="789"/>
      <c r="B1" s="227"/>
      <c r="F1" s="228">
        <v>26354809</v>
      </c>
      <c r="G1" s="417"/>
      <c r="H1" s="56"/>
      <c r="I1" s="417"/>
      <c r="J1" s="877"/>
    </row>
    <row s="2505" customFormat="1" customHeight="1" ht="14.25">
      <c r="A2" s="789"/>
      <c r="B2" s="84"/>
      <c r="E2" s="1780" t="str">
        <f>code</f>
        <v>Код отчёта: PP108.OPEN.INFO.PRICE.COLDVSNA.EIAS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холодного водоснабжения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45292.382789351854</v>
      </c>
      <c r="G11" s="62"/>
      <c r="H11" s="779" t="s">
        <v>18</v>
      </c>
      <c r="J11" s="882" t="s">
        <v>19</v>
      </c>
    </row>
    <row customHeight="1" ht="22.5">
      <c r="A12" s="1952"/>
      <c r="D12" s="60"/>
      <c r="E12" s="1173" t="s">
        <v>20</v>
      </c>
      <c r="F12" s="2549">
        <v>49309.38287037037</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45272.383726851855</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565"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6">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hidden="1">
      <c r="A36" s="885"/>
      <c r="D36" s="64"/>
      <c r="E36" s="397" t="s">
        <v>51</v>
      </c>
      <c r="F36" s="344"/>
      <c r="G36" s="62"/>
    </row>
    <row customHeight="1" ht="19.5">
      <c r="A37" s="885"/>
      <c r="D37" s="64"/>
      <c r="E37" s="397" t="s">
        <v>52</v>
      </c>
      <c r="F37" s="2576" t="s">
        <v>53</v>
      </c>
      <c r="G37" s="62"/>
    </row>
    <row s="2516" customFormat="1" customHeight="1" ht="6">
      <c r="A38" s="791"/>
      <c r="B38" s="218"/>
      <c r="C38" s="219"/>
      <c r="D38" s="220"/>
      <c r="E38" s="221"/>
      <c r="F38" s="1060"/>
      <c r="G38" s="58"/>
      <c r="H38" s="415"/>
      <c r="I38" s="417"/>
      <c r="J38" s="882"/>
    </row>
    <row customHeight="1" ht="22.5">
      <c r="A39" s="791"/>
      <c r="D39" s="60"/>
      <c r="E39" s="397" t="s">
        <v>54</v>
      </c>
      <c r="F39" s="716" t="s">
        <v>55</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6" t="s">
        <v>55</v>
      </c>
      <c r="G41" s="58"/>
      <c r="I41" s="417"/>
      <c r="J41" s="882"/>
    </row>
    <row s="2545" customFormat="1" customHeight="1" ht="6" hidden="1">
      <c r="A42" s="790"/>
      <c r="B42" s="432"/>
      <c r="C42" s="433"/>
      <c r="D42" s="434"/>
      <c r="E42" s="435"/>
      <c r="F42" s="1060"/>
      <c r="G42" s="58"/>
      <c r="H42" s="415"/>
      <c r="I42" s="417"/>
      <c r="J42" s="880"/>
    </row>
    <row s="2524" customFormat="1" customHeight="1" ht="22.5" hidden="1">
      <c r="A43" s="790"/>
      <c r="B43" s="419"/>
      <c r="C43" s="414"/>
      <c r="D43" s="416"/>
      <c r="E43" s="397" t="s">
        <v>56</v>
      </c>
      <c r="F43" s="716" t="s">
        <v>55</v>
      </c>
      <c r="G43" s="58"/>
      <c r="I43" s="417"/>
      <c r="J43" s="882"/>
    </row>
    <row s="2524" customFormat="1" customHeight="1" ht="22.5" hidden="1">
      <c r="A44" s="790"/>
      <c r="B44" s="419"/>
      <c r="C44" s="414"/>
      <c r="D44" s="416"/>
      <c r="E44" s="1173" t="s">
        <v>57</v>
      </c>
      <c r="F44" s="2454"/>
      <c r="G44" s="58"/>
      <c r="I44" s="417"/>
      <c r="J44" s="882"/>
    </row>
    <row s="2545" customFormat="1" customHeight="1" ht="6" hidden="1">
      <c r="A45" s="790"/>
      <c r="B45" s="432"/>
      <c r="C45" s="433"/>
      <c r="D45" s="434"/>
      <c r="E45" s="435"/>
      <c r="F45" s="1060"/>
      <c r="G45" s="58"/>
      <c r="H45" s="415"/>
      <c r="I45" s="417"/>
      <c r="J45" s="882"/>
    </row>
    <row s="2545" customFormat="1" customHeight="1" ht="22.5" hidden="1">
      <c r="A46" s="790"/>
      <c r="B46" s="432"/>
      <c r="C46" s="433"/>
      <c r="D46" s="434"/>
      <c r="E46" s="1173" t="s">
        <v>58</v>
      </c>
      <c r="F46" s="716" t="s">
        <v>55</v>
      </c>
      <c r="G46" s="58"/>
      <c r="H46" s="415"/>
      <c r="I46" s="417"/>
      <c r="J46" s="882"/>
    </row>
    <row s="2524" customFormat="1" customHeight="1" ht="22.5" hidden="1">
      <c r="A47" s="790"/>
      <c r="B47" s="419"/>
      <c r="C47" s="414"/>
      <c r="D47" s="416"/>
      <c r="E47" s="1173" t="s">
        <v>59</v>
      </c>
      <c r="F47" s="716" t="s">
        <v>55</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6" t="s">
        <v>60</v>
      </c>
      <c r="G49" s="58"/>
    </row>
    <row s="2545" customFormat="1" customHeight="1" ht="6" hidden="1">
      <c r="A50" s="791"/>
      <c r="B50" s="432"/>
      <c r="C50" s="433"/>
      <c r="D50" s="225"/>
      <c r="E50" s="223"/>
      <c r="F50" s="226"/>
      <c r="G50" s="62"/>
      <c r="H50" s="415"/>
      <c r="I50" s="417"/>
      <c r="J50" s="882"/>
    </row>
    <row s="2585" customFormat="1" customHeight="1" ht="22.5" hidden="1">
      <c r="A51" s="792"/>
      <c r="B51" s="419"/>
      <c r="C51" s="536"/>
      <c r="D51" s="537"/>
      <c r="E51" s="397" t="s">
        <v>61</v>
      </c>
      <c r="F51" s="716" t="s">
        <v>55</v>
      </c>
      <c r="G51" s="538"/>
      <c r="I51" s="540"/>
      <c r="J51" s="884"/>
      <c r="P51" s="541"/>
    </row>
    <row s="2545" customFormat="1" customHeight="1" ht="6" hidden="1">
      <c r="A52" s="791"/>
      <c r="B52" s="432"/>
      <c r="C52" s="433"/>
      <c r="D52" s="225"/>
      <c r="E52" s="223"/>
      <c r="F52" s="226"/>
      <c r="G52" s="62"/>
      <c r="H52" s="415"/>
      <c r="I52" s="417"/>
      <c r="J52" s="880"/>
    </row>
    <row s="2585" customFormat="1" customHeight="1" ht="22.5" hidden="1">
      <c r="A53" s="792"/>
      <c r="B53" s="419"/>
      <c r="C53" s="536"/>
      <c r="D53" s="537"/>
      <c r="E53" s="397" t="s">
        <v>62</v>
      </c>
      <c r="F53" s="1055" t="s">
        <v>55</v>
      </c>
      <c r="G53" s="538"/>
      <c r="I53" s="540"/>
      <c r="J53" s="884"/>
      <c r="P53" s="541"/>
    </row>
    <row s="2585" customFormat="1" customHeight="1" ht="22.5" hidden="1">
      <c r="A54" s="792"/>
      <c r="B54" s="419"/>
      <c r="C54" s="536"/>
      <c r="D54" s="537"/>
      <c r="E54" s="397" t="s">
        <v>63</v>
      </c>
      <c r="F54" s="1815"/>
      <c r="G54" s="538"/>
      <c r="I54" s="540"/>
      <c r="J54" s="884"/>
      <c r="P54" s="541"/>
    </row>
    <row s="2545" customFormat="1" customHeight="1" ht="6" hidden="1">
      <c r="A55" s="791"/>
      <c r="B55" s="432"/>
      <c r="C55" s="433"/>
      <c r="D55" s="225"/>
      <c r="E55" s="223"/>
      <c r="F55" s="226"/>
      <c r="G55" s="62"/>
      <c r="H55" s="415"/>
      <c r="I55" s="417"/>
      <c r="J55" s="880"/>
    </row>
    <row s="2585" customFormat="1" customHeight="1" ht="22.5" hidden="1">
      <c r="A56" s="792"/>
      <c r="B56" s="419"/>
      <c r="C56" s="536"/>
      <c r="D56" s="537"/>
      <c r="E56" s="397" t="s">
        <v>64</v>
      </c>
      <c r="F56" s="1055" t="s">
        <v>55</v>
      </c>
      <c r="G56" s="538"/>
      <c r="I56" s="540"/>
      <c r="J56" s="884"/>
      <c r="P56" s="541"/>
    </row>
    <row s="2545" customFormat="1" customHeight="1" ht="6" hidden="1">
      <c r="A57" s="791"/>
      <c r="B57" s="432"/>
      <c r="C57" s="433"/>
      <c r="D57" s="225"/>
      <c r="E57" s="223"/>
      <c r="F57" s="226"/>
      <c r="G57" s="62"/>
      <c r="H57" s="415"/>
      <c r="I57" s="417"/>
      <c r="J57" s="880"/>
    </row>
    <row s="2585" customFormat="1" customHeight="1" ht="15" hidden="1">
      <c r="A58" s="792"/>
      <c r="B58" s="419"/>
      <c r="C58" s="536"/>
      <c r="D58" s="537"/>
      <c r="E58" s="397" t="s">
        <v>65</v>
      </c>
      <c r="F58" s="1055" t="s">
        <v>60</v>
      </c>
      <c r="G58" s="538"/>
      <c r="I58" s="540"/>
      <c r="J58" s="884"/>
      <c r="P58" s="541"/>
    </row>
    <row s="2585"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9"/>
      <c r="G59" s="538"/>
      <c r="I59" s="540"/>
      <c r="J59" s="884"/>
      <c r="P59" s="541"/>
    </row>
    <row s="2585" customFormat="1" customHeight="1" ht="15" hidden="1">
      <c r="A60" s="792"/>
      <c r="B60" s="419"/>
      <c r="C60" s="536"/>
      <c r="D60" s="537"/>
      <c r="E60" s="1173" t="s">
        <v>66</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67</v>
      </c>
      <c r="F62" s="1711" t="s">
        <v>60</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68</v>
      </c>
      <c r="F64" s="202" t="s">
        <v>69</v>
      </c>
      <c r="G64" s="62"/>
    </row>
    <row customHeight="1" ht="19.5">
      <c r="A65" s="793"/>
      <c r="B65" s="85"/>
      <c r="D65" s="67"/>
      <c r="E65" s="397" t="s">
        <v>70</v>
      </c>
      <c r="F65" s="202" t="s">
        <v>71</v>
      </c>
      <c r="G65" s="62"/>
    </row>
    <row customHeight="1" ht="35.25">
      <c r="D66" s="60"/>
      <c r="E66" s="399" t="s">
        <v>72</v>
      </c>
      <c r="F66" s="1061"/>
      <c r="G66" s="58"/>
    </row>
    <row customHeight="1" ht="19.5">
      <c r="A67" s="793"/>
      <c r="D67" s="416"/>
      <c r="E67" s="397" t="s">
        <v>73</v>
      </c>
      <c r="F67" s="257" t="s">
        <v>74</v>
      </c>
      <c r="G67" s="62"/>
    </row>
    <row customHeight="1" ht="19.5">
      <c r="A68" s="793"/>
      <c r="B68" s="85"/>
      <c r="D68" s="67"/>
      <c r="E68" s="397" t="s">
        <v>75</v>
      </c>
      <c r="F68" s="257" t="s">
        <v>76</v>
      </c>
      <c r="G68" s="62"/>
    </row>
    <row customHeight="1" ht="19.5">
      <c r="A69" s="793"/>
      <c r="B69" s="85"/>
      <c r="D69" s="67"/>
      <c r="E69" s="397" t="s">
        <v>77</v>
      </c>
      <c r="F69" s="257" t="s">
        <v>78</v>
      </c>
      <c r="G69" s="62"/>
    </row>
    <row customHeight="1" ht="19.5">
      <c r="D70" s="416"/>
      <c r="E70" s="397" t="s">
        <v>79</v>
      </c>
      <c r="F70" s="2603" t="s">
        <v>80</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F4E325A-C86A-6E3E-CC68-4BB56820FE8C}"/>
    <hyperlink ref="H17" location="Титульный!H9" display="Как заполнить?" tooltip="Помощь по работе с полями отчётной формы" xr:uid="{B7D7E401-186F-051E-665B-6CF93101B7E9}"/>
    <hyperlink ref="F24" r:id="rId4" xr:uid="{8C81F943-40A6-E597-7B0E-A3B3DCDD9668}"/>
    <hyperlink ref="H39" location="Титульный!H9" display="Как заполнить?" tooltip="Помощь по работе с полями отчётной формы" xr:uid="{08094C9E-E261-759D-CBA4-ECBD2E8D399F}"/>
    <hyperlink ref="H62" location="Титульный!H9" display="Как заполнить?" tooltip="Помощь по работе с полями отчётной формы" xr:uid="{FA5BEEDA-5474-C425-7B8F-3F9FF33456EC}"/>
    <hyperlink ref="F70" r:id="rId5" xr:uid="{044DBEF9-E758-924C-D7C7-644FD2048C6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53C0B7-703A-2597-ADD5-2E95DC09ECD8}"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625" width="8.00390625" hidden="1" customWidth="1"/>
    <col min="2" max="2" style="2626" width="6.00390625" hidden="1" customWidth="1"/>
    <col min="3" max="3" style="2625" width="3.7109375" customWidth="1"/>
    <col min="4" max="4" style="2687" width="3.7109375" customWidth="1"/>
    <col min="5" max="5" style="2689" width="6.28125" customWidth="1"/>
    <col min="6" max="6" style="2625" width="2.7109375" hidden="1" customWidth="1"/>
    <col min="7" max="7" style="2689" width="46.7109375" customWidth="1"/>
    <col min="8" max="8" style="2689" width="43.140625" customWidth="1"/>
    <col min="9" max="9" style="2689" width="14.8515625" customWidth="1"/>
    <col min="10" max="10" style="2631" width="3.7109375" customWidth="1"/>
    <col min="11" max="13" style="2631" width="9.140625" hidden="1"/>
    <col min="14" max="14" style="2632" width="25.7109375" hidden="1" customWidth="1"/>
    <col min="15" max="15" style="2631" width="14.421875" hidden="1" customWidth="1"/>
    <col min="16" max="19" style="2633" width="9.140625" hidden="1"/>
    <col min="20" max="27" style="2689" width="9.140625" hidden="1"/>
    <col min="28" max="28" style="2689" width="9.140625"/>
  </cols>
  <sheetData>
    <row s="2611" customFormat="1" customHeight="1" ht="5.25" hidden="1">
      <c r="A1" s="502"/>
      <c r="B1" s="517"/>
      <c r="C1" s="517"/>
      <c r="D1" s="207"/>
      <c r="F1" s="517"/>
      <c r="G1" s="233" t="s">
        <v>81</v>
      </c>
      <c r="H1" s="500" t="s">
        <v>82</v>
      </c>
      <c r="I1" s="213" t="s">
        <v>83</v>
      </c>
      <c r="J1" s="233" t="s">
        <v>81</v>
      </c>
      <c r="K1" s="233"/>
      <c r="L1" s="233"/>
      <c r="M1" s="233"/>
      <c r="N1" s="234"/>
      <c r="O1" s="233"/>
      <c r="P1" s="233"/>
      <c r="Q1" s="233"/>
      <c r="R1" s="233"/>
      <c r="S1" s="233"/>
      <c r="T1" s="213"/>
      <c r="U1" s="213"/>
      <c r="V1" s="213"/>
      <c r="W1" s="213"/>
      <c r="X1" s="213"/>
      <c r="Y1" s="213"/>
      <c r="Z1" s="213"/>
      <c r="AA1" s="213"/>
      <c r="AB1" s="213"/>
    </row>
    <row s="2619"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4" customFormat="1" customHeight="1" ht="3">
      <c r="A3" s="764"/>
      <c r="B3" s="423"/>
      <c r="C3" s="764"/>
      <c r="D3" s="150"/>
      <c r="E3" s="89"/>
      <c r="F3" s="515"/>
      <c r="G3" s="89"/>
      <c r="H3" s="89"/>
      <c r="I3" s="152"/>
      <c r="J3" s="233"/>
      <c r="K3" s="141"/>
      <c r="L3" s="141"/>
      <c r="M3" s="141"/>
      <c r="N3" s="212"/>
      <c r="O3" s="141"/>
      <c r="P3" s="211"/>
      <c r="Q3" s="211"/>
      <c r="R3" s="211"/>
      <c r="S3" s="211"/>
    </row>
    <row s="2624"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4" customFormat="1" customHeight="1" ht="3">
      <c r="A5" s="764"/>
      <c r="B5" s="423"/>
      <c r="C5" s="764"/>
      <c r="D5" s="150"/>
      <c r="E5" s="89"/>
      <c r="F5" s="515"/>
      <c r="G5" s="153"/>
      <c r="H5" s="153"/>
      <c r="I5" s="154"/>
      <c r="J5" s="141"/>
      <c r="K5" s="141"/>
      <c r="L5" s="141"/>
      <c r="M5" s="141"/>
      <c r="N5" s="212"/>
      <c r="O5" s="141"/>
      <c r="P5" s="211"/>
      <c r="Q5" s="211"/>
      <c r="R5" s="211"/>
      <c r="S5" s="211"/>
    </row>
    <row s="2624"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4" customFormat="1" customHeight="1" ht="14.25">
      <c r="A8" s="764"/>
      <c r="B8" s="423"/>
      <c r="C8" s="764"/>
      <c r="D8" s="150"/>
      <c r="E8" s="1955" t="s">
        <v>84</v>
      </c>
      <c r="F8" s="1956"/>
      <c r="G8" s="1957"/>
      <c r="H8" s="1958" t="s">
        <v>85</v>
      </c>
      <c r="I8" s="1958"/>
      <c r="J8" s="141"/>
      <c r="K8" s="141"/>
      <c r="L8" s="141"/>
      <c r="M8" s="141"/>
      <c r="N8" s="212"/>
      <c r="O8" s="141"/>
      <c r="P8" s="211"/>
      <c r="Q8" s="211"/>
      <c r="R8" s="211"/>
      <c r="S8" s="211"/>
    </row>
    <row s="2624" customFormat="1" customHeight="1" ht="20.25">
      <c r="A9" s="764"/>
      <c r="B9" s="423"/>
      <c r="C9" s="764"/>
      <c r="D9" s="150"/>
      <c r="E9" s="783" t="s">
        <v>86</v>
      </c>
      <c r="F9" s="783"/>
      <c r="G9" s="158" t="s">
        <v>87</v>
      </c>
      <c r="H9" s="158" t="s">
        <v>87</v>
      </c>
      <c r="I9" s="158" t="s">
        <v>83</v>
      </c>
      <c r="J9" s="141"/>
      <c r="K9" s="141"/>
      <c r="L9" s="141"/>
      <c r="M9" s="141"/>
      <c r="N9" s="212"/>
      <c r="O9" s="141"/>
      <c r="P9" s="211"/>
      <c r="Q9" s="211"/>
      <c r="R9" s="211"/>
      <c r="S9" s="211"/>
    </row>
    <row customHeight="1" ht="11.25">
      <c r="D10" s="162"/>
      <c r="E10" s="784" t="s">
        <v>88</v>
      </c>
      <c r="F10" s="784"/>
      <c r="G10" s="209" t="s">
        <v>89</v>
      </c>
      <c r="H10" s="209" t="s">
        <v>90</v>
      </c>
      <c r="I10" s="209" t="s">
        <v>91</v>
      </c>
      <c r="J10" s="172"/>
      <c r="K10" s="172"/>
      <c r="L10" s="172"/>
      <c r="M10" s="172"/>
      <c r="N10" s="157"/>
      <c r="O10" s="172"/>
      <c r="P10" s="210"/>
      <c r="Q10" s="210"/>
      <c r="R10" s="210"/>
      <c r="S10" s="210"/>
    </row>
    <row s="2624" customFormat="1" customHeight="1" ht="0.75">
      <c r="A11" s="764"/>
      <c r="B11" s="423"/>
      <c r="C11" s="764"/>
      <c r="D11" s="150"/>
      <c r="E11" s="796"/>
      <c r="F11" s="796"/>
      <c r="G11" s="159"/>
      <c r="H11" s="159"/>
      <c r="I11" s="161"/>
      <c r="J11" s="235" t="s">
        <v>92</v>
      </c>
      <c r="K11" s="141"/>
      <c r="L11" s="141"/>
      <c r="M11" s="141" t="s">
        <v>93</v>
      </c>
      <c r="N11" s="212" t="s">
        <v>94</v>
      </c>
      <c r="O11" s="141" t="s">
        <v>95</v>
      </c>
      <c r="P11" s="211"/>
      <c r="Q11" s="211"/>
      <c r="R11" s="211"/>
      <c r="S11" s="211"/>
    </row>
    <row s="2658" customFormat="1" customHeight="1" ht="14.25">
      <c r="A12" s="1953">
        <v>1</v>
      </c>
      <c r="B12" s="423"/>
      <c r="C12" s="764"/>
      <c r="D12" s="788"/>
      <c r="E12" s="205">
        <f>A12</f>
        <v>1</v>
      </c>
      <c r="F12" s="808" t="s">
        <v>96</v>
      </c>
      <c r="G12" s="546" t="str">
        <f>"Территория "&amp;E12</f>
        <v>Территория 1</v>
      </c>
      <c r="H12" s="798"/>
      <c r="I12" s="798"/>
      <c r="J12" s="795"/>
      <c r="K12" s="506"/>
      <c r="L12" s="506"/>
      <c r="M12" s="506"/>
      <c r="N12" s="212"/>
      <c r="O12" s="506"/>
      <c r="P12" s="211"/>
      <c r="Q12" s="211"/>
      <c r="R12" s="211"/>
      <c r="S12" s="211"/>
    </row>
    <row s="2667" customFormat="1" customHeight="1" ht="15">
      <c r="A13" s="1953"/>
      <c r="B13" s="423">
        <v>1</v>
      </c>
      <c r="C13" s="423"/>
      <c r="D13" s="806"/>
      <c r="E13" s="786" t="str">
        <f>A12&amp;"."&amp;B13</f>
        <v>1.1</v>
      </c>
      <c r="F13" s="801" t="s">
        <v>97</v>
      </c>
      <c r="G13" s="799" t="s">
        <v>98</v>
      </c>
      <c r="H13" s="799" t="s">
        <v>98</v>
      </c>
      <c r="I13" s="797" t="s">
        <v>99</v>
      </c>
      <c r="J13" s="506">
        <f>MERGEVALUE(G13)</f>
      </c>
      <c r="K13" s="517"/>
      <c r="L13" s="517"/>
      <c r="M13" s="506" t="str">
        <f t="array" ref="M13:M13">IF(ISERROR(MATCH(MID(N13,1,250),MID(note_ter,1,250),0)),"n","y")</f>
        <v>n</v>
      </c>
      <c r="N13" s="517"/>
      <c r="O13" s="506" t="str">
        <f>H13&amp;"("&amp;I13&amp;")"</f>
        <v>Город Глазов(94720000)</v>
      </c>
      <c r="P13" s="423"/>
      <c r="Q13" s="423"/>
      <c r="R13" s="426"/>
      <c r="S13" s="423"/>
      <c r="T13" s="423"/>
      <c r="U13" s="423"/>
      <c r="V13" s="428"/>
      <c r="W13" s="428"/>
      <c r="X13" s="425"/>
      <c r="Y13" s="425"/>
      <c r="Z13" s="425"/>
      <c r="AA13" s="425"/>
      <c r="AB13" s="425"/>
    </row>
    <row s="2667" customFormat="1" customHeight="1" ht="15">
      <c r="A14" s="1953"/>
      <c r="B14" s="423"/>
      <c r="C14" s="418"/>
      <c r="D14" s="807"/>
      <c r="E14" s="427"/>
      <c r="F14" s="163"/>
      <c r="G14" s="421" t="s">
        <v>100</v>
      </c>
      <c r="H14" s="173"/>
      <c r="I14" s="430"/>
      <c r="J14" s="517"/>
      <c r="K14" s="517"/>
      <c r="L14" s="517"/>
      <c r="M14" s="517"/>
      <c r="N14" s="506"/>
      <c r="O14" s="517"/>
      <c r="P14" s="423"/>
      <c r="Q14" s="423"/>
      <c r="R14" s="426"/>
      <c r="S14" s="423"/>
      <c r="T14" s="423"/>
      <c r="U14" s="423"/>
      <c r="V14" s="428"/>
      <c r="W14" s="428"/>
      <c r="X14" s="425"/>
      <c r="Y14" s="425"/>
      <c r="Z14" s="425"/>
      <c r="AA14" s="425"/>
      <c r="AB14" s="425"/>
    </row>
    <row s="2624" customFormat="1" customHeight="1" ht="14.25">
      <c r="A15" s="764"/>
      <c r="B15" s="423"/>
      <c r="C15" s="764"/>
      <c r="D15" s="788"/>
      <c r="E15" s="800"/>
      <c r="F15" s="164"/>
      <c r="G15" s="422" t="s">
        <v>101</v>
      </c>
      <c r="H15" s="164"/>
      <c r="I15" s="165"/>
      <c r="J15" s="235"/>
      <c r="K15" s="141"/>
      <c r="L15" s="141"/>
      <c r="M15" s="141"/>
      <c r="N15" s="212" t="s">
        <v>102</v>
      </c>
      <c r="O15" s="141"/>
      <c r="P15" s="211"/>
      <c r="Q15" s="211"/>
      <c r="R15" s="211"/>
      <c r="S15" s="211"/>
    </row>
    <row s="2624" customFormat="1" customHeight="1" ht="21">
      <c r="A16" s="764"/>
      <c r="B16" s="423"/>
      <c r="C16" s="764"/>
      <c r="D16" s="151"/>
      <c r="E16" s="166"/>
      <c r="F16" s="166"/>
      <c r="G16" s="166"/>
      <c r="H16" s="166"/>
      <c r="I16" s="166"/>
      <c r="J16" s="141"/>
      <c r="K16" s="141"/>
      <c r="L16" s="141"/>
      <c r="M16" s="141"/>
      <c r="N16" s="212"/>
      <c r="O16" s="141"/>
      <c r="P16" s="211"/>
      <c r="Q16" s="211"/>
      <c r="R16" s="211"/>
      <c r="S16" s="211"/>
    </row>
    <row s="2624" customFormat="1" customHeight="1" ht="14.25">
      <c r="A17" s="764"/>
      <c r="B17" s="423"/>
      <c r="C17" s="764"/>
      <c r="D17" s="151"/>
      <c r="E17" s="68"/>
      <c r="F17" s="764"/>
      <c r="G17" s="68"/>
      <c r="H17" s="68"/>
      <c r="I17" s="68"/>
      <c r="J17" s="141"/>
      <c r="K17" s="141"/>
      <c r="L17" s="141"/>
      <c r="M17" s="141"/>
      <c r="N17" s="212"/>
      <c r="O17" s="141"/>
      <c r="P17" s="211"/>
      <c r="Q17" s="211"/>
      <c r="R17" s="211"/>
      <c r="S17" s="211"/>
    </row>
    <row s="2624" customFormat="1" customHeight="1" ht="0.75">
      <c r="A18" s="764"/>
      <c r="B18" s="423"/>
      <c r="C18" s="764"/>
      <c r="D18" s="151"/>
      <c r="E18" s="68"/>
      <c r="F18" s="764"/>
      <c r="G18" s="68"/>
      <c r="H18" s="68"/>
      <c r="I18" s="68"/>
      <c r="J18" s="141"/>
      <c r="K18" s="141"/>
      <c r="L18" s="141"/>
      <c r="M18" s="141"/>
      <c r="N18" s="212"/>
      <c r="O18" s="141"/>
      <c r="P18" s="211"/>
      <c r="Q18" s="211"/>
      <c r="R18" s="211"/>
      <c r="S18" s="211"/>
    </row>
    <row s="2690" customFormat="1" customHeight="1" ht="10.5">
      <c r="B19" s="840"/>
      <c r="D19" s="168"/>
      <c r="J19" s="141"/>
      <c r="K19" s="141"/>
      <c r="L19" s="141"/>
      <c r="M19" s="141"/>
      <c r="N19" s="212"/>
      <c r="O19" s="141"/>
      <c r="P19" s="211"/>
      <c r="Q19" s="211"/>
      <c r="R19" s="211"/>
      <c r="S19" s="211"/>
    </row>
    <row s="2690"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634833-6668-A10C-8885-D2C0883349C7}"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76" width="6.421875" hidden="1" customWidth="1"/>
    <col min="2" max="2" style="2776" width="2.00390625" hidden="1" customWidth="1"/>
    <col min="3" max="3" style="2776" width="3.7109375" customWidth="1"/>
    <col min="4" max="4" style="2776" width="4.28125" customWidth="1"/>
    <col min="5" max="5" style="2776" width="45.00390625" customWidth="1"/>
    <col min="6" max="6" style="2776" width="6.421875" customWidth="1"/>
    <col min="7" max="7" style="2776" width="4.421875" customWidth="1"/>
    <col min="8" max="8" style="2776" width="5.57421875" customWidth="1"/>
    <col min="9" max="9" style="2776" width="52.8515625" customWidth="1"/>
    <col min="10" max="10" style="2776" width="7.00390625" customWidth="1"/>
    <col min="11" max="11" style="2776" width="3.7109375" customWidth="1"/>
    <col min="12" max="12" style="2776" width="6.28125" customWidth="1"/>
    <col min="13" max="13" style="2776" width="56.28125" customWidth="1"/>
    <col min="14" max="14" style="2698" width="9.140625"/>
    <col min="15" max="20" style="2735" width="9.140625" hidden="1"/>
    <col min="21" max="24" style="2777" width="9.140625" hidden="1"/>
    <col min="25" max="37" style="2698" width="9.140625" hidden="1"/>
    <col min="38" max="38" style="2698" width="9.140625"/>
  </cols>
  <sheetData>
    <row customHeight="1" ht="11.25" hidden="1"/>
    <row customHeight="1" ht="11.25" hidden="1"/>
    <row r="4" customHeight="1" ht="34.5">
      <c r="A4" s="591"/>
      <c r="B4" s="591"/>
      <c r="D4" s="1963" t="str">
        <f>Титульный!E5</f>
        <v>Показатели, подлежащие раскрытию в сфере холодного водоснабжения (цены и тарифы)</v>
      </c>
      <c r="E4" s="1964"/>
      <c r="F4" s="1964"/>
      <c r="G4" s="1964"/>
      <c r="H4" s="1964"/>
      <c r="I4" s="1965"/>
      <c r="J4" s="590"/>
      <c r="K4" s="590"/>
      <c r="L4" s="590"/>
      <c r="M4" s="590"/>
    </row>
    <row s="2699" customFormat="1" customHeight="1" ht="15">
      <c r="A5" s="591"/>
      <c r="B5" s="591"/>
      <c r="C5" s="591"/>
      <c r="D5" s="1966" t="str">
        <f>IF(org=0,"Не определено",org)</f>
        <v>АО "РИР" (филиал в г. Глазове)</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6"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9"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103</v>
      </c>
      <c r="E9" s="1971"/>
      <c r="F9" s="1972" t="s">
        <v>104</v>
      </c>
      <c r="G9" s="1973"/>
      <c r="H9" s="1973"/>
      <c r="I9" s="1973"/>
      <c r="J9" s="1976" t="s">
        <v>105</v>
      </c>
      <c r="K9" s="1976"/>
      <c r="L9" s="1976"/>
      <c r="M9" s="1976"/>
    </row>
    <row customHeight="1" ht="22.5">
      <c r="A10" s="1970"/>
      <c r="B10" s="598"/>
      <c r="C10" s="531"/>
      <c r="D10" s="529" t="s">
        <v>86</v>
      </c>
      <c r="E10" s="529" t="s">
        <v>87</v>
      </c>
      <c r="F10" s="529" t="s">
        <v>106</v>
      </c>
      <c r="G10" s="1977" t="s">
        <v>86</v>
      </c>
      <c r="H10" s="1978"/>
      <c r="I10" s="529" t="s">
        <v>87</v>
      </c>
      <c r="J10" s="529" t="s">
        <v>106</v>
      </c>
      <c r="K10" s="1977" t="s">
        <v>86</v>
      </c>
      <c r="L10" s="1978"/>
      <c r="M10" s="529" t="s">
        <v>87</v>
      </c>
      <c r="N10" s="1667"/>
    </row>
    <row s="2727" customFormat="1" customHeight="1" ht="11.25" hidden="1">
      <c r="A11" s="599"/>
      <c r="B11" s="599"/>
      <c r="C11" s="599"/>
      <c r="D11" s="600" t="s">
        <v>107</v>
      </c>
      <c r="E11" s="600" t="s">
        <v>108</v>
      </c>
      <c r="F11" s="600" t="s">
        <v>88</v>
      </c>
      <c r="G11" s="1959" t="s">
        <v>89</v>
      </c>
      <c r="H11" s="1960"/>
      <c r="I11" s="600" t="s">
        <v>109</v>
      </c>
      <c r="J11" s="600" t="s">
        <v>90</v>
      </c>
      <c r="K11" s="1961" t="s">
        <v>91</v>
      </c>
      <c r="L11" s="1962"/>
      <c r="M11" s="600" t="s">
        <v>110</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111</v>
      </c>
      <c r="P12" s="1443" t="s">
        <v>112</v>
      </c>
      <c r="Q12" s="1443" t="s">
        <v>113</v>
      </c>
      <c r="R12" s="1443" t="s">
        <v>114</v>
      </c>
    </row>
    <row s="2747" customFormat="1" customHeight="1" ht="15">
      <c r="A13" s="281"/>
      <c r="B13" s="281"/>
      <c r="C13" s="532"/>
      <c r="D13" s="1982" t="s">
        <v>107</v>
      </c>
      <c r="E13" s="1983"/>
      <c r="F13" s="1986" t="s">
        <v>60</v>
      </c>
      <c r="G13" s="1987"/>
      <c r="H13" s="1988">
        <v>1</v>
      </c>
      <c r="I13" s="1979" t="str">
        <f>IF(U13="","",INDEX(TERRITORY_MR_LIST,MATCH(U13,TERRITORY_LIST_ID,0)))</f>
        <v/>
      </c>
      <c r="J13" s="1981" t="s">
        <v>55</v>
      </c>
      <c r="K13" s="608"/>
      <c r="L13" s="533" t="s">
        <v>107</v>
      </c>
      <c r="M13" s="609" t="s">
        <v>24</v>
      </c>
      <c r="N13" s="818"/>
      <c r="O13" s="1446" t="s">
        <v>115</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116</v>
      </c>
      <c r="Z13" s="610">
        <v>1705000</v>
      </c>
      <c r="AA13" s="610"/>
      <c r="AB13" s="610"/>
      <c r="AC13" s="610"/>
      <c r="AD13" s="610"/>
      <c r="AE13" s="610"/>
      <c r="AF13" s="610"/>
      <c r="AG13" s="610"/>
      <c r="AH13" s="610"/>
      <c r="AI13" s="610"/>
      <c r="AJ13" s="610"/>
      <c r="AK13" s="610"/>
      <c r="AL13" s="610"/>
    </row>
    <row s="2747" customFormat="1" customHeight="1" ht="15">
      <c r="A14" s="281"/>
      <c r="B14" s="281"/>
      <c r="C14" s="162"/>
      <c r="D14" s="1982"/>
      <c r="E14" s="1984"/>
      <c r="F14" s="1981"/>
      <c r="G14" s="1987"/>
      <c r="H14" s="1988"/>
      <c r="I14" s="1980"/>
      <c r="J14" s="1981"/>
      <c r="K14" s="427"/>
      <c r="L14" s="163"/>
      <c r="M14" s="613" t="s">
        <v>117</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7" customFormat="1" customHeight="1" ht="15">
      <c r="A15" s="281"/>
      <c r="B15" s="281"/>
      <c r="C15" s="162"/>
      <c r="D15" s="1982"/>
      <c r="E15" s="1985"/>
      <c r="F15" s="1981"/>
      <c r="G15" s="1067"/>
      <c r="H15" s="1068"/>
      <c r="I15" s="586" t="s">
        <v>118</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119</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CE71D-614A-6487-E227-B5C2D8D8C16A}" mc:Ignorable="x14ac xr xr2 xr3">
  <sheetPr>
    <tabColor rgb="FFCCCCFF"/>
  </sheetPr>
  <dimension ref="A1:AR130"/>
  <sheetViews>
    <sheetView topLeftCell="H4" showGridLines="0" zoomScale="90" workbookViewId="0">
      <selection activeCell="O64" sqref="O64:O66"/>
    </sheetView>
  </sheetViews>
  <sheetFormatPr defaultColWidth="9.140625" customHeight="1" defaultRowHeight="11.25"/>
  <cols>
    <col min="1" max="2" style="2931" width="3.7109375" hidden="1" customWidth="1"/>
    <col min="3" max="3" style="2932" width="3.7109375" customWidth="1"/>
    <col min="4" max="4" style="2932" width="6.140625" customWidth="1"/>
    <col min="5" max="5" style="2932" width="43.140625" customWidth="1"/>
    <col min="6" max="6" style="2854" width="15.00390625" customWidth="1"/>
    <col min="7" max="7" style="2932" width="43.140625" customWidth="1"/>
    <col min="8" max="8" style="2932" width="3.7109375" customWidth="1"/>
    <col min="9" max="9" style="2932" width="5.421875" customWidth="1"/>
    <col min="10" max="10" style="2932" width="47.8515625" customWidth="1"/>
    <col min="11" max="12" style="2932" width="3.7109375" customWidth="1"/>
    <col min="13" max="13" style="2932" width="5.7109375" customWidth="1"/>
    <col min="14" max="14" style="2932" width="28.140625" customWidth="1"/>
    <col min="15" max="16" style="2932" width="3.7109375" customWidth="1"/>
    <col min="17" max="17" style="2932" width="5.7109375" customWidth="1"/>
    <col min="18" max="18" style="2932" width="34.421875" customWidth="1"/>
    <col min="19" max="20" style="2933" width="3.7109375" hidden="1" customWidth="1"/>
    <col min="21" max="21" style="2933" width="5.7109375" hidden="1" customWidth="1"/>
    <col min="22" max="22" style="2933" width="34.421875" hidden="1" customWidth="1"/>
    <col min="23" max="23" style="2932" width="30.7109375" customWidth="1"/>
    <col min="24" max="24" style="2932" width="3.7109375" customWidth="1"/>
    <col min="25" max="28" style="2802" width="9.8515625" hidden="1" customWidth="1"/>
    <col min="29" max="29" style="2802" width="27.00390625" hidden="1" customWidth="1"/>
    <col min="30" max="30" style="2802" width="10.57421875" hidden="1" customWidth="1"/>
    <col min="31" max="31" style="2802" width="10.7109375" hidden="1" customWidth="1"/>
    <col min="32" max="32" style="2802" width="10.00390625" hidden="1" customWidth="1"/>
    <col min="33" max="33" style="2802" width="12.8515625" hidden="1" customWidth="1"/>
    <col min="34" max="34" style="2802" width="10.28125" hidden="1" customWidth="1"/>
    <col min="35" max="35" style="2802" width="15.8515625" hidden="1" customWidth="1"/>
    <col min="36" max="36" style="2802" width="19.421875" hidden="1" customWidth="1"/>
    <col min="37" max="37" style="2802" width="11.00390625" hidden="1" customWidth="1"/>
    <col min="38" max="38" style="2802" width="23.57421875" hidden="1" customWidth="1"/>
    <col min="39" max="39" style="2802" width="23.8515625" hidden="1" customWidth="1"/>
    <col min="40" max="40" style="2802" width="25.28125" hidden="1" customWidth="1"/>
    <col min="41" max="41" style="2802" width="16.8515625" hidden="1" customWidth="1"/>
    <col min="42" max="42" style="2802" width="29.57421875" hidden="1" customWidth="1"/>
    <col min="43" max="43" style="2802" width="29.8515625" hidden="1" customWidth="1"/>
    <col min="44" max="44" style="2932" width="9.140625" hidden="1"/>
  </cols>
  <sheetData>
    <row customHeight="1" ht="11.25" hidden="1">
      <c r="A1" s="142"/>
    </row>
    <row customHeight="1" ht="11.25" hidden="1"/>
    <row customHeight="1" ht="11.25" hidden="1"/>
    <row customHeight="1" ht="3"/>
    <row s="2779"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9" customFormat="1" customHeight="1" ht="15">
      <c r="A6" s="591"/>
      <c r="B6" s="591"/>
      <c r="C6" s="591"/>
      <c r="D6" s="2025" t="str">
        <f>IF(org=0,"Не определено",org)</f>
        <v>АО "РИР" (филиал в г. Глазове)</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9"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9"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86</v>
      </c>
      <c r="E9" s="1955" t="s">
        <v>120</v>
      </c>
      <c r="F9" s="1957"/>
      <c r="G9" s="1971" t="s">
        <v>103</v>
      </c>
      <c r="H9" s="1971" t="s">
        <v>86</v>
      </c>
      <c r="I9" s="1971"/>
      <c r="J9" s="1971" t="s">
        <v>121</v>
      </c>
      <c r="K9" s="2026" t="s">
        <v>122</v>
      </c>
      <c r="L9" s="2026"/>
      <c r="M9" s="2026"/>
      <c r="N9" s="2026"/>
      <c r="O9" s="2026" t="s">
        <v>123</v>
      </c>
      <c r="P9" s="2026"/>
      <c r="Q9" s="2026"/>
      <c r="R9" s="2026"/>
      <c r="S9" s="2026" t="s">
        <v>124</v>
      </c>
      <c r="T9" s="2026"/>
      <c r="U9" s="2026"/>
      <c r="V9" s="2026"/>
      <c r="W9" s="1971" t="s">
        <v>125</v>
      </c>
    </row>
    <row customHeight="1" ht="30">
      <c r="D10" s="1971"/>
      <c r="E10" s="1314" t="s">
        <v>87</v>
      </c>
      <c r="F10" s="1314" t="s">
        <v>126</v>
      </c>
      <c r="G10" s="1971"/>
      <c r="H10" s="1971"/>
      <c r="I10" s="1971"/>
      <c r="J10" s="1971"/>
      <c r="K10" s="96" t="s">
        <v>106</v>
      </c>
      <c r="L10" s="1971" t="s">
        <v>86</v>
      </c>
      <c r="M10" s="1971"/>
      <c r="N10" s="96" t="s">
        <v>127</v>
      </c>
      <c r="O10" s="96" t="s">
        <v>106</v>
      </c>
      <c r="P10" s="1971" t="s">
        <v>86</v>
      </c>
      <c r="Q10" s="1971"/>
      <c r="R10" s="96" t="s">
        <v>127</v>
      </c>
      <c r="S10" s="271" t="s">
        <v>106</v>
      </c>
      <c r="T10" s="1971" t="s">
        <v>86</v>
      </c>
      <c r="U10" s="1971"/>
      <c r="V10" s="271" t="s">
        <v>87</v>
      </c>
      <c r="W10" s="1971"/>
      <c r="Z10" s="1288" t="s">
        <v>128</v>
      </c>
      <c r="AA10" s="1288" t="s">
        <v>129</v>
      </c>
      <c r="AB10" s="1288" t="s">
        <v>130</v>
      </c>
      <c r="AC10" s="1288" t="s">
        <v>131</v>
      </c>
      <c r="AD10" s="1288" t="s">
        <v>132</v>
      </c>
      <c r="AE10" s="1288" t="s">
        <v>133</v>
      </c>
      <c r="AF10" s="1288" t="s">
        <v>134</v>
      </c>
      <c r="AG10" s="1288" t="s">
        <v>135</v>
      </c>
      <c r="AH10" s="1288" t="s">
        <v>136</v>
      </c>
      <c r="AI10" s="1288" t="s">
        <v>137</v>
      </c>
      <c r="AJ10" s="1288" t="s">
        <v>138</v>
      </c>
      <c r="AK10" s="1288" t="s">
        <v>139</v>
      </c>
      <c r="AL10" s="1288" t="s">
        <v>140</v>
      </c>
      <c r="AM10" s="1288" t="s">
        <v>141</v>
      </c>
      <c r="AN10" s="1288" t="s">
        <v>142</v>
      </c>
      <c r="AO10" s="1288" t="s">
        <v>143</v>
      </c>
      <c r="AP10" s="1288" t="s">
        <v>144</v>
      </c>
      <c r="AQ10" s="1288" t="s">
        <v>145</v>
      </c>
    </row>
    <row s="2803" customFormat="1" customHeight="1" ht="12" hidden="1">
      <c r="D11" s="1268" t="s">
        <v>107</v>
      </c>
      <c r="E11" s="1268" t="s">
        <v>108</v>
      </c>
      <c r="F11" s="1268"/>
      <c r="G11" s="1268" t="s">
        <v>88</v>
      </c>
      <c r="H11" s="2018" t="s">
        <v>109</v>
      </c>
      <c r="I11" s="2018"/>
      <c r="J11" s="1268" t="s">
        <v>90</v>
      </c>
      <c r="K11" s="1268" t="s">
        <v>91</v>
      </c>
      <c r="L11" s="2018" t="s">
        <v>110</v>
      </c>
      <c r="M11" s="2018"/>
      <c r="N11" s="1268" t="s">
        <v>146</v>
      </c>
      <c r="O11" s="1268" t="s">
        <v>147</v>
      </c>
      <c r="P11" s="2018" t="s">
        <v>148</v>
      </c>
      <c r="Q11" s="2018"/>
      <c r="R11" s="1268" t="s">
        <v>149</v>
      </c>
      <c r="S11" s="1268" t="s">
        <v>148</v>
      </c>
      <c r="T11" s="2018" t="s">
        <v>149</v>
      </c>
      <c r="U11" s="2018"/>
      <c r="V11" s="1268" t="s">
        <v>150</v>
      </c>
      <c r="W11" s="1268" t="s">
        <v>151</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8" customFormat="1" customHeight="1" ht="17.25" hidden="1">
      <c r="A13" s="314"/>
      <c r="C13" s="195"/>
      <c r="D13" s="1991">
        <v>1</v>
      </c>
      <c r="E13" s="1993" t="s">
        <v>152</v>
      </c>
      <c r="F13" s="1995" t="s">
        <v>55</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153</v>
      </c>
      <c r="AD13" s="1296" t="s">
        <v>154</v>
      </c>
      <c r="AE13" s="1296" t="s">
        <v>155</v>
      </c>
      <c r="AF13" s="1296" t="s">
        <v>156</v>
      </c>
      <c r="AG13" s="1296" t="s">
        <v>157</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8" customFormat="1" customHeight="1" ht="17.25" hidden="1">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3" customFormat="1" customHeight="1" ht="17.25" hidden="1">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3" customFormat="1" customHeight="1" ht="17.25" hidden="1">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8" customFormat="1" customHeight="1" ht="17.25" hidden="1">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4" customFormat="1" customHeight="1" ht="17.25" hidden="1">
      <c r="A18" s="314"/>
      <c r="C18" s="195"/>
      <c r="D18" s="1991">
        <v>2</v>
      </c>
      <c r="E18" s="1993" t="s">
        <v>158</v>
      </c>
      <c r="F18" s="1995" t="s">
        <v>55</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159</v>
      </c>
      <c r="AD18" s="1296" t="s">
        <v>160</v>
      </c>
      <c r="AE18" s="1296" t="s">
        <v>161</v>
      </c>
      <c r="AF18" s="1296" t="s">
        <v>162</v>
      </c>
      <c r="AG18" s="1296" t="s">
        <v>163</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4" customFormat="1" customHeight="1" ht="17.25" hidden="1">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4" customFormat="1" customHeight="1" ht="17.25" hidden="1">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4" customFormat="1" customHeight="1" ht="17.25" hidden="1">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4" customFormat="1" customHeight="1" ht="17.25" hidden="1">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4" customFormat="1" customHeight="1" ht="17.25" hidden="1">
      <c r="A23" s="314"/>
      <c r="C23" s="195"/>
      <c r="D23" s="1991">
        <v>3</v>
      </c>
      <c r="E23" s="1993" t="s">
        <v>164</v>
      </c>
      <c r="F23" s="1995" t="s">
        <v>55</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165</v>
      </c>
      <c r="AD23" s="1296" t="s">
        <v>166</v>
      </c>
      <c r="AE23" s="1296" t="s">
        <v>167</v>
      </c>
      <c r="AF23" s="1296" t="s">
        <v>168</v>
      </c>
      <c r="AG23" s="1296" t="s">
        <v>169</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4" customFormat="1" customHeight="1" ht="17.25" hidden="1">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4" customFormat="1" customHeight="1" ht="17.25" hidden="1">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4" customFormat="1" customHeight="1" ht="17.25" hidden="1">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4" customFormat="1" customHeight="1" ht="17.25" hidden="1">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4" customFormat="1" customHeight="1" ht="17.25" hidden="1">
      <c r="A28" s="314"/>
      <c r="C28" s="195"/>
      <c r="D28" s="1991">
        <v>4</v>
      </c>
      <c r="E28" s="1993" t="s">
        <v>170</v>
      </c>
      <c r="F28" s="1995" t="s">
        <v>55</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171</v>
      </c>
      <c r="AD28" s="1296" t="s">
        <v>172</v>
      </c>
      <c r="AE28" s="1296" t="s">
        <v>173</v>
      </c>
      <c r="AF28" s="1296" t="s">
        <v>174</v>
      </c>
      <c r="AG28" s="1296" t="s">
        <v>175</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4" customFormat="1" customHeight="1" ht="17.25" hidden="1">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4" customFormat="1" customHeight="1" ht="17.25" hidden="1">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4" customFormat="1" customHeight="1" ht="17.25" hidden="1">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4" customFormat="1" customHeight="1" ht="17.25" hidden="1">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4" customFormat="1" customHeight="1" ht="17.25" hidden="1">
      <c r="A33" s="314"/>
      <c r="C33" s="195"/>
      <c r="D33" s="1991">
        <v>5</v>
      </c>
      <c r="E33" s="1993" t="s">
        <v>176</v>
      </c>
      <c r="F33" s="1995" t="s">
        <v>55</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177</v>
      </c>
      <c r="AD33" s="1296" t="s">
        <v>178</v>
      </c>
      <c r="AE33" s="1296" t="s">
        <v>179</v>
      </c>
      <c r="AF33" s="1296" t="s">
        <v>180</v>
      </c>
      <c r="AG33" s="1296" t="s">
        <v>181</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4" customFormat="1" customHeight="1" ht="17.25" hidden="1">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4" customFormat="1" customHeight="1" ht="17.25" hidden="1">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4" customFormat="1" customHeight="1" ht="17.25" hidden="1">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4" customFormat="1" customHeight="1" ht="17.25" hidden="1">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4" customFormat="1" customHeight="1" ht="17.25" hidden="1">
      <c r="A38" s="314"/>
      <c r="C38" s="195"/>
      <c r="D38" s="1991">
        <v>6</v>
      </c>
      <c r="E38" s="1993" t="s">
        <v>182</v>
      </c>
      <c r="F38" s="1995" t="s">
        <v>55</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183</v>
      </c>
      <c r="AD38" s="1296" t="s">
        <v>184</v>
      </c>
      <c r="AE38" s="1296" t="s">
        <v>185</v>
      </c>
      <c r="AF38" s="1296" t="s">
        <v>186</v>
      </c>
      <c r="AG38" s="1296" t="s">
        <v>187</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4" customFormat="1" customHeight="1" ht="17.25" hidden="1">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4" customFormat="1" customHeight="1" ht="17.25" hidden="1">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6" customFormat="1" customHeight="1" ht="17.25" hidden="1">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4" customFormat="1" customHeight="1" ht="17.25" hidden="1">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7" customFormat="1" customHeight="1" ht="17.25" hidden="1">
      <c r="A43" s="314"/>
      <c r="C43" s="195"/>
      <c r="D43" s="2012">
        <v>7</v>
      </c>
      <c r="E43" s="2015" t="s">
        <v>188</v>
      </c>
      <c r="F43" s="1995" t="s">
        <v>55</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189</v>
      </c>
      <c r="AD43" s="1296" t="s">
        <v>190</v>
      </c>
      <c r="AE43" s="1296" t="s">
        <v>191</v>
      </c>
      <c r="AF43" s="1296" t="s">
        <v>192</v>
      </c>
      <c r="AG43" s="1296" t="s">
        <v>193</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7" customFormat="1" customHeight="1" ht="17.25" hidden="1">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7" customFormat="1" customHeight="1" ht="17.25" hidden="1">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6" customFormat="1" customHeight="1" ht="17.25" hidden="1">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7" customFormat="1" customHeight="1" ht="17.25" hidden="1">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7" customFormat="1" customHeight="1" ht="17.25" hidden="1">
      <c r="A48" s="314"/>
      <c r="C48" s="195"/>
      <c r="D48" s="1991">
        <v>8</v>
      </c>
      <c r="E48" s="1993" t="s">
        <v>194</v>
      </c>
      <c r="F48" s="1995" t="s">
        <v>55</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195</v>
      </c>
      <c r="AD48" s="1296" t="s">
        <v>196</v>
      </c>
      <c r="AE48" s="1296" t="s">
        <v>197</v>
      </c>
      <c r="AF48" s="1296" t="s">
        <v>198</v>
      </c>
      <c r="AG48" s="1296" t="s">
        <v>199</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857" customFormat="1" customHeight="1" ht="17.25" hidden="1">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7" customFormat="1" customHeight="1" ht="17.25" hidden="1">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6" customFormat="1" customHeight="1" ht="17.25" hidden="1">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857" customFormat="1" customHeight="1" ht="17.25" hidden="1">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hidden="1"/>
    <row customHeight="1" ht="11.25" hidden="1">
      <c r="E54" s="2011" t="s">
        <v>200</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201</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202</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203</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204</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15"/>
      <c r="G59" s="143"/>
      <c r="H59" s="143"/>
      <c r="I59" s="143"/>
      <c r="J59" s="143"/>
      <c r="K59" s="143"/>
      <c r="L59" s="143"/>
      <c r="M59" s="143"/>
      <c r="N59" s="143"/>
      <c r="O59" s="143"/>
      <c r="P59" s="143"/>
      <c r="Q59" s="143"/>
      <c r="R59" s="143"/>
      <c r="S59" s="143"/>
      <c r="T59" s="143"/>
      <c r="U59" s="143"/>
      <c r="V59" s="143"/>
      <c r="W59" s="143"/>
    </row>
    <row customHeight="1" ht="15" hidden="1">
      <c r="E60" s="2011" t="s">
        <v>205</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206</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207</v>
      </c>
      <c r="F62" s="2009"/>
      <c r="G62" s="2010"/>
      <c r="H62" s="2010"/>
      <c r="I62" s="2010"/>
      <c r="J62" s="2010"/>
      <c r="K62" s="2010"/>
      <c r="L62" s="2010"/>
      <c r="M62" s="2010"/>
      <c r="N62" s="2010"/>
      <c r="O62" s="2010"/>
      <c r="P62" s="2010"/>
      <c r="Q62" s="2010"/>
      <c r="R62" s="2010"/>
      <c r="S62" s="2010"/>
      <c r="T62" s="2010"/>
      <c r="U62" s="2010"/>
      <c r="V62" s="2010"/>
      <c r="W62" s="2010"/>
    </row>
    <row s="2873"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873" customFormat="1" customHeight="1" ht="17.25">
      <c r="A64" s="314"/>
      <c r="C64" s="195"/>
      <c r="D64" s="1991">
        <v>1</v>
      </c>
      <c r="E64" s="1993" t="s">
        <v>208</v>
      </c>
      <c r="F64" s="1995" t="s">
        <v>60</v>
      </c>
      <c r="G64" s="2874" t="str">
        <f>INDEX(COLDVSNA_PT_VED_NAME,MATCH(4189671,COLDVSNA_PT_VED_ID,0))</f>
        <v>Холодное водоснабжение. Питьевая вода</v>
      </c>
      <c r="H64" s="2875"/>
      <c r="I64" s="2875">
        <v>1</v>
      </c>
      <c r="J64" s="2876" t="s">
        <v>208</v>
      </c>
      <c r="K64" s="2877" t="s">
        <v>55</v>
      </c>
      <c r="L64" s="2878"/>
      <c r="M64" s="2878" t="s">
        <v>107</v>
      </c>
      <c r="N64" s="2879" t="s">
        <v>24</v>
      </c>
      <c r="O64" s="2877" t="s">
        <v>55</v>
      </c>
      <c r="P64" s="2878"/>
      <c r="Q64" s="2878" t="s">
        <v>107</v>
      </c>
      <c r="R64" s="2880" t="s">
        <v>24</v>
      </c>
      <c r="S64" s="2881" t="s">
        <v>55</v>
      </c>
      <c r="T64" s="2881"/>
      <c r="U64" s="2881" t="s">
        <v>107</v>
      </c>
      <c r="V64" s="2882"/>
      <c r="W64" s="2876"/>
      <c r="Y64" s="1296"/>
      <c r="Z64" s="1296"/>
      <c r="AA64" s="1296"/>
      <c r="AB64" s="1296" t="s">
        <v>209</v>
      </c>
      <c r="AC64" s="1296" t="s">
        <v>210</v>
      </c>
      <c r="AD64" s="1296" t="s">
        <v>211</v>
      </c>
      <c r="AE64" s="1296" t="s">
        <v>212</v>
      </c>
      <c r="AF64" s="1296" t="s">
        <v>213</v>
      </c>
      <c r="AG64" s="1296"/>
      <c r="AH64" s="1296" t="str">
        <f>IF($E$64=0,"",$E$64)</f>
        <v>Тариф на питьевую воду (питьевое водоснабжение)</v>
      </c>
      <c r="AI64" s="1296" t="str">
        <f>IF($G$64=0,"",$G$64)</f>
        <v>Холодное водоснабжение. Питьевая вода</v>
      </c>
      <c r="AJ64" s="1296" t="str">
        <f>IF($J$64=0,"",$J$64)</f>
        <v>Тариф на питьевую воду (питьевое водоснабжение)</v>
      </c>
      <c r="AK64" s="1296" t="str">
        <f>IF($K$64="нет","без дифференциации",IF($N$64=0,"",$N$64))</f>
        <v>без дифференциации</v>
      </c>
      <c r="AL64" s="1296" t="str">
        <f>IF($O$64="нет","без дифференциации",IF($R$64=0,"",$R$64))</f>
        <v>без дифференциации</v>
      </c>
      <c r="AM64" s="1296" t="str">
        <f>IF($S$64="нет","без дифференциации",IF($V$64=0,"",$V$64))</f>
        <v>без дифференциации</v>
      </c>
      <c r="AN64" s="1296">
        <f>$I$64</f>
        <v>1</v>
      </c>
      <c r="AO64" s="1296" t="str">
        <f>$I$64&amp;"."&amp;$M$64</f>
        <v>1.1</v>
      </c>
      <c r="AP64" s="1296" t="str">
        <f>$I$64&amp;"."&amp;$M$64&amp;"."&amp;$Q$64</f>
        <v>1.1.1</v>
      </c>
      <c r="AQ64" s="1296" t="str">
        <f>$I$64&amp;"."&amp;$M$64&amp;"."&amp;$Q$64&amp;"."&amp;$U$64</f>
        <v>1.1.1.1</v>
      </c>
    </row>
    <row s="2873" customFormat="1" customHeight="1" ht="17.25">
      <c r="A65" s="314"/>
      <c r="C65" s="313"/>
      <c r="D65" s="1991"/>
      <c r="E65" s="1993"/>
      <c r="F65" s="1996"/>
      <c r="G65" s="2874"/>
      <c r="H65" s="2875"/>
      <c r="I65" s="2875"/>
      <c r="J65" s="2876"/>
      <c r="K65" s="2883"/>
      <c r="L65" s="2878"/>
      <c r="M65" s="2878"/>
      <c r="N65" s="2879" t="s">
        <v>24</v>
      </c>
      <c r="O65" s="2883"/>
      <c r="P65" s="2878"/>
      <c r="Q65" s="2878"/>
      <c r="R65" s="2880" t="s">
        <v>24</v>
      </c>
      <c r="S65" s="2881"/>
      <c r="T65" s="2884"/>
      <c r="U65" s="2885"/>
      <c r="V65" s="2885"/>
      <c r="W65" s="2876"/>
      <c r="Y65" s="1288"/>
      <c r="Z65" s="1288"/>
      <c r="AA65" s="1288"/>
      <c r="AB65" s="1288"/>
      <c r="AC65" s="1288"/>
      <c r="AD65" s="1288"/>
      <c r="AE65" s="1288"/>
      <c r="AF65" s="1288"/>
      <c r="AG65" s="1288"/>
      <c r="AH65" s="1288"/>
      <c r="AI65" s="1288"/>
      <c r="AJ65" s="1288"/>
      <c r="AK65" s="1288"/>
      <c r="AL65" s="1288"/>
      <c r="AM65" s="1288"/>
      <c r="AN65" s="1288"/>
      <c r="AO65" s="1288"/>
      <c r="AP65" s="1288"/>
      <c r="AQ65" s="1288"/>
    </row>
    <row s="2886" customFormat="1" customHeight="1" ht="17.25">
      <c r="A66" s="314"/>
      <c r="C66" s="195"/>
      <c r="D66" s="1991"/>
      <c r="E66" s="1993"/>
      <c r="F66" s="1996"/>
      <c r="G66" s="2874"/>
      <c r="H66" s="2887"/>
      <c r="I66" s="2887"/>
      <c r="J66" s="2888"/>
      <c r="K66" s="2883"/>
      <c r="L66" s="2887"/>
      <c r="M66" s="2887"/>
      <c r="N66" s="2880" t="s">
        <v>24</v>
      </c>
      <c r="O66" s="2889"/>
      <c r="P66" s="2890"/>
      <c r="Q66" s="2891"/>
      <c r="R66" s="2892" t="s">
        <v>214</v>
      </c>
      <c r="S66" s="2893"/>
      <c r="T66" s="2894"/>
      <c r="U66" s="2895"/>
      <c r="V66" s="2896"/>
      <c r="W66" s="2897"/>
      <c r="Y66" s="1296"/>
      <c r="Z66" s="1296"/>
      <c r="AA66" s="1296"/>
      <c r="AB66" s="1296"/>
      <c r="AC66" s="1296"/>
      <c r="AD66" s="1296"/>
      <c r="AE66" s="1296"/>
      <c r="AF66" s="1296"/>
      <c r="AG66" s="1296"/>
      <c r="AH66" s="1296"/>
      <c r="AI66" s="1296"/>
      <c r="AJ66" s="1296"/>
      <c r="AK66" s="1296"/>
      <c r="AL66" s="1296"/>
      <c r="AM66" s="1296"/>
      <c r="AN66" s="1296"/>
      <c r="AO66" s="1296"/>
      <c r="AP66" s="1296"/>
      <c r="AQ66" s="1296"/>
    </row>
    <row s="2886" customFormat="1" customHeight="1" ht="17.25">
      <c r="A67" s="314"/>
      <c r="C67" s="313"/>
      <c r="D67" s="1991"/>
      <c r="E67" s="1993"/>
      <c r="F67" s="1996"/>
      <c r="G67" s="2874"/>
      <c r="H67" s="2887"/>
      <c r="I67" s="2887"/>
      <c r="J67" s="2888"/>
      <c r="K67" s="2889"/>
      <c r="L67" s="2898"/>
      <c r="M67" s="2899"/>
      <c r="N67" s="2900" t="s">
        <v>215</v>
      </c>
      <c r="O67" s="2901"/>
      <c r="P67" s="2902"/>
      <c r="Q67" s="2903"/>
      <c r="R67" s="2904"/>
      <c r="S67" s="2905"/>
      <c r="T67" s="2906"/>
      <c r="U67" s="2907"/>
      <c r="V67" s="2908"/>
      <c r="W67" s="2909"/>
      <c r="Y67" s="1288"/>
      <c r="Z67" s="1288"/>
      <c r="AA67" s="1288"/>
      <c r="AB67" s="1288"/>
      <c r="AC67" s="1288"/>
      <c r="AD67" s="1288"/>
      <c r="AE67" s="1288"/>
      <c r="AF67" s="1288"/>
      <c r="AG67" s="1288"/>
      <c r="AH67" s="1288"/>
      <c r="AI67" s="1288"/>
      <c r="AJ67" s="1288"/>
      <c r="AK67" s="1288"/>
      <c r="AL67" s="1288"/>
      <c r="AM67" s="1288"/>
      <c r="AN67" s="1288"/>
      <c r="AO67" s="1288"/>
      <c r="AP67" s="1288"/>
      <c r="AQ67" s="1288"/>
    </row>
    <row s="2873" customFormat="1" customHeight="1" ht="17.25">
      <c r="A68" s="314"/>
      <c r="C68" s="313"/>
      <c r="D68" s="1992"/>
      <c r="E68" s="1994"/>
      <c r="F68" s="1997"/>
      <c r="G68" s="2910"/>
      <c r="H68" s="2911"/>
      <c r="I68" s="2912"/>
      <c r="J68" s="2913" t="s">
        <v>216</v>
      </c>
      <c r="K68" s="2914"/>
      <c r="L68" s="2915"/>
      <c r="M68" s="2916"/>
      <c r="N68" s="2917"/>
      <c r="O68" s="2918"/>
      <c r="P68" s="2919"/>
      <c r="Q68" s="2920"/>
      <c r="R68" s="2921"/>
      <c r="S68" s="2922"/>
      <c r="T68" s="2923"/>
      <c r="U68" s="2924"/>
      <c r="V68" s="2925"/>
      <c r="W68" s="2926"/>
      <c r="Y68" s="1288"/>
      <c r="Z68" s="1288"/>
      <c r="AA68" s="1288"/>
      <c r="AB68" s="1288"/>
      <c r="AC68" s="1288"/>
      <c r="AD68" s="1288"/>
      <c r="AE68" s="1288"/>
      <c r="AF68" s="1288"/>
      <c r="AG68" s="1288"/>
      <c r="AH68" s="1288"/>
      <c r="AI68" s="1288"/>
      <c r="AJ68" s="1288"/>
      <c r="AK68" s="1288"/>
      <c r="AL68" s="1288"/>
      <c r="AM68" s="1288"/>
      <c r="AN68" s="1288"/>
      <c r="AO68" s="1288"/>
      <c r="AP68" s="1288"/>
      <c r="AQ68" s="1288"/>
    </row>
    <row s="2873" customFormat="1" customHeight="1" ht="17.25">
      <c r="A69" s="314"/>
      <c r="C69" s="195"/>
      <c r="D69" s="1991">
        <v>2</v>
      </c>
      <c r="E69" s="1993" t="s">
        <v>217</v>
      </c>
      <c r="F69" s="1995" t="s">
        <v>55</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218</v>
      </c>
      <c r="AD69" s="1296" t="s">
        <v>219</v>
      </c>
      <c r="AE69" s="1296" t="s">
        <v>220</v>
      </c>
      <c r="AF69" s="1296" t="s">
        <v>221</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873" customFormat="1" customHeight="1" ht="17.25">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873" customFormat="1" customHeight="1" ht="17.25">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873" customFormat="1" customHeight="1" ht="17.25">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873" customFormat="1" customHeight="1" ht="17.25">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873" customFormat="1" customHeight="1" ht="17.25">
      <c r="A74" s="314"/>
      <c r="C74" s="195"/>
      <c r="D74" s="1991">
        <v>3</v>
      </c>
      <c r="E74" s="1993" t="s">
        <v>222</v>
      </c>
      <c r="F74" s="1995" t="s">
        <v>55</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223</v>
      </c>
      <c r="AD74" s="1296" t="s">
        <v>224</v>
      </c>
      <c r="AE74" s="1296" t="s">
        <v>225</v>
      </c>
      <c r="AF74" s="1296" t="s">
        <v>226</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873" customFormat="1" customHeight="1" ht="17.25">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873" customFormat="1" customHeight="1" ht="17.25">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873" customFormat="1" customHeight="1" ht="17.25">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873" customFormat="1" customHeight="1" ht="17.25">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873" customFormat="1" customHeight="1" ht="17.25">
      <c r="A79" s="314"/>
      <c r="C79" s="195"/>
      <c r="D79" s="1991">
        <v>4</v>
      </c>
      <c r="E79" s="1993" t="s">
        <v>227</v>
      </c>
      <c r="F79" s="1995" t="s">
        <v>55</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228</v>
      </c>
      <c r="AD79" s="1296" t="s">
        <v>229</v>
      </c>
      <c r="AE79" s="1296" t="s">
        <v>230</v>
      </c>
      <c r="AF79" s="1296" t="s">
        <v>231</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873" customFormat="1" customHeight="1" ht="17.25">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873" customFormat="1" customHeight="1" ht="17.25">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873" customFormat="1" customHeight="1" ht="17.25">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873" customFormat="1" customHeight="1" ht="17.25">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873" customFormat="1" customHeight="1" ht="17.25">
      <c r="A84" s="314"/>
      <c r="C84" s="195"/>
      <c r="D84" s="1991">
        <v>5</v>
      </c>
      <c r="E84" s="1993" t="s">
        <v>232</v>
      </c>
      <c r="F84" s="1995" t="s">
        <v>55</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233</v>
      </c>
      <c r="AD84" s="1296" t="s">
        <v>234</v>
      </c>
      <c r="AE84" s="1296" t="s">
        <v>235</v>
      </c>
      <c r="AF84" s="1296" t="s">
        <v>236</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873" customFormat="1" customHeight="1" ht="17.25">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873" customFormat="1" customHeight="1" ht="17.25">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873" customFormat="1" customHeight="1" ht="17.25">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873" customFormat="1" customHeight="1" ht="17.25">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0"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0" customFormat="1" customHeight="1" ht="17.25" hidden="1">
      <c r="A90" s="314"/>
      <c r="C90" s="195"/>
      <c r="D90" s="1991">
        <v>1</v>
      </c>
      <c r="E90" s="1993" t="s">
        <v>237</v>
      </c>
      <c r="F90" s="1995" t="s">
        <v>55</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238</v>
      </c>
      <c r="AD90" s="1296" t="s">
        <v>239</v>
      </c>
      <c r="AE90" s="1296" t="s">
        <v>240</v>
      </c>
      <c r="AF90" s="1296" t="s">
        <v>241</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0"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0"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0"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0"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0" customFormat="1" customHeight="1" ht="17.25" hidden="1">
      <c r="A95" s="314"/>
      <c r="C95" s="195"/>
      <c r="D95" s="1991">
        <v>2</v>
      </c>
      <c r="E95" s="1993" t="s">
        <v>242</v>
      </c>
      <c r="F95" s="1995" t="s">
        <v>55</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243</v>
      </c>
      <c r="AD95" s="1296" t="s">
        <v>244</v>
      </c>
      <c r="AE95" s="1296" t="s">
        <v>245</v>
      </c>
      <c r="AF95" s="1296" t="s">
        <v>246</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0"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0"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0"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0"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0" customFormat="1" customHeight="1" ht="17.25" hidden="1">
      <c r="A100" s="314"/>
      <c r="C100" s="195"/>
      <c r="D100" s="1991">
        <v>3</v>
      </c>
      <c r="E100" s="1993" t="s">
        <v>247</v>
      </c>
      <c r="F100" s="1995" t="s">
        <v>55</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248</v>
      </c>
      <c r="AD100" s="1296" t="s">
        <v>249</v>
      </c>
      <c r="AE100" s="1296" t="s">
        <v>250</v>
      </c>
      <c r="AF100" s="1296" t="s">
        <v>251</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0"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0"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0"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0"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0"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0" customFormat="1" customHeight="1" ht="17.25" hidden="1">
      <c r="A106" s="314"/>
      <c r="C106" s="195"/>
      <c r="D106" s="1991">
        <v>1</v>
      </c>
      <c r="E106" s="1993" t="s">
        <v>252</v>
      </c>
      <c r="F106" s="1995" t="s">
        <v>55</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253</v>
      </c>
      <c r="AD106" s="1296" t="s">
        <v>254</v>
      </c>
      <c r="AE106" s="1296" t="s">
        <v>255</v>
      </c>
      <c r="AF106" s="1296" t="s">
        <v>256</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0"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0"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0"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0"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0" customFormat="1" customHeight="1" ht="17.25" hidden="1">
      <c r="A111" s="314"/>
      <c r="C111" s="195"/>
      <c r="D111" s="1991">
        <v>2</v>
      </c>
      <c r="E111" s="1993" t="s">
        <v>257</v>
      </c>
      <c r="F111" s="1995" t="s">
        <v>55</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258</v>
      </c>
      <c r="AD111" s="1296" t="s">
        <v>259</v>
      </c>
      <c r="AE111" s="1296" t="s">
        <v>260</v>
      </c>
      <c r="AF111" s="1296" t="s">
        <v>261</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0"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0"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0"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0"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0" customFormat="1" customHeight="1" ht="17.25" hidden="1">
      <c r="A116" s="314"/>
      <c r="C116" s="195"/>
      <c r="D116" s="1991">
        <v>3</v>
      </c>
      <c r="E116" s="1993" t="s">
        <v>262</v>
      </c>
      <c r="F116" s="1995" t="s">
        <v>55</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263</v>
      </c>
      <c r="AD116" s="1296" t="s">
        <v>264</v>
      </c>
      <c r="AE116" s="1296" t="s">
        <v>265</v>
      </c>
      <c r="AF116" s="1296" t="s">
        <v>266</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0"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0"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0"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0"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2">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N69:N71"/>
    <mergeCell ref="O69:O71"/>
    <mergeCell ref="P69:P70"/>
    <mergeCell ref="S74:S75"/>
    <mergeCell ref="N74:N76"/>
    <mergeCell ref="O74:O76"/>
    <mergeCell ref="P74:P75"/>
    <mergeCell ref="Q74:Q75"/>
    <mergeCell ref="R74:R75"/>
    <mergeCell ref="L69:L71"/>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S64:S65"/>
    <mergeCell ref="W64:W65"/>
    <mergeCell ref="H64:H67"/>
    <mergeCell ref="I64:I67"/>
    <mergeCell ref="J64:J67"/>
    <mergeCell ref="K64:K67"/>
    <mergeCell ref="L64:L66"/>
    <mergeCell ref="M64:M66"/>
    <mergeCell ref="N64:N66"/>
    <mergeCell ref="O64:O66"/>
    <mergeCell ref="P64:P65"/>
    <mergeCell ref="Q64:Q65"/>
    <mergeCell ref="R64:R6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64">
      <formula1>900</formula1>
    </dataValidation>
    <dataValidation allowBlank="1" showInputMessage="1" showErrorMessage="1" prompt="Для выбора выполните двойной щелчок левой клавиши мыши по соответствующей ячейке." sqref="K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dataValidation allowBlank="1" showInputMessage="1" showErrorMessage="1" prompt="Для выбора выполните двойной щелчок левой клавиши мыши по соответствующей ячейке." sqref="O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Для выбора выполните двойной щелчок левой клавиши мыши по соответствующей ячейке." sqref="S64"/>
    <dataValidation type="textLength" operator="lessThanOrEqual" allowBlank="1" showInputMessage="1" showErrorMessage="1" errorTitle="Ошибка" error="Допускается ввод не более 900 символов!" sqref="V64">
      <formula1>900</formula1>
    </dataValidation>
    <dataValidation type="textLength" operator="lessThanOrEqual" allowBlank="1" showInputMessage="1" showErrorMessage="1" errorTitle="Ошибка" error="Допускается ввод не более 900 символов!" sqref="W64">
      <formula1>900</formula1>
    </dataValidation>
    <dataValidation type="textLength" operator="lessThanOrEqual" allowBlank="1" showInputMessage="1" showErrorMessage="1" errorTitle="Ошибка" error="Допускается ввод не более 900 символов!" sqref="J6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dataValidation type="textLength" operator="lessThanOrEqual" allowBlank="1" showInputMessage="1" showErrorMessage="1" errorTitle="Ошибка" error="Допускается ввод не более 900 символов!" sqref="R65">
      <formula1>900</formula1>
    </dataValidation>
    <dataValidation allowBlank="1" showInputMessage="1" showErrorMessage="1" prompt="Для выбора выполните двойной щелчок левой клавиши мыши по соответствующей ячейке." sqref="S6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01E3DB-078F-C00C-5871-A2DEAAE5FB3E}"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48" width="9.140625" hidden="1"/>
    <col min="3" max="4" style="2748" width="3.7109375" customWidth="1"/>
    <col min="5" max="6" style="2748" width="16.00390625" customWidth="1"/>
    <col min="7" max="7" style="2748" width="11.57421875" customWidth="1"/>
    <col min="8" max="9" style="2748" width="3.7109375" customWidth="1"/>
    <col min="10" max="10" style="2748" width="13.140625" customWidth="1"/>
    <col min="11" max="11" style="2748" width="0.28125" customWidth="1"/>
    <col min="12" max="13" style="2748" width="10.7109375" customWidth="1"/>
    <col min="14" max="15" style="2748" width="3.7109375" customWidth="1"/>
    <col min="16" max="16" style="2748" width="19.7109375" customWidth="1"/>
    <col min="17" max="17" style="2748" width="0.28125" customWidth="1"/>
    <col min="18" max="19" style="2748" width="10.7109375" customWidth="1"/>
    <col min="20" max="21" style="2748" width="3.7109375" customWidth="1"/>
    <col min="22" max="22" style="2748" width="25.7109375" customWidth="1"/>
    <col min="23" max="23" style="2748" width="0.28125" customWidth="1"/>
    <col min="24" max="25" style="2748" width="10.7109375" customWidth="1"/>
    <col min="26" max="27" style="2748" width="3.7109375" customWidth="1"/>
    <col min="28" max="28" style="2748" width="16.421875" customWidth="1"/>
    <col min="29" max="29" style="2748" width="0.28125" customWidth="1"/>
    <col min="30" max="31" style="2748" width="10.7109375" customWidth="1"/>
    <col min="32" max="33" style="2748" width="3.7109375" customWidth="1"/>
    <col min="34" max="34" style="2748" width="8.7109375" customWidth="1"/>
    <col min="35" max="35" style="2748" width="21.7109375" customWidth="1"/>
    <col min="36" max="36" style="2667" width="9.140625"/>
    <col min="37" max="37" style="2938" width="9.140625"/>
    <col min="38" max="64" style="2667" width="9.140625"/>
  </cols>
  <sheetData>
    <row s="2675"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4" customFormat="1" customHeight="1" ht="11.25" hidden="1">
      <c r="L2" s="1593" t="s">
        <v>267</v>
      </c>
      <c r="M2" s="1593" t="s">
        <v>268</v>
      </c>
      <c r="R2" s="1593" t="s">
        <v>269</v>
      </c>
      <c r="S2" s="1593" t="s">
        <v>268</v>
      </c>
      <c r="X2" s="1593" t="s">
        <v>267</v>
      </c>
      <c r="Y2" s="1593" t="s">
        <v>268</v>
      </c>
      <c r="AD2" s="1593" t="s">
        <v>267</v>
      </c>
      <c r="AE2" s="1593" t="s">
        <v>268</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8" customFormat="1" customHeight="1" ht="33">
      <c r="A4" s="1164"/>
      <c r="B4" s="1163"/>
      <c r="C4" s="1545"/>
      <c r="D4" s="2027" t="s">
        <v>270</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7" customFormat="1" customHeight="1" ht="14.25">
      <c r="A5" s="1672"/>
      <c r="B5" s="1671"/>
      <c r="C5" s="1545"/>
      <c r="D5" s="2053" t="str">
        <f>IF(org=0,"Не определено",org)</f>
        <v>АО "РИР" (филиал в г. Глазове)</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8"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5"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86</v>
      </c>
      <c r="E8" s="1971" t="s">
        <v>103</v>
      </c>
      <c r="F8" s="2029" t="s">
        <v>120</v>
      </c>
      <c r="G8" s="2030"/>
      <c r="H8" s="2029" t="s">
        <v>86</v>
      </c>
      <c r="I8" s="2030"/>
      <c r="J8" s="1971" t="s">
        <v>121</v>
      </c>
      <c r="K8" s="1596"/>
      <c r="L8" s="2033" t="s">
        <v>271</v>
      </c>
      <c r="M8" s="2033"/>
      <c r="N8" s="2033"/>
      <c r="O8" s="2033"/>
      <c r="P8" s="2033"/>
      <c r="Q8" s="1597"/>
      <c r="R8" s="1950" t="s">
        <v>272</v>
      </c>
      <c r="S8" s="2034"/>
      <c r="T8" s="2034"/>
      <c r="U8" s="2034"/>
      <c r="V8" s="2034"/>
      <c r="W8" s="1597"/>
      <c r="X8" s="2035" t="s">
        <v>273</v>
      </c>
      <c r="Y8" s="2035"/>
      <c r="Z8" s="2035"/>
      <c r="AA8" s="2035"/>
      <c r="AB8" s="2035"/>
      <c r="AC8" s="1598"/>
      <c r="AD8" s="1971" t="s">
        <v>274</v>
      </c>
      <c r="AE8" s="1971"/>
      <c r="AF8" s="1971"/>
      <c r="AG8" s="1971"/>
      <c r="AH8" s="1955"/>
      <c r="AI8" s="1971" t="s">
        <v>275</v>
      </c>
      <c r="AJ8" s="1614"/>
    </row>
    <row customHeight="1" ht="22.5">
      <c r="D9" s="1971"/>
      <c r="E9" s="1971"/>
      <c r="F9" s="2028" t="s">
        <v>87</v>
      </c>
      <c r="G9" s="2028" t="s">
        <v>126</v>
      </c>
      <c r="H9" s="2031"/>
      <c r="I9" s="2032"/>
      <c r="J9" s="1955"/>
      <c r="K9" s="1599"/>
      <c r="L9" s="1971" t="s">
        <v>276</v>
      </c>
      <c r="M9" s="1955"/>
      <c r="N9" s="2029" t="s">
        <v>86</v>
      </c>
      <c r="O9" s="2030"/>
      <c r="P9" s="1971" t="s">
        <v>127</v>
      </c>
      <c r="Q9" s="1596"/>
      <c r="R9" s="1971" t="s">
        <v>276</v>
      </c>
      <c r="S9" s="1955"/>
      <c r="T9" s="2029" t="s">
        <v>86</v>
      </c>
      <c r="U9" s="2030"/>
      <c r="V9" s="1971" t="s">
        <v>127</v>
      </c>
      <c r="W9" s="1596"/>
      <c r="X9" s="1971" t="s">
        <v>276</v>
      </c>
      <c r="Y9" s="1955"/>
      <c r="Z9" s="2029" t="s">
        <v>86</v>
      </c>
      <c r="AA9" s="2030"/>
      <c r="AB9" s="1971" t="s">
        <v>277</v>
      </c>
      <c r="AC9" s="1596"/>
      <c r="AD9" s="1971" t="s">
        <v>276</v>
      </c>
      <c r="AE9" s="1955"/>
      <c r="AF9" s="2029" t="s">
        <v>86</v>
      </c>
      <c r="AG9" s="2030"/>
      <c r="AH9" s="1955" t="s">
        <v>277</v>
      </c>
      <c r="AI9" s="1971"/>
      <c r="AJ9" s="1614"/>
    </row>
    <row customHeight="1" ht="22.5">
      <c r="D10" s="2028"/>
      <c r="E10" s="2028"/>
      <c r="F10" s="2036"/>
      <c r="G10" s="2036"/>
      <c r="H10" s="2037"/>
      <c r="I10" s="2038"/>
      <c r="J10" s="2029"/>
      <c r="K10" s="1599"/>
      <c r="L10" s="1618" t="s">
        <v>278</v>
      </c>
      <c r="M10" s="1613" t="s">
        <v>279</v>
      </c>
      <c r="N10" s="2031"/>
      <c r="O10" s="2032"/>
      <c r="P10" s="2028"/>
      <c r="Q10" s="1596"/>
      <c r="R10" s="1618" t="s">
        <v>278</v>
      </c>
      <c r="S10" s="1613" t="s">
        <v>279</v>
      </c>
      <c r="T10" s="2031"/>
      <c r="U10" s="2032"/>
      <c r="V10" s="2028"/>
      <c r="W10" s="1596"/>
      <c r="X10" s="1618" t="s">
        <v>278</v>
      </c>
      <c r="Y10" s="1613" t="s">
        <v>279</v>
      </c>
      <c r="Z10" s="2031"/>
      <c r="AA10" s="2032"/>
      <c r="AB10" s="2028"/>
      <c r="AC10" s="1596"/>
      <c r="AD10" s="1618" t="s">
        <v>278</v>
      </c>
      <c r="AE10" s="1613" t="s">
        <v>279</v>
      </c>
      <c r="AF10" s="2031"/>
      <c r="AG10" s="2032"/>
      <c r="AH10" s="2029"/>
      <c r="AI10" s="2028"/>
      <c r="AJ10" s="1614"/>
      <c r="AK10" s="240" t="s">
        <v>280</v>
      </c>
      <c r="AL10" s="240" t="s">
        <v>128</v>
      </c>
    </row>
    <row customHeight="1" ht="14.25">
      <c r="D11" s="2039" t="s">
        <v>107</v>
      </c>
      <c r="E11" s="2041" t="s">
        <v>281</v>
      </c>
      <c r="F11" s="2041" t="s">
        <v>282</v>
      </c>
      <c r="G11" s="2044" t="s">
        <v>55</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108</v>
      </c>
      <c r="E17" s="2041" t="s">
        <v>281</v>
      </c>
      <c r="F17" s="2041" t="s">
        <v>283</v>
      </c>
      <c r="G17" s="2044" t="s">
        <v>55</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88</v>
      </c>
      <c r="E23" s="2041" t="s">
        <v>281</v>
      </c>
      <c r="F23" s="2041" t="s">
        <v>284</v>
      </c>
      <c r="G23" s="2044" t="s">
        <v>55</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96</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89</v>
      </c>
      <c r="E29" s="2041" t="s">
        <v>281</v>
      </c>
      <c r="F29" s="2041" t="s">
        <v>285</v>
      </c>
      <c r="G29" s="2044" t="s">
        <v>55</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109</v>
      </c>
      <c r="E35" s="2041" t="s">
        <v>281</v>
      </c>
      <c r="F35" s="2041" t="s">
        <v>286</v>
      </c>
      <c r="G35" s="2044" t="s">
        <v>55</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282CD4-F62B-C1DE-E5E3-305F92BB8CDF}"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3007" width="15.00390625" hidden="1" customWidth="1"/>
    <col min="2"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121.7109375" customWidth="1"/>
    <col min="8" max="8" style="3087" width="9.140625"/>
    <col min="9" max="9" style="3087" width="65.00390625" customWidth="1"/>
  </cols>
  <sheetData>
    <row customHeight="1" ht="11.25" hidden="1">
      <c r="A1" s="1726" t="s">
        <v>287</v>
      </c>
    </row>
    <row customHeight="1" ht="11.25" hidden="1"/>
    <row s="3008" customFormat="1" customHeight="1" ht="11.25">
      <c r="A3" s="1726"/>
      <c r="B3" s="507"/>
      <c r="D3" s="484"/>
    </row>
    <row customHeight="1" ht="25.5">
      <c r="D4" s="2019" t="str">
        <f>ORG_INFO_NAME_FORM</f>
        <v>Форма 1. Информация об организации, осуществляющей холодное водоснабжение (общая информация)</v>
      </c>
      <c r="E4" s="2020"/>
      <c r="F4" s="2021"/>
      <c r="I4" s="721"/>
    </row>
    <row customHeight="1" ht="17.25">
      <c r="D5" s="2053" t="str">
        <f>IF(org=0,"Не определено",org)</f>
        <v>АО "РИР" (филиал в г. Глазове)</v>
      </c>
      <c r="E5" s="2053"/>
      <c r="F5" s="2053"/>
      <c r="I5" s="721"/>
    </row>
    <row s="300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288</v>
      </c>
      <c r="E8" s="2057"/>
      <c r="F8" s="2057"/>
      <c r="G8" s="2061" t="s">
        <v>289</v>
      </c>
    </row>
    <row customHeight="1" ht="11.25">
      <c r="A9" s="463"/>
      <c r="B9" s="508"/>
      <c r="C9" s="463"/>
      <c r="D9" s="478" t="s">
        <v>86</v>
      </c>
      <c r="E9" s="452" t="s">
        <v>290</v>
      </c>
      <c r="F9" s="452" t="s">
        <v>291</v>
      </c>
      <c r="G9" s="2062"/>
    </row>
    <row customHeight="1" ht="12" hidden="1">
      <c r="A10" s="463"/>
      <c r="B10" s="508"/>
      <c r="C10" s="463"/>
      <c r="D10" s="470"/>
      <c r="E10" s="470"/>
      <c r="F10" s="470"/>
      <c r="G10" s="470"/>
    </row>
    <row customHeight="1" ht="22.5" hidden="1">
      <c r="A11" s="463"/>
      <c r="B11" s="508"/>
      <c r="C11" s="463"/>
      <c r="D11" s="1016" t="s">
        <v>107</v>
      </c>
      <c r="E11" s="1019" t="s">
        <v>292</v>
      </c>
      <c r="F11" s="1018" t="str">
        <f>IF(region_name="","",region_name)</f>
        <v>Удмуртская республика</v>
      </c>
      <c r="G11" s="1019" t="s">
        <v>293</v>
      </c>
      <c r="H11" s="481"/>
    </row>
    <row customHeight="1" ht="22.5" hidden="1">
      <c r="A12" s="463"/>
      <c r="B12" s="508"/>
      <c r="C12" s="463"/>
      <c r="D12" s="451" t="s">
        <v>107</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294</v>
      </c>
      <c r="G12" s="480"/>
      <c r="H12" s="481"/>
    </row>
    <row customHeight="1" ht="22.5">
      <c r="A13" s="463"/>
      <c r="B13" s="508"/>
      <c r="C13" s="463"/>
      <c r="D13" s="451" t="s">
        <v>107</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6" t="s">
        <v>295</v>
      </c>
      <c r="E14" s="1017" t="s">
        <v>296</v>
      </c>
      <c r="F14" s="1018" t="str">
        <f>IF(inn="","",inn)</f>
        <v>7706757331</v>
      </c>
      <c r="G14" s="1019" t="s">
        <v>297</v>
      </c>
      <c r="H14" s="481"/>
    </row>
    <row customHeight="1" ht="22.5" hidden="1">
      <c r="A15" s="463"/>
      <c r="B15" s="508"/>
      <c r="C15" s="463"/>
      <c r="D15" s="1016" t="s">
        <v>298</v>
      </c>
      <c r="E15" s="1017" t="s">
        <v>299</v>
      </c>
      <c r="F15" s="1018" t="str">
        <f>IF(kpp="","",kpp)</f>
        <v>183743001</v>
      </c>
      <c r="G15" s="1019" t="s">
        <v>300</v>
      </c>
      <c r="H15" s="481"/>
    </row>
    <row customHeight="1" ht="36.75">
      <c r="A16" s="463"/>
      <c r="B16" s="508"/>
      <c r="C16" s="463"/>
      <c r="D16" s="451" t="s">
        <v>108</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88</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89</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301</v>
      </c>
      <c r="F19" s="449" t="s">
        <v>294</v>
      </c>
      <c r="G19" s="450" t="s">
        <v>302</v>
      </c>
      <c r="H19" s="481"/>
      <c r="I19" s="858"/>
    </row>
    <row customHeight="1" ht="33.75" hidden="1">
      <c r="A20" s="2058"/>
      <c r="B20" s="508"/>
      <c r="C20" s="2063"/>
      <c r="D20" s="451" t="s">
        <v>303</v>
      </c>
      <c r="E20" s="445" t="s">
        <v>304</v>
      </c>
      <c r="F20" s="887" t="s">
        <v>24</v>
      </c>
      <c r="G20" s="480"/>
      <c r="H20" s="481"/>
      <c r="I20" s="858"/>
    </row>
    <row customHeight="1" ht="22.5" hidden="1">
      <c r="A21" s="2058"/>
      <c r="B21" s="508"/>
      <c r="C21" s="2063"/>
      <c r="D21" s="451" t="s">
        <v>305</v>
      </c>
      <c r="E21" s="445" t="s">
        <v>306</v>
      </c>
      <c r="F21" s="1773" t="s">
        <v>24</v>
      </c>
      <c r="G21" s="450" t="s">
        <v>307</v>
      </c>
      <c r="H21" s="481"/>
      <c r="I21" s="858"/>
    </row>
    <row customHeight="1" ht="22.5" hidden="1">
      <c r="A22" s="2058"/>
      <c r="B22" s="508"/>
      <c r="C22" s="2063"/>
      <c r="D22" s="451" t="s">
        <v>308</v>
      </c>
      <c r="E22" s="445" t="s">
        <v>309</v>
      </c>
      <c r="F22" s="887" t="s">
        <v>24</v>
      </c>
      <c r="G22" s="480"/>
      <c r="H22" s="481"/>
      <c r="I22" s="858"/>
    </row>
    <row customHeight="1" ht="22.5" hidden="1">
      <c r="A23" s="2058"/>
      <c r="B23" s="508"/>
      <c r="C23" s="2063"/>
      <c r="D23" s="451" t="s">
        <v>310</v>
      </c>
      <c r="E23" s="445" t="s">
        <v>311</v>
      </c>
      <c r="F23" s="887" t="s">
        <v>24</v>
      </c>
      <c r="G23" s="450" t="s">
        <v>312</v>
      </c>
      <c r="H23" s="481"/>
      <c r="I23" s="858"/>
    </row>
    <row s="3009" customFormat="1" customHeight="1" ht="24.75" hidden="1">
      <c r="A24" s="463"/>
      <c r="B24" s="508"/>
      <c r="C24" s="508"/>
      <c r="D24" s="1013" t="s">
        <v>88</v>
      </c>
      <c r="E24" s="1015" t="s">
        <v>313</v>
      </c>
      <c r="F24" s="1020" t="s">
        <v>294</v>
      </c>
      <c r="G24" s="1015"/>
    </row>
    <row s="3009" customFormat="1" customHeight="1" ht="11.25" hidden="1">
      <c r="A25" s="463"/>
      <c r="B25" s="508"/>
      <c r="C25" s="508"/>
      <c r="D25" s="1013" t="s">
        <v>314</v>
      </c>
      <c r="E25" s="1014" t="s">
        <v>315</v>
      </c>
      <c r="F25" s="1020" t="s">
        <v>294</v>
      </c>
      <c r="G25" s="1015"/>
    </row>
    <row s="3009" customFormat="1" customHeight="1" ht="11.25" hidden="1">
      <c r="A26" s="463"/>
      <c r="B26" s="508"/>
      <c r="C26" s="508"/>
      <c r="D26" s="1013" t="s">
        <v>316</v>
      </c>
      <c r="E26" s="1021" t="s">
        <v>317</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3009" customFormat="1" customHeight="1" ht="11.25" hidden="1">
      <c r="A27" s="463"/>
      <c r="B27" s="508"/>
      <c r="C27" s="508"/>
      <c r="D27" s="1013" t="s">
        <v>318</v>
      </c>
      <c r="E27" s="1021" t="s">
        <v>319</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3009" customFormat="1" customHeight="1" ht="11.25" hidden="1">
      <c r="A28" s="463"/>
      <c r="B28" s="508"/>
      <c r="C28" s="508"/>
      <c r="D28" s="1013" t="s">
        <v>320</v>
      </c>
      <c r="E28" s="1021" t="s">
        <v>321</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3009" customFormat="1" customHeight="1" ht="11.25" hidden="1">
      <c r="A29" s="463"/>
      <c r="B29" s="508"/>
      <c r="C29" s="508"/>
      <c r="D29" s="1013" t="s">
        <v>322</v>
      </c>
      <c r="E29" s="1014" t="s">
        <v>323</v>
      </c>
      <c r="F29" s="1022"/>
      <c r="G29" s="1015"/>
    </row>
    <row s="3009" customFormat="1" customHeight="1" ht="11.25" hidden="1">
      <c r="A30" s="463"/>
      <c r="B30" s="508"/>
      <c r="C30" s="508"/>
      <c r="D30" s="1013" t="s">
        <v>324</v>
      </c>
      <c r="E30" s="1014" t="s">
        <v>325</v>
      </c>
      <c r="F30" s="1022"/>
      <c r="G30" s="1015"/>
    </row>
    <row s="3009" customFormat="1" customHeight="1" ht="11.25" hidden="1">
      <c r="A31" s="463"/>
      <c r="B31" s="508"/>
      <c r="C31" s="508"/>
      <c r="D31" s="1013" t="s">
        <v>326</v>
      </c>
      <c r="E31" s="1014" t="s">
        <v>327</v>
      </c>
      <c r="F31" s="1023"/>
      <c r="G31" s="1015"/>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294</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328</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328</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294</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5"/>
      <c r="F39" s="887"/>
      <c r="G39" s="2065"/>
      <c r="H39" s="481"/>
    </row>
    <row customHeight="1" ht="22.5">
      <c r="A40" s="463"/>
      <c r="B40" s="463"/>
      <c r="C40" s="1728"/>
      <c r="D40" s="446" t="str">
        <f>D38&amp;".1"</f>
        <v>8.1</v>
      </c>
      <c r="E40" s="866"/>
      <c r="F40" s="867"/>
      <c r="G40" s="2065"/>
      <c r="H40" s="481"/>
    </row>
    <row customHeight="1" ht="15">
      <c r="A41" s="463"/>
      <c r="B41" s="508"/>
      <c r="C41" s="463"/>
      <c r="D41" s="473"/>
      <c r="E41" s="421" t="s">
        <v>329</v>
      </c>
      <c r="F41" s="475"/>
      <c r="G41" s="2066"/>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330</v>
      </c>
      <c r="H43" s="481"/>
    </row>
    <row customHeight="1" ht="22.5">
      <c r="A44" s="463"/>
      <c r="B44" s="508"/>
      <c r="C44" s="463"/>
      <c r="D44" s="446">
        <f>D43+1</f>
        <v>11</v>
      </c>
      <c r="E44" s="444" t="s">
        <v>331</v>
      </c>
      <c r="F44" s="449" t="s">
        <v>294</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4"/>
      <c r="G45" s="443" t="s">
        <v>332</v>
      </c>
      <c r="H45" s="481"/>
    </row>
    <row customHeight="1" ht="22.5">
      <c r="A46" s="2054"/>
      <c r="B46" s="508"/>
      <c r="C46" s="498"/>
      <c r="D46" s="446" t="str">
        <f>D44&amp;".2"</f>
        <v>11.2</v>
      </c>
      <c r="E46" s="448" t="s">
        <v>333</v>
      </c>
      <c r="F46" s="496"/>
      <c r="G46" s="443" t="s">
        <v>334</v>
      </c>
      <c r="H46" s="481"/>
    </row>
    <row customHeight="1" ht="22.5">
      <c r="A47" s="2054"/>
      <c r="B47" s="508"/>
      <c r="C47" s="498"/>
      <c r="D47" s="446" t="str">
        <f>D44&amp;".3"</f>
        <v>11.3</v>
      </c>
      <c r="E47" s="448" t="s">
        <v>335</v>
      </c>
      <c r="F47" s="496"/>
      <c r="G47" s="443" t="s">
        <v>336</v>
      </c>
      <c r="H47" s="481"/>
    </row>
    <row customHeight="1" ht="22.5">
      <c r="A48" s="2054"/>
      <c r="B48" s="508"/>
      <c r="C48" s="498"/>
      <c r="D48" s="446" t="str">
        <f>IF(TEMPLATE_SPHERE="TKO",D44&amp;".0",D44&amp;".4")</f>
        <v>11.4</v>
      </c>
      <c r="E48" s="442" t="s">
        <v>337</v>
      </c>
      <c r="F48" s="1725"/>
      <c r="G48" s="1802" t="s">
        <v>338</v>
      </c>
      <c r="H48" s="481"/>
    </row>
    <row customHeight="1" ht="22.5">
      <c r="A49" s="463"/>
      <c r="B49" s="508"/>
      <c r="C49" s="463"/>
      <c r="D49" s="473"/>
      <c r="E49" s="421" t="s">
        <v>339</v>
      </c>
      <c r="F49" s="474"/>
      <c r="G49" s="1802" t="s">
        <v>340</v>
      </c>
      <c r="H49" s="482"/>
    </row>
    <row customHeight="1" ht="22.5">
      <c r="A50" s="864"/>
      <c r="B50" s="508"/>
      <c r="C50" s="498"/>
      <c r="D50" s="446">
        <f>D44+1</f>
        <v>12</v>
      </c>
      <c r="E50" s="534" t="s">
        <v>341</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075"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9"/>
      <c r="F52" s="2059"/>
      <c r="G52" s="2059"/>
      <c r="H52" s="460"/>
      <c r="I52" s="460"/>
    </row>
    <row s="3075" customFormat="1" customHeight="1" ht="39.75">
      <c r="A53" s="463"/>
      <c r="B53" s="508"/>
      <c r="C53" s="2055"/>
      <c r="D53" s="205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AF8136-9A89-A8CE-2E51-8B17D8186A4F}"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3152" width="3.7109375" customWidth="1"/>
    <col min="4" max="4" style="3130" width="5.57421875" customWidth="1"/>
    <col min="5" max="5" style="3130" width="48.421875" customWidth="1"/>
    <col min="6" max="6" style="3130" width="38.140625" customWidth="1"/>
    <col min="7" max="7" style="2625" width="1.7109375" hidden="1" customWidth="1"/>
    <col min="8" max="11" style="3130" width="19.8515625" hidden="1" customWidth="1"/>
    <col min="12" max="12" style="3130" width="9.7109375" hidden="1" customWidth="1"/>
    <col min="13" max="18" style="3130" width="19.8515625" hidden="1" customWidth="1"/>
    <col min="19" max="19" style="2625" width="1.7109375" hidden="1" customWidth="1"/>
    <col min="20" max="22" style="3153" width="19.8515625" hidden="1" customWidth="1"/>
    <col min="23" max="23" style="2625" width="1.7109375" hidden="1" customWidth="1"/>
    <col min="24" max="26" style="3153" width="19.8515625" customWidth="1"/>
    <col min="27" max="27" style="2625" width="1.7109375" hidden="1" customWidth="1"/>
    <col min="28" max="29" style="3153" width="19.8515625" hidden="1" customWidth="1"/>
    <col min="30" max="30" style="2625" width="1.7109375" hidden="1" customWidth="1"/>
    <col min="31" max="31" style="3130" width="103.7109375" hidden="1" customWidth="1"/>
    <col min="32" max="32" style="3153" width="103.7109375" hidden="1" customWidth="1"/>
    <col min="33" max="33" style="3153" width="103.7109375" customWidth="1"/>
    <col min="34" max="34" style="3153" width="103.7109375" hidden="1" customWidth="1"/>
    <col min="35" max="35" style="3154" width="3.7109375" customWidth="1"/>
    <col min="36" max="38" style="3107" width="10.57421875"/>
    <col min="39" max="39" style="3107" width="13.7109375" hidden="1" customWidth="1"/>
    <col min="40" max="40" style="3107" width="15.421875" customWidth="1"/>
    <col min="41" max="41" style="3107" width="16.28125" customWidth="1"/>
    <col min="42" max="45" style="3107" width="10.57421875"/>
  </cols>
  <sheetData>
    <row customHeight="1" ht="14.25" hidden="1">
      <c r="E1" s="418"/>
      <c r="F1" s="418"/>
      <c r="G1" s="418"/>
      <c r="H1" s="2082" t="s">
        <v>342</v>
      </c>
      <c r="I1" s="2082"/>
      <c r="J1" s="2082"/>
      <c r="K1" s="2082"/>
      <c r="L1" s="2082"/>
      <c r="M1" s="2082"/>
      <c r="N1" s="2082"/>
      <c r="O1" s="2082"/>
      <c r="P1" s="2082"/>
      <c r="Q1" s="2082"/>
      <c r="R1" s="2082"/>
      <c r="T1" s="2082" t="s">
        <v>343</v>
      </c>
      <c r="U1" s="2082"/>
      <c r="V1" s="2082"/>
      <c r="X1" s="2082" t="s">
        <v>344</v>
      </c>
      <c r="Y1" s="2082"/>
      <c r="Z1" s="2082"/>
      <c r="AB1" s="2082" t="s">
        <v>345</v>
      </c>
      <c r="AC1" s="2082"/>
    </row>
    <row customHeight="1" ht="14.25" hidden="1"/>
    <row s="3090" customFormat="1" customHeight="1" ht="6">
      <c r="C3" s="707"/>
      <c r="D3" s="708"/>
      <c r="E3" s="708"/>
      <c r="F3" s="708"/>
      <c r="G3" s="708"/>
      <c r="H3" s="708" t="s">
        <v>346</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1. Информация об организации, осуществляющей холодное водоснабжение (общая информация)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5" customFormat="1" customHeight="1" ht="17.25">
      <c r="A5" s="765"/>
      <c r="C5" s="828"/>
      <c r="D5" s="2079" t="str">
        <f>IF(org=0,"Не определено",org)</f>
        <v>АО "РИР" (филиал в г. Глазове)</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2"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288</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289</v>
      </c>
      <c r="AF7" s="2067" t="s">
        <v>289</v>
      </c>
      <c r="AG7" s="2067" t="s">
        <v>289</v>
      </c>
      <c r="AH7" s="2067" t="s">
        <v>289</v>
      </c>
    </row>
    <row customHeight="1" ht="25.5">
      <c r="C8" s="456"/>
      <c r="D8" s="1971" t="s">
        <v>86</v>
      </c>
      <c r="E8" s="2067" t="str">
        <f>"Наименование "&amp;IF(TEMPLATE_SPHERE&lt;&gt;"HEAT","централизованной ","")&amp;"системы "&amp;TEMPLATE_SPHERE_RUS</f>
        <v>Наименование централизованной системы холодного водоснабжения</v>
      </c>
      <c r="F8" s="2067" t="str">
        <f>IF(TEMPLATE_SPHERE&lt;&gt;"HEAT","Регулируемый вид деятельности","Вид регулируемой деятельности")</f>
        <v>Регулируемый вид деятельности</v>
      </c>
      <c r="G8" s="834"/>
      <c r="H8" s="2073" t="s">
        <v>347</v>
      </c>
      <c r="I8" s="2075" t="s">
        <v>348</v>
      </c>
      <c r="J8" s="2067" t="s">
        <v>349</v>
      </c>
      <c r="K8" s="2067"/>
      <c r="L8" s="2067"/>
      <c r="M8" s="2068"/>
      <c r="N8" s="2067" t="s">
        <v>350</v>
      </c>
      <c r="O8" s="2067"/>
      <c r="P8" s="2067" t="s">
        <v>351</v>
      </c>
      <c r="Q8" s="2067"/>
      <c r="R8" s="2071" t="s">
        <v>352</v>
      </c>
      <c r="S8" s="830"/>
      <c r="T8" s="2069" t="s">
        <v>353</v>
      </c>
      <c r="U8" s="2069" t="s">
        <v>354</v>
      </c>
      <c r="V8" s="2069" t="s">
        <v>355</v>
      </c>
      <c r="W8" s="832"/>
      <c r="X8" s="2069" t="s">
        <v>356</v>
      </c>
      <c r="Y8" s="2069" t="s">
        <v>357</v>
      </c>
      <c r="Z8" s="2069" t="s">
        <v>358</v>
      </c>
      <c r="AA8" s="832"/>
      <c r="AB8" s="2069" t="s">
        <v>359</v>
      </c>
      <c r="AC8" s="2069" t="s">
        <v>352</v>
      </c>
      <c r="AD8" s="832"/>
      <c r="AE8" s="2067"/>
      <c r="AF8" s="2067"/>
      <c r="AG8" s="2067"/>
      <c r="AH8" s="2067"/>
    </row>
    <row customHeight="1" ht="43.5">
      <c r="C9" s="456"/>
      <c r="D9" s="1971"/>
      <c r="E9" s="2067"/>
      <c r="F9" s="2067"/>
      <c r="G9" s="835"/>
      <c r="H9" s="2074"/>
      <c r="I9" s="2076"/>
      <c r="J9" s="431" t="s">
        <v>360</v>
      </c>
      <c r="K9" s="431" t="s">
        <v>361</v>
      </c>
      <c r="L9" s="431" t="s">
        <v>362</v>
      </c>
      <c r="M9" s="437" t="s">
        <v>363</v>
      </c>
      <c r="N9" s="431" t="s">
        <v>364</v>
      </c>
      <c r="O9" s="431" t="s">
        <v>363</v>
      </c>
      <c r="P9" s="431" t="s">
        <v>365</v>
      </c>
      <c r="Q9" s="431" t="s">
        <v>363</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2" customFormat="1" customHeight="1" ht="11.25" hidden="1">
      <c r="C11" s="504"/>
      <c r="D11" s="505" t="s">
        <v>366</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107</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367</v>
      </c>
      <c r="AF12" s="2077" t="s">
        <v>368</v>
      </c>
      <c r="AG12" s="2077" t="s">
        <v>369</v>
      </c>
      <c r="AH12" s="2077" t="s">
        <v>370</v>
      </c>
      <c r="AI12" s="453"/>
      <c r="AM12" s="517"/>
      <c r="AP12" s="506" t="s">
        <v>371</v>
      </c>
      <c r="AQ12" s="506" t="s">
        <v>371</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4AD128-7E67-90AA-2E58-C04C597FDFF5}"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78" width="9.140625" hidden="1" customWidth="1"/>
    <col min="2" max="2" style="3175" width="9.140625" hidden="1" customWidth="1"/>
    <col min="3" max="3" style="3152" width="3.7109375" customWidth="1"/>
    <col min="4" max="4" style="3175" width="5.57421875" customWidth="1"/>
    <col min="5" max="5" style="3175" width="38.140625" customWidth="1"/>
    <col min="6" max="7" style="3175" width="3.7109375" customWidth="1"/>
    <col min="8" max="8" style="3175" width="38.28125" customWidth="1"/>
    <col min="9" max="9" style="3175" width="35.7109375" customWidth="1"/>
    <col min="10" max="10" style="3175" width="103.7109375" customWidth="1"/>
    <col min="11" max="11" style="2947" width="3.7109375" customWidth="1"/>
    <col min="12" max="14" style="3168" width="10.57421875"/>
    <col min="15" max="15" style="3168" width="13.7109375" customWidth="1"/>
    <col min="16" max="16" style="3168" width="15.421875" customWidth="1"/>
    <col min="17" max="17" style="3168" width="16.28125" customWidth="1"/>
    <col min="18" max="21" style="3168" width="10.57421875"/>
  </cols>
  <sheetData>
    <row customHeight="1" ht="14.25" hidden="1">
      <c r="E1" s="418"/>
      <c r="F1" s="418"/>
      <c r="G1" s="418"/>
      <c r="H1" s="2082" t="s">
        <v>342</v>
      </c>
      <c r="I1" s="2082"/>
    </row>
    <row s="3155" customFormat="1" customHeight="1" ht="14.25" hidden="1">
      <c r="C2" s="1659"/>
      <c r="D2" s="2086" t="s">
        <v>107</v>
      </c>
      <c r="E2" s="2088"/>
      <c r="F2" s="1665"/>
      <c r="G2" s="1660" t="s">
        <v>107</v>
      </c>
      <c r="H2" s="1663"/>
      <c r="I2" s="1661"/>
      <c r="L2" s="1662"/>
      <c r="M2" s="1662"/>
      <c r="N2" s="1662"/>
      <c r="O2" s="1662" t="s">
        <v>372</v>
      </c>
      <c r="P2" s="1662"/>
      <c r="Q2" s="1662"/>
      <c r="R2" s="1664" t="s">
        <v>371</v>
      </c>
      <c r="S2" s="1664" t="s">
        <v>371</v>
      </c>
      <c r="T2" s="1662"/>
      <c r="U2" s="1662"/>
    </row>
    <row s="3155" customFormat="1" customHeight="1" ht="14.25" hidden="1">
      <c r="C3" s="1659"/>
      <c r="D3" s="2087"/>
      <c r="E3" s="2089"/>
      <c r="F3" s="411"/>
      <c r="G3" s="875"/>
      <c r="H3" s="875" t="s">
        <v>373</v>
      </c>
      <c r="I3" s="303"/>
      <c r="L3" s="1662"/>
      <c r="M3" s="1662"/>
      <c r="N3" s="1662"/>
      <c r="O3" s="1662"/>
      <c r="P3" s="1662"/>
      <c r="Q3" s="1662"/>
      <c r="R3" s="1664"/>
      <c r="S3" s="1664"/>
      <c r="T3" s="1662"/>
      <c r="U3" s="1662"/>
    </row>
    <row customHeight="1" ht="14.25" hidden="1"/>
    <row s="3167" customFormat="1" customHeight="1" ht="6">
      <c r="C5" s="707"/>
      <c r="D5" s="708"/>
      <c r="E5" s="708"/>
      <c r="F5" s="708"/>
      <c r="G5" s="708"/>
      <c r="H5" s="708" t="s">
        <v>346</v>
      </c>
      <c r="I5" s="708"/>
      <c r="J5" s="708"/>
      <c r="L5" s="1654"/>
      <c r="M5" s="1654"/>
      <c r="N5" s="1654"/>
      <c r="O5" s="1654"/>
      <c r="P5" s="1654"/>
      <c r="Q5" s="1654"/>
      <c r="R5" s="1654"/>
      <c r="S5" s="1654"/>
      <c r="T5" s="1654"/>
      <c r="U5" s="1654"/>
    </row>
    <row customHeight="1" ht="27.75">
      <c r="C6" s="1546"/>
      <c r="D6" s="2085" t="s">
        <v>374</v>
      </c>
      <c r="E6" s="2085"/>
      <c r="F6" s="2085"/>
      <c r="G6" s="2085"/>
      <c r="H6" s="2085"/>
      <c r="I6" s="2085"/>
      <c r="J6" s="497"/>
      <c r="K6" s="1655"/>
    </row>
    <row customHeight="1" ht="17.25">
      <c r="C7" s="1546"/>
      <c r="D7" s="2053" t="str">
        <f>IF(org=0,"Не определено",org)</f>
        <v>АО "РИР" (филиал в г. Глазове)</v>
      </c>
      <c r="E7" s="2053"/>
      <c r="F7" s="2053"/>
      <c r="G7" s="2053"/>
      <c r="H7" s="2053"/>
      <c r="I7" s="2053"/>
      <c r="J7" s="497"/>
      <c r="K7" s="1655"/>
    </row>
    <row s="3172" customFormat="1" customHeight="1" ht="6">
      <c r="A8" s="1651"/>
      <c r="C8" s="492"/>
      <c r="D8" s="491"/>
      <c r="E8" s="491"/>
      <c r="F8" s="491"/>
      <c r="G8" s="491"/>
      <c r="H8" s="491"/>
      <c r="I8" s="491"/>
      <c r="J8" s="491"/>
      <c r="L8" s="1654"/>
      <c r="M8" s="1654"/>
      <c r="N8" s="1654"/>
      <c r="O8" s="1654"/>
      <c r="P8" s="1654"/>
      <c r="Q8" s="1654"/>
      <c r="R8" s="1654"/>
      <c r="S8" s="1654"/>
      <c r="T8" s="1654"/>
      <c r="U8" s="1654"/>
    </row>
    <row s="3172"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288</v>
      </c>
      <c r="E10" s="2083"/>
      <c r="F10" s="2083"/>
      <c r="G10" s="2083"/>
      <c r="H10" s="2083"/>
      <c r="I10" s="2083"/>
      <c r="J10" s="2067" t="s">
        <v>289</v>
      </c>
    </row>
    <row customHeight="1" ht="25.5">
      <c r="C11" s="1546"/>
      <c r="D11" s="1971" t="s">
        <v>86</v>
      </c>
      <c r="E11" s="2067" t="str">
        <f>IF(TEMPLATE_SPHERE&lt;&gt;"HEAT","Регулируемый вид деятельности","Вид регулируемой деятельности")</f>
        <v>Регулируемый вид деятельности</v>
      </c>
      <c r="F11" s="2029" t="s">
        <v>86</v>
      </c>
      <c r="G11" s="2030"/>
      <c r="H11" s="2028" t="s">
        <v>375</v>
      </c>
      <c r="I11" s="2028" t="s">
        <v>376</v>
      </c>
      <c r="J11" s="2067"/>
    </row>
    <row customHeight="1" ht="14.25">
      <c r="C12" s="1546"/>
      <c r="D12" s="1971"/>
      <c r="E12" s="2067"/>
      <c r="F12" s="2037"/>
      <c r="G12" s="2038"/>
      <c r="H12" s="2090"/>
      <c r="I12" s="2090"/>
      <c r="J12" s="2067"/>
    </row>
    <row s="2612" customFormat="1" customHeight="1" ht="11.25" hidden="1">
      <c r="C13" s="504"/>
      <c r="D13" s="505" t="s">
        <v>366</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107</v>
      </c>
      <c r="E14" s="2088"/>
      <c r="F14" s="1657"/>
      <c r="G14" s="1656" t="s">
        <v>107</v>
      </c>
      <c r="H14" s="1663"/>
      <c r="I14" s="1661"/>
      <c r="J14" s="2015" t="s">
        <v>377</v>
      </c>
      <c r="K14" s="1647"/>
      <c r="R14" s="506" t="s">
        <v>371</v>
      </c>
      <c r="S14" s="506" t="s">
        <v>371</v>
      </c>
    </row>
    <row customHeight="1" ht="14.25">
      <c r="A15" s="1647"/>
      <c r="C15" s="1546"/>
      <c r="D15" s="2087"/>
      <c r="E15" s="2089"/>
      <c r="F15" s="411"/>
      <c r="G15" s="875"/>
      <c r="H15" s="875" t="s">
        <v>373</v>
      </c>
      <c r="I15" s="303"/>
      <c r="J15" s="2016"/>
      <c r="K15" s="1647"/>
      <c r="R15" s="506"/>
      <c r="S15" s="506"/>
    </row>
    <row customHeight="1" ht="14.25">
      <c r="A16" s="1647"/>
      <c r="C16" s="1546"/>
      <c r="D16" s="411"/>
      <c r="E16" s="875" t="s">
        <v>119</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F138D-172C-C0BD-B462-4E1216A83ECB}"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2625" width="9.140625" hidden="1" customWidth="1"/>
    <col min="4" max="4" style="3152" width="3.7109375" customWidth="1"/>
    <col min="5" max="5" style="3130" width="6.28125" customWidth="1"/>
    <col min="6" max="6" style="2625" width="1.7109375" hidden="1" customWidth="1"/>
    <col min="7" max="8" style="3130" width="30.7109375" customWidth="1"/>
    <col min="9" max="9" style="3130" width="9.00390625" customWidth="1"/>
    <col min="10" max="10" style="3130" width="12.140625" customWidth="1"/>
    <col min="11" max="11" style="3130" width="46.7109375" customWidth="1"/>
    <col min="12" max="12" style="3130" width="100.28125" customWidth="1"/>
    <col min="13" max="13" style="3154" width="7.57421875" customWidth="1"/>
    <col min="14" max="22" style="3130" width="10.57421875"/>
  </cols>
  <sheetData>
    <row s="3107" customFormat="1" customHeight="1" ht="5.25" hidden="1">
      <c r="C1" s="517"/>
      <c r="D1" s="500"/>
      <c r="F1" s="517"/>
      <c r="G1" s="495" t="s">
        <v>81</v>
      </c>
      <c r="H1" s="495" t="s">
        <v>82</v>
      </c>
      <c r="I1" s="495" t="s">
        <v>83</v>
      </c>
      <c r="P1" s="495" t="s">
        <v>81</v>
      </c>
      <c r="Q1" s="495" t="s">
        <v>82</v>
      </c>
      <c r="R1" s="495" t="s">
        <v>83</v>
      </c>
    </row>
    <row s="3107" customFormat="1" customHeight="1" ht="5.25" hidden="1">
      <c r="C2" s="517"/>
      <c r="D2" s="500"/>
      <c r="F2" s="517"/>
    </row>
    <row s="3102" customFormat="1" customHeight="1" ht="6">
      <c r="A3" s="485"/>
      <c r="D3" s="492"/>
      <c r="E3" s="487"/>
      <c r="F3" s="487"/>
      <c r="G3" s="487"/>
      <c r="H3" s="487"/>
      <c r="I3" s="488"/>
      <c r="J3" s="489"/>
      <c r="K3" s="489"/>
      <c r="L3" s="489"/>
    </row>
    <row customHeight="1" ht="22.5">
      <c r="D4" s="456"/>
      <c r="E4" s="2091" t="s">
        <v>378</v>
      </c>
      <c r="F4" s="2091"/>
      <c r="G4" s="2092"/>
      <c r="H4" s="2092"/>
      <c r="I4" s="2093"/>
      <c r="J4" s="497"/>
      <c r="K4" s="459"/>
      <c r="L4" s="459"/>
    </row>
    <row s="2625" customFormat="1" customHeight="1" ht="17.25">
      <c r="A5" s="765"/>
      <c r="D5" s="828"/>
      <c r="E5" s="2079" t="str">
        <f>IF(org=0,"Не определено",org)</f>
        <v>АО "РИР" (филиал в г. Глазове)</v>
      </c>
      <c r="F5" s="2079"/>
      <c r="G5" s="2080"/>
      <c r="H5" s="2080"/>
      <c r="I5" s="2081"/>
      <c r="J5" s="497"/>
      <c r="K5" s="459"/>
      <c r="L5" s="459"/>
      <c r="M5" s="513"/>
    </row>
    <row s="3102" customFormat="1" customHeight="1" ht="11.25">
      <c r="A6" s="485"/>
      <c r="D6" s="492"/>
      <c r="E6" s="487"/>
      <c r="F6" s="487"/>
      <c r="G6" s="490"/>
      <c r="H6" s="490"/>
      <c r="I6" s="491"/>
      <c r="J6" s="491"/>
      <c r="K6" s="758"/>
      <c r="L6" s="491"/>
    </row>
    <row customHeight="1" ht="14.25">
      <c r="D7" s="456"/>
      <c r="E7" s="2061" t="s">
        <v>288</v>
      </c>
      <c r="F7" s="2061"/>
      <c r="G7" s="2062"/>
      <c r="H7" s="2062"/>
      <c r="I7" s="2062"/>
      <c r="J7" s="2062"/>
      <c r="K7" s="2062"/>
      <c r="L7" s="2067" t="s">
        <v>289</v>
      </c>
    </row>
    <row customHeight="1" ht="45">
      <c r="D8" s="456"/>
      <c r="E8" s="479" t="s">
        <v>86</v>
      </c>
      <c r="F8" s="829"/>
      <c r="G8" s="471" t="s">
        <v>84</v>
      </c>
      <c r="H8" s="471" t="s">
        <v>85</v>
      </c>
      <c r="I8" s="420" t="s">
        <v>83</v>
      </c>
      <c r="J8" s="420" t="s">
        <v>379</v>
      </c>
      <c r="K8" s="420" t="s">
        <v>380</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381</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2" customFormat="1" customHeight="1" ht="14.25">
      <c r="A12" s="1953"/>
      <c r="B12" s="510"/>
      <c r="C12" s="510"/>
      <c r="D12" s="872"/>
      <c r="E12" s="829">
        <v>1</v>
      </c>
      <c r="F12" s="870">
        <v>23</v>
      </c>
      <c r="G12" s="869"/>
      <c r="H12" s="799"/>
      <c r="I12" s="797"/>
      <c r="J12" s="526" t="s">
        <v>60</v>
      </c>
      <c r="K12" s="1172" t="s">
        <v>24</v>
      </c>
      <c r="L12" s="2094"/>
      <c r="M12" s="517"/>
      <c r="N12" s="517"/>
      <c r="O12" s="517"/>
      <c r="P12" s="522" t="s">
        <v>382</v>
      </c>
      <c r="Q12" s="522" t="s">
        <v>383</v>
      </c>
      <c r="R12" s="523" t="s">
        <v>384</v>
      </c>
      <c r="S12" s="517" t="s">
        <v>385</v>
      </c>
      <c r="T12" s="517"/>
      <c r="U12" s="517"/>
      <c r="V12" s="517"/>
    </row>
    <row customHeight="1" ht="15">
      <c r="A13" s="1953"/>
      <c r="B13" s="511"/>
      <c r="D13" s="512"/>
      <c r="E13" s="411"/>
      <c r="F13" s="535"/>
      <c r="G13" s="422" t="s">
        <v>100</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0E7E36-AD8D-8346-FC7E-C617927C536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70" width="3.7109375" customWidth="1"/>
    <col min="17" max="18" style="3371" width="3.7109375" customWidth="1"/>
    <col min="19" max="19" style="3372" width="12.7109375" customWidth="1"/>
    <col min="20" max="20" style="2940" width="35.710937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386</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387</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388</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389</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390</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391</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392</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393</v>
      </c>
      <c r="M6" s="543"/>
      <c r="P6" s="2111">
        <v>1</v>
      </c>
      <c r="Q6" s="1335"/>
      <c r="R6" s="352"/>
      <c r="S6" s="1339">
        <f>$I6</f>
      </c>
      <c r="T6" s="273" t="s">
        <v>394</v>
      </c>
      <c r="U6" s="288"/>
      <c r="V6" s="2095"/>
      <c r="W6" s="2096"/>
      <c r="X6" s="2096"/>
      <c r="Y6" s="2096"/>
      <c r="Z6" s="2096"/>
      <c r="AA6" s="2096"/>
      <c r="AB6" s="2096"/>
      <c r="AC6" s="2097"/>
      <c r="AD6" s="2095"/>
      <c r="AE6" s="2096"/>
      <c r="AF6" s="2096"/>
      <c r="AG6" s="2096"/>
      <c r="AH6" s="2096"/>
      <c r="AI6" s="2096"/>
      <c r="AJ6" s="2096"/>
      <c r="AK6" s="2096"/>
      <c r="AL6" s="2097"/>
      <c r="AM6" s="1286" t="s">
        <v>395</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396</v>
      </c>
      <c r="M7" s="543"/>
      <c r="N7" s="1396"/>
      <c r="P7" s="2111"/>
      <c r="Q7" s="2111">
        <v>1</v>
      </c>
      <c r="R7" s="353"/>
      <c r="S7" s="1339">
        <f>$J7</f>
      </c>
      <c r="T7" s="274" t="s">
        <v>397</v>
      </c>
      <c r="U7" s="288"/>
      <c r="V7" s="2095"/>
      <c r="W7" s="2096"/>
      <c r="X7" s="2096"/>
      <c r="Y7" s="2096"/>
      <c r="Z7" s="2096"/>
      <c r="AA7" s="2096"/>
      <c r="AB7" s="2096"/>
      <c r="AC7" s="2097"/>
      <c r="AD7" s="2095"/>
      <c r="AE7" s="2096"/>
      <c r="AF7" s="2096"/>
      <c r="AG7" s="2096"/>
      <c r="AH7" s="2096"/>
      <c r="AI7" s="2096"/>
      <c r="AJ7" s="2096"/>
      <c r="AK7" s="2096"/>
      <c r="AL7" s="2097"/>
      <c r="AM7" s="1286" t="s">
        <v>398</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399</v>
      </c>
      <c r="M8" s="543"/>
      <c r="N8" s="1396"/>
      <c r="O8" s="1396"/>
      <c r="P8" s="2111"/>
      <c r="Q8" s="2111"/>
      <c r="R8" s="353">
        <v>1</v>
      </c>
      <c r="S8" s="1339">
        <f>$K8</f>
      </c>
      <c r="T8" s="1377"/>
      <c r="U8" s="288"/>
      <c r="V8" s="757"/>
      <c r="W8" s="320"/>
      <c r="X8" s="757"/>
      <c r="Y8" s="1285"/>
      <c r="Z8" s="2112"/>
      <c r="AA8" s="1981" t="s">
        <v>60</v>
      </c>
      <c r="AB8" s="2112"/>
      <c r="AC8" s="1981" t="s">
        <v>60</v>
      </c>
      <c r="AD8" s="757"/>
      <c r="AE8" s="320"/>
      <c r="AF8" s="757"/>
      <c r="AG8" s="1285"/>
      <c r="AH8" s="2112"/>
      <c r="AI8" s="1981" t="s">
        <v>60</v>
      </c>
      <c r="AJ8" s="2112"/>
      <c r="AK8" s="1981" t="s">
        <v>60</v>
      </c>
      <c r="AL8" s="320"/>
      <c r="AM8" s="2137" t="s">
        <v>400</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401</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403</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214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215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60</v>
      </c>
      <c r="AJ17" s="2105"/>
      <c r="AK17" s="2104" t="s">
        <v>60</v>
      </c>
    </row>
    <row customHeight="1" ht="14.25" hidden="1">
      <c r="P18" s="1341"/>
      <c r="AD18" s="1390"/>
      <c r="AE18" s="1390"/>
      <c r="AF18" s="1390"/>
      <c r="AG18" s="324" t="str">
        <f>AH17&amp;"-"&amp;AJ17</f>
        <v>-</v>
      </c>
      <c r="AH18" s="2104"/>
      <c r="AI18" s="2104"/>
      <c r="AJ18" s="2104"/>
      <c r="AK18" s="2104"/>
    </row>
    <row customHeight="1" ht="14.25" hidden="1">
      <c r="P19" s="1341"/>
      <c r="AK19" s="323"/>
    </row>
    <row s="3292"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 (филиал в г. Глазове)</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строительства, жилищно-коммунального хозяйства и энергетики УР</v>
      </c>
      <c r="W29" s="2100"/>
      <c r="X29" s="2100"/>
      <c r="Y29" s="2100"/>
      <c r="Z29" s="2100"/>
      <c r="AA29" s="2100"/>
      <c r="AB29" s="2100"/>
      <c r="AC29" s="322"/>
      <c r="AD29" s="2100" t="str">
        <f>IF(TITLE_NAME_OR_PR_CHANGE="",IF(TITLE_NAME_OR_PR="","",TITLE_NAME_OR_PR),TITLE_NAME_OR_PR_CHANGE)</f>
        <v>Министерство строительства, жилищно-коммунального хозяйства и энергетики УР</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45272.383726851855</v>
      </c>
      <c r="W30" s="2099"/>
      <c r="X30" s="2099"/>
      <c r="Y30" s="2099"/>
      <c r="Z30" s="2099"/>
      <c r="AA30" s="2099"/>
      <c r="AB30" s="2099"/>
      <c r="AC30" s="322"/>
      <c r="AD30" s="2099" t="str">
        <f>IF(TITLE_DATE_PR_CHANGE="",IF(TITLE_DATE_PR="","",TITLE_DATE_PR),TITLE_DATE_PR_CHANGE)</f>
        <v>45272.383726851855</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30/68</v>
      </c>
      <c r="W31" s="2100"/>
      <c r="X31" s="2100"/>
      <c r="Y31" s="2100"/>
      <c r="Z31" s="2100"/>
      <c r="AA31" s="2100"/>
      <c r="AB31" s="2100"/>
      <c r="AC31" s="322"/>
      <c r="AD31" s="2100" t="str">
        <f>IF(TITLE_NUMBER_PR_CHANGE="",IF(TITLE_NUMBER_PR="","",TITLE_NUMBER_PR),TITLE_NUMBER_PR_CHANGE)</f>
        <v>30/68</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www.udmurt.ru</v>
      </c>
      <c r="W32" s="2100"/>
      <c r="X32" s="2100"/>
      <c r="Y32" s="2100"/>
      <c r="Z32" s="2100"/>
      <c r="AA32" s="2100"/>
      <c r="AB32" s="2100"/>
      <c r="AC32" s="322"/>
      <c r="AD32" s="2100" t="str">
        <f>IF(TITLE_IST_PUB_CHANGE="",IF(TITLE_IST_PUB="","",TITLE_IST_PUB),TITLE_IST_PUB_CHANGE)</f>
        <v>www.udmurt.ru</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45272.383726851855</v>
      </c>
      <c r="W34" s="2099"/>
      <c r="X34" s="2099"/>
      <c r="Y34" s="2099"/>
      <c r="Z34" s="2099"/>
      <c r="AA34" s="2099"/>
      <c r="AB34" s="2099"/>
      <c r="AC34" s="322"/>
      <c r="AD34" s="2099" t="str">
        <f>IF(TITLE_DATE_PR_CHANGE="",IF(TITLE_DATE_PR="","",TITLE_DATE_PR),TITLE_DATE_PR_CHANGE)</f>
        <v>45272.383726851855</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30/68</v>
      </c>
      <c r="W35" s="2100"/>
      <c r="X35" s="2100"/>
      <c r="Y35" s="2100"/>
      <c r="Z35" s="2100"/>
      <c r="AA35" s="2100"/>
      <c r="AB35" s="2100"/>
      <c r="AC35" s="322"/>
      <c r="AD35" s="2100" t="str">
        <f>IF(TITLE_NUMBER_PR_CHANGE="",IF(TITLE_NUMBER_PR="","",TITLE_NUMBER_PR),TITLE_NUMBER_PR_CHANGE)</f>
        <v>30/68</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288</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289</v>
      </c>
    </row>
    <row customHeight="1" ht="14.25">
      <c r="Q39" s="377"/>
      <c r="R39" s="377"/>
      <c r="S39" s="2125" t="s">
        <v>86</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t="s">
        <v>422</v>
      </c>
      <c r="X40" s="2118" t="s">
        <v>423</v>
      </c>
      <c r="Y40" s="2120"/>
      <c r="Z40" s="2118" t="s">
        <v>424</v>
      </c>
      <c r="AA40" s="2119"/>
      <c r="AB40" s="2120"/>
      <c r="AC40" s="2130"/>
      <c r="AD40" s="2135" t="s">
        <v>421</v>
      </c>
      <c r="AE40" s="2116" t="s">
        <v>422</v>
      </c>
      <c r="AF40" s="2118" t="s">
        <v>423</v>
      </c>
      <c r="AG40" s="2120"/>
      <c r="AH40" s="2118" t="s">
        <v>424</v>
      </c>
      <c r="AI40" s="2119"/>
      <c r="AJ40" s="2120"/>
      <c r="AK40" s="2130"/>
      <c r="AL40" s="2133"/>
      <c r="AM40" s="1971"/>
    </row>
    <row customHeight="1" ht="33.75">
      <c r="A41" s="1400"/>
      <c r="B41" s="1400" t="s">
        <v>133</v>
      </c>
      <c r="C41" s="1400" t="s">
        <v>134</v>
      </c>
      <c r="D41" s="1400" t="s">
        <v>135</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236" t="s">
        <v>434</v>
      </c>
      <c r="AA41" s="2121" t="s">
        <v>435</v>
      </c>
      <c r="AB41" s="2122"/>
      <c r="AC41" s="2131"/>
      <c r="AD41" s="2136"/>
      <c r="AE41" s="2117"/>
      <c r="AF41" s="1237" t="s">
        <v>432</v>
      </c>
      <c r="AG41" s="1237" t="s">
        <v>433</v>
      </c>
      <c r="AH41" s="1343" t="s">
        <v>434</v>
      </c>
      <c r="AI41" s="2121" t="s">
        <v>435</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154</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154</v>
      </c>
      <c r="B44" s="1393" t="s">
        <v>155</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387</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388</v>
      </c>
      <c r="AO44" s="506"/>
      <c r="AP44" s="506" t="str">
        <f>IF(T44="","",T44)</f>
        <v>Территория действия тарифа</v>
      </c>
      <c r="AQ44" s="506"/>
      <c r="AR44" s="506"/>
    </row>
    <row customHeight="1" ht="23.25">
      <c r="A45" s="1393" t="s">
        <v>154</v>
      </c>
      <c r="B45" s="1393" t="s">
        <v>155</v>
      </c>
      <c r="C45" s="1393" t="s">
        <v>156</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389</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390</v>
      </c>
      <c r="AO45" s="506"/>
      <c r="AP45" s="506" t="str">
        <f>IF(T45="","",T45)</f>
        <v>Наименование системы теплоснабжения </v>
      </c>
      <c r="AQ45" s="506"/>
      <c r="AR45" s="506"/>
    </row>
    <row customHeight="1" ht="23.25">
      <c r="A46" s="1393" t="s">
        <v>154</v>
      </c>
      <c r="B46" s="1393" t="s">
        <v>155</v>
      </c>
      <c r="C46" s="1393" t="s">
        <v>156</v>
      </c>
      <c r="D46" s="1393" t="s">
        <v>157</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391</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392</v>
      </c>
      <c r="AO46" s="506"/>
      <c r="AP46" s="506" t="str">
        <f>IF(T46="","",T46)</f>
        <v>Источник тепловой энергии  </v>
      </c>
      <c r="AQ46" s="506"/>
      <c r="AR46" s="506"/>
    </row>
    <row customHeight="1" ht="47.25">
      <c r="A47" s="1393" t="s">
        <v>154</v>
      </c>
      <c r="B47" s="1393" t="s">
        <v>155</v>
      </c>
      <c r="C47" s="1393" t="s">
        <v>156</v>
      </c>
      <c r="D47" s="1393" t="s">
        <v>157</v>
      </c>
      <c r="E47" s="2108"/>
      <c r="F47" s="2108"/>
      <c r="G47" s="2108"/>
      <c r="H47" s="2108"/>
      <c r="I47" s="2109" t="str">
        <f>S46&amp;".1"</f>
        <v>....1</v>
      </c>
      <c r="J47" s="1393"/>
      <c r="K47" s="1393"/>
      <c r="L47" s="1394" t="s">
        <v>393</v>
      </c>
      <c r="P47" s="2111">
        <v>1</v>
      </c>
      <c r="Q47" s="1235"/>
      <c r="R47" s="352"/>
      <c r="S47" s="1241" t="str">
        <f>$I47</f>
        <v>....1</v>
      </c>
      <c r="T47" s="273" t="s">
        <v>394</v>
      </c>
      <c r="U47" s="288"/>
      <c r="V47" s="2095"/>
      <c r="W47" s="2096"/>
      <c r="X47" s="2096"/>
      <c r="Y47" s="2096"/>
      <c r="Z47" s="2096"/>
      <c r="AA47" s="2096"/>
      <c r="AB47" s="2096"/>
      <c r="AC47" s="2097"/>
      <c r="AD47" s="2095"/>
      <c r="AE47" s="2096"/>
      <c r="AF47" s="2096"/>
      <c r="AG47" s="2096"/>
      <c r="AH47" s="2096"/>
      <c r="AI47" s="2096"/>
      <c r="AJ47" s="2096"/>
      <c r="AK47" s="2096"/>
      <c r="AL47" s="2097"/>
      <c r="AM47" s="1286" t="s">
        <v>395</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154</v>
      </c>
      <c r="B48" s="1393" t="s">
        <v>155</v>
      </c>
      <c r="C48" s="1393" t="s">
        <v>156</v>
      </c>
      <c r="D48" s="1393" t="s">
        <v>157</v>
      </c>
      <c r="E48" s="2108"/>
      <c r="F48" s="2108"/>
      <c r="G48" s="2108"/>
      <c r="H48" s="2108"/>
      <c r="I48" s="2110"/>
      <c r="J48" s="2109" t="str">
        <f>I47&amp;".1"</f>
        <v>....1.1</v>
      </c>
      <c r="K48" s="1393"/>
      <c r="L48" s="1394" t="s">
        <v>396</v>
      </c>
      <c r="P48" s="2111"/>
      <c r="Q48" s="2111">
        <v>1</v>
      </c>
      <c r="R48" s="353"/>
      <c r="S48" s="1241" t="str">
        <f>$J48</f>
        <v>....1.1</v>
      </c>
      <c r="T48" s="274" t="s">
        <v>397</v>
      </c>
      <c r="U48" s="288"/>
      <c r="V48" s="2095"/>
      <c r="W48" s="2096"/>
      <c r="X48" s="2096"/>
      <c r="Y48" s="2096"/>
      <c r="Z48" s="2096"/>
      <c r="AA48" s="2096"/>
      <c r="AB48" s="2096"/>
      <c r="AC48" s="2097"/>
      <c r="AD48" s="2095"/>
      <c r="AE48" s="2096"/>
      <c r="AF48" s="2096"/>
      <c r="AG48" s="2096"/>
      <c r="AH48" s="2096"/>
      <c r="AI48" s="2096"/>
      <c r="AJ48" s="2096"/>
      <c r="AK48" s="2096"/>
      <c r="AL48" s="2097"/>
      <c r="AM48" s="1286" t="s">
        <v>398</v>
      </c>
      <c r="AO48" s="506"/>
      <c r="AP48" s="506" t="str">
        <f>IF(T48="","",T48)</f>
        <v>Группа потребителей</v>
      </c>
      <c r="AQ48" s="506"/>
      <c r="AR48" s="506"/>
    </row>
    <row customHeight="1" ht="23.25">
      <c r="A49" s="1393" t="s">
        <v>154</v>
      </c>
      <c r="B49" s="1393" t="s">
        <v>155</v>
      </c>
      <c r="C49" s="1393" t="s">
        <v>156</v>
      </c>
      <c r="D49" s="1393" t="s">
        <v>157</v>
      </c>
      <c r="E49" s="2108"/>
      <c r="F49" s="2108"/>
      <c r="G49" s="2108"/>
      <c r="H49" s="2108"/>
      <c r="I49" s="2110"/>
      <c r="J49" s="2110"/>
      <c r="K49" s="2109" t="str">
        <f>J48&amp;".1"</f>
        <v>....1.1.1</v>
      </c>
      <c r="L49" s="1394" t="s">
        <v>399</v>
      </c>
      <c r="P49" s="2111"/>
      <c r="Q49" s="2111"/>
      <c r="R49" s="353">
        <v>1</v>
      </c>
      <c r="S49" s="1241" t="str">
        <f>$K49</f>
        <v>....1.1.1</v>
      </c>
      <c r="T49" s="1377"/>
      <c r="U49" s="288"/>
      <c r="V49" s="757"/>
      <c r="W49" s="320"/>
      <c r="X49" s="757"/>
      <c r="Y49" s="1285"/>
      <c r="Z49" s="2112"/>
      <c r="AA49" s="1981" t="s">
        <v>60</v>
      </c>
      <c r="AB49" s="2112"/>
      <c r="AC49" s="1981" t="s">
        <v>60</v>
      </c>
      <c r="AD49" s="757"/>
      <c r="AE49" s="320"/>
      <c r="AF49" s="757"/>
      <c r="AG49" s="1285"/>
      <c r="AH49" s="2112"/>
      <c r="AI49" s="1981" t="s">
        <v>60</v>
      </c>
      <c r="AJ49" s="2114"/>
      <c r="AK49" s="1981" t="s">
        <v>60</v>
      </c>
      <c r="AL49" s="1378"/>
      <c r="AM49" s="2137" t="s">
        <v>400</v>
      </c>
      <c r="AN49" s="517">
        <f>STRCHECKDATE(V50:AL50)</f>
      </c>
      <c r="AO49" s="506"/>
      <c r="AP49" s="506" t="str">
        <f>IF(T49="","",T49)</f>
        <v/>
      </c>
      <c r="AQ49" s="506"/>
      <c r="AR49" s="506"/>
    </row>
    <row customHeight="1" ht="0.75">
      <c r="A50" s="1393" t="s">
        <v>154</v>
      </c>
      <c r="B50" s="1393" t="s">
        <v>155</v>
      </c>
      <c r="C50" s="1393" t="s">
        <v>156</v>
      </c>
      <c r="D50" s="1393" t="s">
        <v>157</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154</v>
      </c>
      <c r="B51" s="1393" t="s">
        <v>155</v>
      </c>
      <c r="C51" s="1393" t="s">
        <v>156</v>
      </c>
      <c r="D51" s="1393" t="s">
        <v>157</v>
      </c>
      <c r="E51" s="2108"/>
      <c r="F51" s="2108"/>
      <c r="G51" s="2108"/>
      <c r="H51" s="2108"/>
      <c r="I51" s="2110"/>
      <c r="J51" s="2109"/>
      <c r="K51" s="1393"/>
      <c r="L51" s="1394"/>
      <c r="P51" s="2111"/>
      <c r="Q51" s="2111"/>
      <c r="R51" s="352"/>
      <c r="S51" s="1308"/>
      <c r="T51" s="276" t="s">
        <v>401</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154</v>
      </c>
      <c r="B52" s="1393" t="s">
        <v>155</v>
      </c>
      <c r="C52" s="1393" t="s">
        <v>156</v>
      </c>
      <c r="D52" s="1393" t="s">
        <v>157</v>
      </c>
      <c r="E52" s="2108"/>
      <c r="F52" s="2108"/>
      <c r="G52" s="2108"/>
      <c r="H52" s="2108"/>
      <c r="I52" s="2109"/>
      <c r="J52" s="1393"/>
      <c r="K52" s="1393"/>
      <c r="L52" s="1394"/>
      <c r="P52" s="2111"/>
      <c r="Q52" s="1235"/>
      <c r="R52" s="352"/>
      <c r="S52" s="1308"/>
      <c r="T52" s="275" t="s">
        <v>402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154</v>
      </c>
      <c r="B53" s="1393" t="s">
        <v>155</v>
      </c>
      <c r="C53" s="1393" t="s">
        <v>156</v>
      </c>
      <c r="D53" s="1393" t="s">
        <v>157</v>
      </c>
      <c r="E53" s="2108"/>
      <c r="F53" s="2108"/>
      <c r="G53" s="2108"/>
      <c r="H53" s="2107"/>
      <c r="I53" s="1393"/>
      <c r="J53" s="1393"/>
      <c r="K53" s="1393"/>
      <c r="L53" s="1394"/>
      <c r="M53" s="1395"/>
      <c r="N53" s="1395"/>
      <c r="O53" s="543"/>
      <c r="P53" s="356"/>
      <c r="Q53" s="376"/>
      <c r="R53" s="351"/>
      <c r="S53" s="1308"/>
      <c r="T53" s="364" t="s">
        <v>403</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154</v>
      </c>
      <c r="B54" s="1373" t="s">
        <v>155</v>
      </c>
      <c r="C54" s="1373" t="s">
        <v>156</v>
      </c>
      <c r="D54" s="1344"/>
      <c r="E54" s="2108"/>
      <c r="F54" s="2108"/>
      <c r="G54" s="2107"/>
      <c r="H54" s="1344"/>
      <c r="I54" s="1344"/>
      <c r="J54" s="1344"/>
      <c r="K54" s="1344"/>
      <c r="L54" s="1369"/>
      <c r="M54" s="1345"/>
      <c r="N54" s="1345"/>
      <c r="P54" s="1346"/>
      <c r="Q54" s="1347"/>
      <c r="R54" s="1346"/>
      <c r="S54" s="1352"/>
      <c r="T54" s="1355" t="s">
        <v>404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154</v>
      </c>
      <c r="B55" s="1373" t="s">
        <v>155</v>
      </c>
      <c r="C55" s="1344"/>
      <c r="D55" s="1344"/>
      <c r="E55" s="2108"/>
      <c r="F55" s="2107"/>
      <c r="G55" s="1344"/>
      <c r="H55" s="1344"/>
      <c r="I55" s="1344"/>
      <c r="J55" s="1344"/>
      <c r="K55" s="1344"/>
      <c r="L55" s="1369"/>
      <c r="M55" s="1351"/>
      <c r="N55" s="1351"/>
      <c r="P55" s="1346"/>
      <c r="Q55" s="1347"/>
      <c r="R55" s="1346"/>
      <c r="S55" s="1352"/>
      <c r="T55" s="1355" t="s">
        <v>214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154</v>
      </c>
      <c r="B56" s="1373"/>
      <c r="C56" s="1373"/>
      <c r="D56" s="1373"/>
      <c r="E56" s="2107"/>
      <c r="F56" s="1373"/>
      <c r="G56" s="1373"/>
      <c r="H56" s="1373"/>
      <c r="I56" s="1373"/>
      <c r="J56" s="1373"/>
      <c r="K56" s="1373"/>
      <c r="L56" s="1376"/>
      <c r="M56" s="1351"/>
      <c r="N56" s="1351"/>
      <c r="O56" s="524"/>
      <c r="P56" s="385"/>
      <c r="Q56" s="1374"/>
      <c r="R56" s="385"/>
      <c r="S56" s="1352"/>
      <c r="T56" s="1355" t="s">
        <v>215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216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7E5689-D585-2E83-E6F6-1154A17317E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386</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387</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388</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389</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390</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391</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392</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393</v>
      </c>
      <c r="M6" s="543"/>
      <c r="P6" s="2111">
        <v>1</v>
      </c>
      <c r="Q6" s="1361"/>
      <c r="R6" s="352"/>
      <c r="S6" s="1366">
        <f>$I6</f>
      </c>
      <c r="T6" s="273" t="s">
        <v>394</v>
      </c>
      <c r="U6" s="288"/>
      <c r="V6" s="2095"/>
      <c r="W6" s="2096"/>
      <c r="X6" s="2096"/>
      <c r="Y6" s="2096"/>
      <c r="Z6" s="2096"/>
      <c r="AA6" s="2096"/>
      <c r="AB6" s="2096"/>
      <c r="AC6" s="2097"/>
      <c r="AD6" s="2095"/>
      <c r="AE6" s="2096"/>
      <c r="AF6" s="2096"/>
      <c r="AG6" s="2096"/>
      <c r="AH6" s="2096"/>
      <c r="AI6" s="2096"/>
      <c r="AJ6" s="2096"/>
      <c r="AK6" s="2096"/>
      <c r="AL6" s="2097"/>
      <c r="AM6" s="1286" t="s">
        <v>395</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396</v>
      </c>
      <c r="M7" s="543"/>
      <c r="N7" s="1396"/>
      <c r="P7" s="2111"/>
      <c r="Q7" s="2111">
        <v>1</v>
      </c>
      <c r="R7" s="353"/>
      <c r="S7" s="1366">
        <f>$J7</f>
      </c>
      <c r="T7" s="274" t="s">
        <v>397</v>
      </c>
      <c r="U7" s="288"/>
      <c r="V7" s="2095"/>
      <c r="W7" s="2096"/>
      <c r="X7" s="2096"/>
      <c r="Y7" s="2096"/>
      <c r="Z7" s="2096"/>
      <c r="AA7" s="2096"/>
      <c r="AB7" s="2096"/>
      <c r="AC7" s="2097"/>
      <c r="AD7" s="2095"/>
      <c r="AE7" s="2096"/>
      <c r="AF7" s="2096"/>
      <c r="AG7" s="2096"/>
      <c r="AH7" s="2096"/>
      <c r="AI7" s="2096"/>
      <c r="AJ7" s="2096"/>
      <c r="AK7" s="2096"/>
      <c r="AL7" s="2097"/>
      <c r="AM7" s="1286" t="s">
        <v>398</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399</v>
      </c>
      <c r="M8" s="543"/>
      <c r="N8" s="1396"/>
      <c r="O8" s="1396"/>
      <c r="P8" s="2111"/>
      <c r="Q8" s="2111"/>
      <c r="R8" s="353">
        <v>1</v>
      </c>
      <c r="S8" s="1366">
        <f>$K8</f>
      </c>
      <c r="T8" s="1377"/>
      <c r="U8" s="288"/>
      <c r="V8" s="757"/>
      <c r="W8" s="320"/>
      <c r="X8" s="757"/>
      <c r="Y8" s="1285"/>
      <c r="Z8" s="2112"/>
      <c r="AA8" s="1981" t="s">
        <v>60</v>
      </c>
      <c r="AB8" s="2112"/>
      <c r="AC8" s="1981" t="s">
        <v>60</v>
      </c>
      <c r="AD8" s="757"/>
      <c r="AE8" s="320"/>
      <c r="AF8" s="757"/>
      <c r="AG8" s="1285"/>
      <c r="AH8" s="2112"/>
      <c r="AI8" s="1981" t="s">
        <v>60</v>
      </c>
      <c r="AJ8" s="2112"/>
      <c r="AK8" s="1981" t="s">
        <v>60</v>
      </c>
      <c r="AL8" s="320"/>
      <c r="AM8" s="2137" t="s">
        <v>400</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401</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403</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214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215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60</v>
      </c>
      <c r="AJ17" s="2105"/>
      <c r="AK17" s="2104" t="s">
        <v>60</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 (филиал в г. Глазове)</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строительства, жилищно-коммунального хозяйства и энергетики УР</v>
      </c>
      <c r="W29" s="2100"/>
      <c r="X29" s="2100"/>
      <c r="Y29" s="2100"/>
      <c r="Z29" s="2100"/>
      <c r="AA29" s="2100"/>
      <c r="AB29" s="2100"/>
      <c r="AC29" s="322"/>
      <c r="AD29" s="2100" t="str">
        <f>IF(TITLE_NAME_OR_PR_CHANGE="",IF(TITLE_NAME_OR_PR="","",TITLE_NAME_OR_PR),TITLE_NAME_OR_PR_CHANGE)</f>
        <v>Министерство строительства, жилищно-коммунального хозяйства и энергетики УР</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45272.383726851855</v>
      </c>
      <c r="W30" s="2099"/>
      <c r="X30" s="2099"/>
      <c r="Y30" s="2099"/>
      <c r="Z30" s="2099"/>
      <c r="AA30" s="2099"/>
      <c r="AB30" s="2099"/>
      <c r="AC30" s="322"/>
      <c r="AD30" s="2099" t="str">
        <f>IF(TITLE_DATE_PR_CHANGE="",IF(TITLE_DATE_PR="","",TITLE_DATE_PR),TITLE_DATE_PR_CHANGE)</f>
        <v>45272.383726851855</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30/68</v>
      </c>
      <c r="W31" s="2100"/>
      <c r="X31" s="2100"/>
      <c r="Y31" s="2100"/>
      <c r="Z31" s="2100"/>
      <c r="AA31" s="2100"/>
      <c r="AB31" s="2100"/>
      <c r="AC31" s="322"/>
      <c r="AD31" s="2100" t="str">
        <f>IF(TITLE_NUMBER_PR_CHANGE="",IF(TITLE_NUMBER_PR="","",TITLE_NUMBER_PR),TITLE_NUMBER_PR_CHANGE)</f>
        <v>30/68</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www.udmurt.ru</v>
      </c>
      <c r="W32" s="2100"/>
      <c r="X32" s="2100"/>
      <c r="Y32" s="2100"/>
      <c r="Z32" s="2100"/>
      <c r="AA32" s="2100"/>
      <c r="AB32" s="2100"/>
      <c r="AC32" s="322"/>
      <c r="AD32" s="2100" t="str">
        <f>IF(TITLE_IST_PUB_CHANGE="",IF(TITLE_IST_PUB="","",TITLE_IST_PUB),TITLE_IST_PUB_CHANGE)</f>
        <v>www.udmurt.ru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45272.383726851855</v>
      </c>
      <c r="W34" s="2099"/>
      <c r="X34" s="2099"/>
      <c r="Y34" s="2099"/>
      <c r="Z34" s="2099"/>
      <c r="AA34" s="2099"/>
      <c r="AB34" s="2099"/>
      <c r="AC34" s="322"/>
      <c r="AD34" s="2099" t="str">
        <f>IF(TITLE_DATE_PR_CHANGE="",IF(TITLE_DATE_PR="","",TITLE_DATE_PR),TITLE_DATE_PR_CHANGE)</f>
        <v>45272.383726851855</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30/68</v>
      </c>
      <c r="W35" s="2100"/>
      <c r="X35" s="2100"/>
      <c r="Y35" s="2100"/>
      <c r="Z35" s="2100"/>
      <c r="AA35" s="2100"/>
      <c r="AB35" s="2100"/>
      <c r="AC35" s="322"/>
      <c r="AD35" s="2100" t="str">
        <f>IF(TITLE_NUMBER_PR_CHANGE="",IF(TITLE_NUMBER_PR="","",TITLE_NUMBER_PR),TITLE_NUMBER_PR_CHANGE)</f>
        <v>30/68</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288</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289</v>
      </c>
    </row>
    <row customHeight="1" ht="14.25">
      <c r="Q39" s="377"/>
      <c r="R39" s="377"/>
      <c r="S39" s="2125" t="s">
        <v>86</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t="s">
        <v>422</v>
      </c>
      <c r="X40" s="2118" t="s">
        <v>423</v>
      </c>
      <c r="Y40" s="2120"/>
      <c r="Z40" s="2118" t="s">
        <v>436</v>
      </c>
      <c r="AA40" s="2119"/>
      <c r="AB40" s="2120"/>
      <c r="AC40" s="2130"/>
      <c r="AD40" s="2135" t="s">
        <v>421</v>
      </c>
      <c r="AE40" s="2116" t="s">
        <v>422</v>
      </c>
      <c r="AF40" s="2118" t="s">
        <v>423</v>
      </c>
      <c r="AG40" s="2120"/>
      <c r="AH40" s="2118" t="s">
        <v>424</v>
      </c>
      <c r="AI40" s="2119"/>
      <c r="AJ40" s="2120"/>
      <c r="AK40" s="2130"/>
      <c r="AL40" s="2133"/>
      <c r="AM40" s="1971"/>
    </row>
    <row customHeight="1" ht="33.75">
      <c r="A41" s="1400"/>
      <c r="B41" s="1400" t="s">
        <v>133</v>
      </c>
      <c r="C41" s="1400" t="s">
        <v>134</v>
      </c>
      <c r="D41" s="1400" t="s">
        <v>135</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368" t="s">
        <v>434</v>
      </c>
      <c r="AA41" s="2121" t="s">
        <v>435</v>
      </c>
      <c r="AB41" s="2122"/>
      <c r="AC41" s="2131"/>
      <c r="AD41" s="2136"/>
      <c r="AE41" s="2117"/>
      <c r="AF41" s="1237" t="s">
        <v>432</v>
      </c>
      <c r="AG41" s="1237" t="s">
        <v>433</v>
      </c>
      <c r="AH41" s="1368" t="s">
        <v>434</v>
      </c>
      <c r="AI41" s="2121" t="s">
        <v>435</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160</v>
      </c>
      <c r="B44" s="1393" t="s">
        <v>161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387</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388</v>
      </c>
      <c r="AO44" s="506"/>
      <c r="AP44" s="506" t="str">
        <f>IF(T44="","",T44)</f>
        <v>Территория действия тарифа</v>
      </c>
      <c r="AQ44" s="506"/>
      <c r="AR44" s="506"/>
    </row>
    <row customHeight="1" ht="23.25">
      <c r="A45" s="1393" t="s">
        <v>160</v>
      </c>
      <c r="B45" s="1393" t="s">
        <v>161</v>
      </c>
      <c r="C45" s="1393" t="s">
        <v>162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389</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390</v>
      </c>
      <c r="AO45" s="506"/>
      <c r="AP45" s="506" t="str">
        <f>IF(T45="","",T45)</f>
        <v>Наименование системы теплоснабжения </v>
      </c>
      <c r="AQ45" s="506"/>
      <c r="AR45" s="506"/>
    </row>
    <row customHeight="1" ht="21">
      <c r="A46" s="1393" t="s">
        <v>160</v>
      </c>
      <c r="B46" s="1393" t="s">
        <v>161</v>
      </c>
      <c r="C46" s="1393" t="s">
        <v>162</v>
      </c>
      <c r="D46" s="1393" t="s">
        <v>163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391</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392</v>
      </c>
      <c r="AO46" s="506"/>
      <c r="AP46" s="506" t="str">
        <f>IF(T46="","",T46)</f>
        <v>Источник тепловой энергии  </v>
      </c>
      <c r="AQ46" s="506"/>
      <c r="AR46" s="506"/>
    </row>
    <row customHeight="1" ht="47.25">
      <c r="A47" s="1393" t="s">
        <v>160</v>
      </c>
      <c r="B47" s="1393" t="s">
        <v>161</v>
      </c>
      <c r="C47" s="1393" t="s">
        <v>162</v>
      </c>
      <c r="D47" s="1393" t="s">
        <v>163</v>
      </c>
      <c r="E47" s="2108"/>
      <c r="F47" s="2108"/>
      <c r="G47" s="2108"/>
      <c r="H47" s="2108"/>
      <c r="I47" s="2109" t="str">
        <f>S46&amp;".1"</f>
        <v>....1</v>
      </c>
      <c r="J47" s="1393"/>
      <c r="K47" s="1393"/>
      <c r="L47" s="1394" t="s">
        <v>393</v>
      </c>
      <c r="P47" s="2111">
        <v>1</v>
      </c>
      <c r="Q47" s="1361"/>
      <c r="R47" s="352"/>
      <c r="S47" s="1366" t="str">
        <f>$I47</f>
        <v>....1</v>
      </c>
      <c r="T47" s="273" t="s">
        <v>394</v>
      </c>
      <c r="U47" s="288"/>
      <c r="V47" s="2095"/>
      <c r="W47" s="2096"/>
      <c r="X47" s="2096"/>
      <c r="Y47" s="2096"/>
      <c r="Z47" s="2096"/>
      <c r="AA47" s="2096"/>
      <c r="AB47" s="2096"/>
      <c r="AC47" s="2097"/>
      <c r="AD47" s="2095"/>
      <c r="AE47" s="2096"/>
      <c r="AF47" s="2096"/>
      <c r="AG47" s="2096"/>
      <c r="AH47" s="2096"/>
      <c r="AI47" s="2096"/>
      <c r="AJ47" s="2096"/>
      <c r="AK47" s="2096"/>
      <c r="AL47" s="2097"/>
      <c r="AM47" s="1286" t="s">
        <v>395</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160</v>
      </c>
      <c r="B48" s="1393" t="s">
        <v>161</v>
      </c>
      <c r="C48" s="1393" t="s">
        <v>162</v>
      </c>
      <c r="D48" s="1393" t="s">
        <v>163</v>
      </c>
      <c r="E48" s="2108"/>
      <c r="F48" s="2108"/>
      <c r="G48" s="2108"/>
      <c r="H48" s="2108"/>
      <c r="I48" s="2110"/>
      <c r="J48" s="2109" t="str">
        <f>I47&amp;".1"</f>
        <v>....1.1</v>
      </c>
      <c r="K48" s="1393"/>
      <c r="L48" s="1394" t="s">
        <v>396</v>
      </c>
      <c r="P48" s="2111"/>
      <c r="Q48" s="2111">
        <v>1</v>
      </c>
      <c r="R48" s="353"/>
      <c r="S48" s="1366" t="str">
        <f>$J48</f>
        <v>....1.1</v>
      </c>
      <c r="T48" s="274" t="s">
        <v>397</v>
      </c>
      <c r="U48" s="288"/>
      <c r="V48" s="2095"/>
      <c r="W48" s="2096"/>
      <c r="X48" s="2096"/>
      <c r="Y48" s="2096"/>
      <c r="Z48" s="2096"/>
      <c r="AA48" s="2096"/>
      <c r="AB48" s="2096"/>
      <c r="AC48" s="2097"/>
      <c r="AD48" s="2095"/>
      <c r="AE48" s="2096"/>
      <c r="AF48" s="2096"/>
      <c r="AG48" s="2096"/>
      <c r="AH48" s="2096"/>
      <c r="AI48" s="2096"/>
      <c r="AJ48" s="2096"/>
      <c r="AK48" s="2096"/>
      <c r="AL48" s="2097"/>
      <c r="AM48" s="1286" t="s">
        <v>398</v>
      </c>
      <c r="AO48" s="506"/>
      <c r="AP48" s="506" t="str">
        <f>IF(T48="","",T48)</f>
        <v>Группа потребителей</v>
      </c>
      <c r="AQ48" s="506"/>
      <c r="AR48" s="506"/>
    </row>
    <row customHeight="1" ht="21">
      <c r="A49" s="1393" t="s">
        <v>160</v>
      </c>
      <c r="B49" s="1393" t="s">
        <v>161</v>
      </c>
      <c r="C49" s="1393" t="s">
        <v>162</v>
      </c>
      <c r="D49" s="1393" t="s">
        <v>163</v>
      </c>
      <c r="E49" s="2108"/>
      <c r="F49" s="2108"/>
      <c r="G49" s="2108"/>
      <c r="H49" s="2108"/>
      <c r="I49" s="2110"/>
      <c r="J49" s="2110"/>
      <c r="K49" s="2109" t="str">
        <f>J48&amp;".1"</f>
        <v>....1.1.1</v>
      </c>
      <c r="L49" s="1394" t="s">
        <v>399</v>
      </c>
      <c r="P49" s="2111"/>
      <c r="Q49" s="2111"/>
      <c r="R49" s="353">
        <v>1</v>
      </c>
      <c r="S49" s="1366" t="str">
        <f>$K49</f>
        <v>....1.1.1</v>
      </c>
      <c r="T49" s="1377"/>
      <c r="U49" s="288"/>
      <c r="V49" s="757"/>
      <c r="W49" s="320"/>
      <c r="X49" s="757"/>
      <c r="Y49" s="1285"/>
      <c r="Z49" s="2112"/>
      <c r="AA49" s="1981" t="s">
        <v>60</v>
      </c>
      <c r="AB49" s="2112"/>
      <c r="AC49" s="1981" t="s">
        <v>60</v>
      </c>
      <c r="AD49" s="757"/>
      <c r="AE49" s="320"/>
      <c r="AF49" s="757"/>
      <c r="AG49" s="1285"/>
      <c r="AH49" s="2112"/>
      <c r="AI49" s="1981" t="s">
        <v>60</v>
      </c>
      <c r="AJ49" s="2114"/>
      <c r="AK49" s="1981" t="s">
        <v>60</v>
      </c>
      <c r="AL49" s="1378"/>
      <c r="AM49" s="2137" t="s">
        <v>400</v>
      </c>
      <c r="AN49" s="517">
        <f>STRCHECKDATE(V50:AL50)</f>
      </c>
      <c r="AO49" s="506"/>
      <c r="AP49" s="506" t="str">
        <f>IF(T49="","",T49)</f>
        <v/>
      </c>
      <c r="AQ49" s="506"/>
      <c r="AR49" s="506"/>
    </row>
    <row customHeight="1" ht="0.75">
      <c r="A50" s="1393" t="s">
        <v>160</v>
      </c>
      <c r="B50" s="1393" t="s">
        <v>161</v>
      </c>
      <c r="C50" s="1393" t="s">
        <v>162</v>
      </c>
      <c r="D50" s="1393" t="s">
        <v>163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160</v>
      </c>
      <c r="B51" s="1393" t="s">
        <v>161</v>
      </c>
      <c r="C51" s="1393" t="s">
        <v>162</v>
      </c>
      <c r="D51" s="1393" t="s">
        <v>163</v>
      </c>
      <c r="E51" s="2108"/>
      <c r="F51" s="2108"/>
      <c r="G51" s="2108"/>
      <c r="H51" s="2108"/>
      <c r="I51" s="2110"/>
      <c r="J51" s="2109"/>
      <c r="K51" s="1393"/>
      <c r="L51" s="1394"/>
      <c r="P51" s="2111"/>
      <c r="Q51" s="2111"/>
      <c r="R51" s="352"/>
      <c r="S51" s="1308"/>
      <c r="T51" s="276" t="s">
        <v>401</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160</v>
      </c>
      <c r="B52" s="1393" t="s">
        <v>161</v>
      </c>
      <c r="C52" s="1393" t="s">
        <v>162</v>
      </c>
      <c r="D52" s="1393" t="s">
        <v>163</v>
      </c>
      <c r="E52" s="2108"/>
      <c r="F52" s="2108"/>
      <c r="G52" s="2108"/>
      <c r="H52" s="2108"/>
      <c r="I52" s="2109"/>
      <c r="J52" s="1393"/>
      <c r="K52" s="1393"/>
      <c r="L52" s="1394"/>
      <c r="P52" s="2111"/>
      <c r="Q52" s="1361"/>
      <c r="R52" s="352"/>
      <c r="S52" s="1308"/>
      <c r="T52" s="275" t="s">
        <v>402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160</v>
      </c>
      <c r="B53" s="1393" t="s">
        <v>161</v>
      </c>
      <c r="C53" s="1393" t="s">
        <v>162</v>
      </c>
      <c r="D53" s="1393" t="s">
        <v>163</v>
      </c>
      <c r="E53" s="2108"/>
      <c r="F53" s="2108"/>
      <c r="G53" s="2108"/>
      <c r="H53" s="2107"/>
      <c r="I53" s="1393"/>
      <c r="J53" s="1393"/>
      <c r="K53" s="1393"/>
      <c r="L53" s="1394"/>
      <c r="M53" s="1395"/>
      <c r="N53" s="1395"/>
      <c r="O53" s="543"/>
      <c r="P53" s="356"/>
      <c r="Q53" s="376"/>
      <c r="R53" s="351"/>
      <c r="S53" s="1308"/>
      <c r="T53" s="364" t="s">
        <v>403</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160</v>
      </c>
      <c r="B54" s="1373" t="s">
        <v>161</v>
      </c>
      <c r="C54" s="1373" t="s">
        <v>162</v>
      </c>
      <c r="D54" s="1344"/>
      <c r="E54" s="2108"/>
      <c r="F54" s="2108"/>
      <c r="G54" s="2107"/>
      <c r="H54" s="1344"/>
      <c r="I54" s="1344"/>
      <c r="J54" s="1344"/>
      <c r="K54" s="1344"/>
      <c r="L54" s="1369"/>
      <c r="M54" s="1345"/>
      <c r="N54" s="1345"/>
      <c r="P54" s="1346"/>
      <c r="Q54" s="1347"/>
      <c r="R54" s="1346"/>
      <c r="S54" s="1352"/>
      <c r="T54" s="1355" t="s">
        <v>404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160</v>
      </c>
      <c r="B55" s="1373" t="s">
        <v>161</v>
      </c>
      <c r="C55" s="1344"/>
      <c r="D55" s="1344"/>
      <c r="E55" s="2108"/>
      <c r="F55" s="2107"/>
      <c r="G55" s="1344"/>
      <c r="H55" s="1344"/>
      <c r="I55" s="1344"/>
      <c r="J55" s="1344"/>
      <c r="K55" s="1344"/>
      <c r="L55" s="1369"/>
      <c r="M55" s="1351"/>
      <c r="N55" s="1351"/>
      <c r="P55" s="1346"/>
      <c r="Q55" s="1347"/>
      <c r="R55" s="1346"/>
      <c r="S55" s="1352"/>
      <c r="T55" s="1355" t="s">
        <v>214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160</v>
      </c>
      <c r="B56" s="1373"/>
      <c r="C56" s="1373"/>
      <c r="D56" s="1373"/>
      <c r="E56" s="2107"/>
      <c r="F56" s="1373"/>
      <c r="G56" s="1373"/>
      <c r="H56" s="1373"/>
      <c r="I56" s="1373"/>
      <c r="J56" s="1373"/>
      <c r="K56" s="1373"/>
      <c r="L56" s="1376"/>
      <c r="M56" s="1351"/>
      <c r="N56" s="1351"/>
      <c r="O56" s="524"/>
      <c r="P56" s="385"/>
      <c r="Q56" s="1374"/>
      <c r="R56" s="385"/>
      <c r="S56" s="1352"/>
      <c r="T56" s="1355" t="s">
        <v>215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216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DCB1E8-4BD5-47C3-F7DC-1B2CA783A08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7109375" hidden="1" customWidth="1"/>
    <col min="22" max="22" style="2940" width="1.7109375" hidden="1" customWidth="1"/>
    <col min="23" max="23" style="2940" width="24.7109375" hidden="1" customWidth="1"/>
    <col min="24" max="25" style="2940" width="0.14062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0.140625" customWidth="1"/>
    <col min="31" max="31" style="2940" width="24.7109375" customWidth="1"/>
    <col min="32" max="33" style="2940" width="0.14062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386</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387</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388</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389</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390</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391</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392</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393</v>
      </c>
      <c r="M6" s="543"/>
      <c r="P6" s="2111">
        <v>1</v>
      </c>
      <c r="Q6" s="1361"/>
      <c r="R6" s="352"/>
      <c r="S6" s="1366">
        <f>$I6</f>
      </c>
      <c r="T6" s="273" t="s">
        <v>394</v>
      </c>
      <c r="U6" s="288"/>
      <c r="V6" s="2095"/>
      <c r="W6" s="2096"/>
      <c r="X6" s="2096"/>
      <c r="Y6" s="2096"/>
      <c r="Z6" s="2096"/>
      <c r="AA6" s="2096"/>
      <c r="AB6" s="2096"/>
      <c r="AC6" s="2097"/>
      <c r="AD6" s="2095"/>
      <c r="AE6" s="2096"/>
      <c r="AF6" s="2096"/>
      <c r="AG6" s="2096"/>
      <c r="AH6" s="2096"/>
      <c r="AI6" s="2096"/>
      <c r="AJ6" s="2096"/>
      <c r="AK6" s="2096"/>
      <c r="AL6" s="2097"/>
      <c r="AM6" s="1286" t="s">
        <v>395</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396</v>
      </c>
      <c r="M7" s="543"/>
      <c r="N7" s="1396"/>
      <c r="P7" s="2111"/>
      <c r="Q7" s="2111">
        <v>1</v>
      </c>
      <c r="R7" s="353"/>
      <c r="S7" s="1366">
        <f>$J7</f>
      </c>
      <c r="T7" s="274" t="s">
        <v>397</v>
      </c>
      <c r="U7" s="288"/>
      <c r="V7" s="2095"/>
      <c r="W7" s="2096"/>
      <c r="X7" s="2096"/>
      <c r="Y7" s="2096"/>
      <c r="Z7" s="2096"/>
      <c r="AA7" s="2096"/>
      <c r="AB7" s="2096"/>
      <c r="AC7" s="2097"/>
      <c r="AD7" s="2095"/>
      <c r="AE7" s="2096"/>
      <c r="AF7" s="2096"/>
      <c r="AG7" s="2096"/>
      <c r="AH7" s="2096"/>
      <c r="AI7" s="2096"/>
      <c r="AJ7" s="2096"/>
      <c r="AK7" s="2096"/>
      <c r="AL7" s="2097"/>
      <c r="AM7" s="1286" t="s">
        <v>398</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399</v>
      </c>
      <c r="M8" s="543"/>
      <c r="N8" s="1396"/>
      <c r="O8" s="1396"/>
      <c r="P8" s="2111"/>
      <c r="Q8" s="2111"/>
      <c r="R8" s="353">
        <v>1</v>
      </c>
      <c r="S8" s="1366">
        <f>$K8</f>
      </c>
      <c r="T8" s="1377"/>
      <c r="U8" s="288"/>
      <c r="V8" s="320"/>
      <c r="W8" s="757"/>
      <c r="X8" s="320"/>
      <c r="Y8" s="390"/>
      <c r="Z8" s="2112"/>
      <c r="AA8" s="1981" t="s">
        <v>60</v>
      </c>
      <c r="AB8" s="2112"/>
      <c r="AC8" s="1981" t="s">
        <v>60</v>
      </c>
      <c r="AD8" s="320"/>
      <c r="AE8" s="757"/>
      <c r="AF8" s="320"/>
      <c r="AG8" s="390"/>
      <c r="AH8" s="2112"/>
      <c r="AI8" s="1981" t="s">
        <v>60</v>
      </c>
      <c r="AJ8" s="2112"/>
      <c r="AK8" s="1981" t="s">
        <v>60</v>
      </c>
      <c r="AL8" s="320"/>
      <c r="AM8" s="2137" t="s">
        <v>400</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401</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403</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214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215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60</v>
      </c>
      <c r="AJ17" s="2105"/>
      <c r="AK17" s="2104" t="s">
        <v>60</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33.7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 (филиал в г. Глазове)</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строительства, жилищно-коммунального хозяйства и энергетики УР</v>
      </c>
      <c r="W29" s="2100"/>
      <c r="X29" s="2100"/>
      <c r="Y29" s="2100"/>
      <c r="Z29" s="2100"/>
      <c r="AA29" s="2100"/>
      <c r="AB29" s="2100"/>
      <c r="AC29" s="322"/>
      <c r="AD29" s="2100" t="str">
        <f>IF(TITLE_NAME_OR_PR_CHANGE="",IF(TITLE_NAME_OR_PR="","",TITLE_NAME_OR_PR),TITLE_NAME_OR_PR_CHANGE)</f>
        <v>Министерство строительства, жилищно-коммунального хозяйства и энергетики УР</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45272.383726851855</v>
      </c>
      <c r="W30" s="2099"/>
      <c r="X30" s="2099"/>
      <c r="Y30" s="2099"/>
      <c r="Z30" s="2099"/>
      <c r="AA30" s="2099"/>
      <c r="AB30" s="2099"/>
      <c r="AC30" s="322"/>
      <c r="AD30" s="2099" t="str">
        <f>IF(TITLE_DATE_PR_CHANGE="",IF(TITLE_DATE_PR="","",TITLE_DATE_PR),TITLE_DATE_PR_CHANGE)</f>
        <v>45272.383726851855</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30/68</v>
      </c>
      <c r="W31" s="2100"/>
      <c r="X31" s="2100"/>
      <c r="Y31" s="2100"/>
      <c r="Z31" s="2100"/>
      <c r="AA31" s="2100"/>
      <c r="AB31" s="2100"/>
      <c r="AC31" s="322"/>
      <c r="AD31" s="2100" t="str">
        <f>IF(TITLE_NUMBER_PR_CHANGE="",IF(TITLE_NUMBER_PR="","",TITLE_NUMBER_PR),TITLE_NUMBER_PR_CHANGE)</f>
        <v>30/68</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www.udmurt.ru</v>
      </c>
      <c r="W32" s="2100"/>
      <c r="X32" s="2100"/>
      <c r="Y32" s="2100"/>
      <c r="Z32" s="2100"/>
      <c r="AA32" s="2100"/>
      <c r="AB32" s="2100"/>
      <c r="AC32" s="322"/>
      <c r="AD32" s="2100" t="str">
        <f>IF(TITLE_IST_PUB_CHANGE="",IF(TITLE_IST_PUB="","",TITLE_IST_PUB),TITLE_IST_PUB_CHANGE)</f>
        <v>www.udmurt.ru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45272.383726851855</v>
      </c>
      <c r="W34" s="2099"/>
      <c r="X34" s="2099"/>
      <c r="Y34" s="2099"/>
      <c r="Z34" s="2099"/>
      <c r="AA34" s="2099"/>
      <c r="AB34" s="2099"/>
      <c r="AC34" s="322"/>
      <c r="AD34" s="2099" t="str">
        <f>IF(TITLE_DATE_PR_CHANGE="",IF(TITLE_DATE_PR="","",TITLE_DATE_PR),TITLE_DATE_PR_CHANGE)</f>
        <v>45272.383726851855</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30/68</v>
      </c>
      <c r="W35" s="2100"/>
      <c r="X35" s="2100"/>
      <c r="Y35" s="2100"/>
      <c r="Z35" s="2100"/>
      <c r="AA35" s="2100"/>
      <c r="AB35" s="2100"/>
      <c r="AC35" s="322"/>
      <c r="AD35" s="2100" t="str">
        <f>IF(TITLE_NUMBER_PR_CHANGE="",IF(TITLE_NUMBER_PR="","",TITLE_NUMBER_PR),TITLE_NUMBER_PR_CHANGE)</f>
        <v>30/68</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288</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289</v>
      </c>
    </row>
    <row customHeight="1" ht="14.25">
      <c r="Q39" s="377"/>
      <c r="R39" s="377"/>
      <c r="S39" s="2125" t="s">
        <v>86</v>
      </c>
      <c r="T39" s="2062" t="s">
        <v>416</v>
      </c>
      <c r="U39" s="289"/>
      <c r="V39" s="2126" t="s">
        <v>417</v>
      </c>
      <c r="W39" s="2127"/>
      <c r="X39" s="2146"/>
      <c r="Y39" s="2146"/>
      <c r="Z39" s="2127"/>
      <c r="AA39" s="2127"/>
      <c r="AB39" s="2128"/>
      <c r="AC39" s="2129" t="s">
        <v>418</v>
      </c>
      <c r="AD39" s="2126" t="s">
        <v>417</v>
      </c>
      <c r="AE39" s="2127"/>
      <c r="AF39" s="2146"/>
      <c r="AG39" s="2146"/>
      <c r="AH39" s="2127"/>
      <c r="AI39" s="2127"/>
      <c r="AJ39" s="2128"/>
      <c r="AK39" s="2129" t="s">
        <v>419</v>
      </c>
      <c r="AL39" s="2132" t="s">
        <v>420</v>
      </c>
      <c r="AM39" s="1971"/>
    </row>
    <row customHeight="1" ht="23.25">
      <c r="Q40" s="377"/>
      <c r="R40" s="377"/>
      <c r="S40" s="2125"/>
      <c r="T40" s="2062"/>
      <c r="U40" s="1038"/>
      <c r="V40" s="2142" t="s">
        <v>421</v>
      </c>
      <c r="W40" s="2144" t="s">
        <v>422</v>
      </c>
      <c r="X40" s="1406" t="s">
        <v>423</v>
      </c>
      <c r="Y40" s="1406"/>
      <c r="Z40" s="2119" t="s">
        <v>424</v>
      </c>
      <c r="AA40" s="2119"/>
      <c r="AB40" s="2120"/>
      <c r="AC40" s="2130"/>
      <c r="AD40" s="2142" t="s">
        <v>421</v>
      </c>
      <c r="AE40" s="2144" t="s">
        <v>422</v>
      </c>
      <c r="AF40" s="1406" t="s">
        <v>423</v>
      </c>
      <c r="AG40" s="1406"/>
      <c r="AH40" s="2119" t="s">
        <v>424</v>
      </c>
      <c r="AI40" s="2119"/>
      <c r="AJ40" s="2120"/>
      <c r="AK40" s="2130"/>
      <c r="AL40" s="2133"/>
      <c r="AM40" s="1971"/>
    </row>
    <row s="3385" customFormat="1" customHeight="1" ht="23.25">
      <c r="A41" s="1400"/>
      <c r="B41" s="1400" t="s">
        <v>133</v>
      </c>
      <c r="C41" s="1400" t="s">
        <v>134</v>
      </c>
      <c r="D41" s="1400" t="s">
        <v>135</v>
      </c>
      <c r="E41" s="1394" t="s">
        <v>425</v>
      </c>
      <c r="F41" s="1394" t="s">
        <v>426</v>
      </c>
      <c r="G41" s="1394" t="s">
        <v>427</v>
      </c>
      <c r="H41" s="1394" t="s">
        <v>428</v>
      </c>
      <c r="I41" s="1394" t="s">
        <v>429</v>
      </c>
      <c r="J41" s="1394" t="s">
        <v>430</v>
      </c>
      <c r="K41" s="1394" t="s">
        <v>431</v>
      </c>
      <c r="L41" s="1394" t="s">
        <v>406</v>
      </c>
      <c r="M41" s="1392"/>
      <c r="N41" s="1392"/>
      <c r="O41" s="1392"/>
      <c r="P41" s="1358"/>
      <c r="Q41" s="377"/>
      <c r="R41" s="377"/>
      <c r="S41" s="2125"/>
      <c r="T41" s="2062"/>
      <c r="U41" s="290"/>
      <c r="V41" s="2143"/>
      <c r="W41" s="2145"/>
      <c r="X41" s="1403" t="s">
        <v>432</v>
      </c>
      <c r="Y41" s="1403" t="s">
        <v>433</v>
      </c>
      <c r="Z41" s="1364" t="s">
        <v>434</v>
      </c>
      <c r="AA41" s="2121" t="s">
        <v>435</v>
      </c>
      <c r="AB41" s="2122"/>
      <c r="AC41" s="2131"/>
      <c r="AD41" s="2143"/>
      <c r="AE41" s="2145"/>
      <c r="AF41" s="1403" t="s">
        <v>432</v>
      </c>
      <c r="AG41" s="1403" t="s">
        <v>433</v>
      </c>
      <c r="AH41" s="1364" t="s">
        <v>434</v>
      </c>
      <c r="AI41" s="2121" t="s">
        <v>435</v>
      </c>
      <c r="AJ41" s="2122"/>
      <c r="AK41" s="2131"/>
      <c r="AL41" s="2134"/>
      <c r="AM41" s="1971"/>
      <c r="AN41" s="517"/>
      <c r="AO41" s="506"/>
      <c r="AP41" s="506"/>
      <c r="AQ41" s="506"/>
      <c r="AR41" s="506"/>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190</v>
      </c>
      <c r="B44" s="1393" t="s">
        <v>191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387</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388</v>
      </c>
      <c r="AO44" s="506"/>
      <c r="AP44" s="506" t="str">
        <f>IF(T44="","",T44)</f>
        <v>Территория действия тарифа</v>
      </c>
      <c r="AQ44" s="506"/>
      <c r="AR44" s="506"/>
    </row>
    <row customHeight="1" ht="23.25">
      <c r="A45" s="1393" t="s">
        <v>190</v>
      </c>
      <c r="B45" s="1393" t="s">
        <v>191</v>
      </c>
      <c r="C45" s="1393" t="s">
        <v>192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389</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390</v>
      </c>
      <c r="AO45" s="506"/>
      <c r="AP45" s="506" t="str">
        <f>IF(T45="","",T45)</f>
        <v>Наименование системы теплоснабжения </v>
      </c>
      <c r="AQ45" s="506"/>
      <c r="AR45" s="506"/>
    </row>
    <row customHeight="1" ht="21">
      <c r="A46" s="1393" t="s">
        <v>190</v>
      </c>
      <c r="B46" s="1393" t="s">
        <v>191</v>
      </c>
      <c r="C46" s="1393" t="s">
        <v>192</v>
      </c>
      <c r="D46" s="1393" t="s">
        <v>193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391</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392</v>
      </c>
      <c r="AO46" s="506"/>
      <c r="AP46" s="506" t="str">
        <f>IF(T46="","",T46)</f>
        <v>Источник тепловой энергии  </v>
      </c>
      <c r="AQ46" s="506"/>
      <c r="AR46" s="506"/>
    </row>
    <row customHeight="1" ht="47.25">
      <c r="A47" s="1393" t="s">
        <v>190</v>
      </c>
      <c r="B47" s="1393" t="s">
        <v>191</v>
      </c>
      <c r="C47" s="1393" t="s">
        <v>192</v>
      </c>
      <c r="D47" s="1393" t="s">
        <v>193</v>
      </c>
      <c r="E47" s="2108"/>
      <c r="F47" s="2108"/>
      <c r="G47" s="2108"/>
      <c r="H47" s="2108"/>
      <c r="I47" s="2109" t="str">
        <f>S46&amp;".1"</f>
        <v>....1</v>
      </c>
      <c r="J47" s="1393"/>
      <c r="K47" s="1393"/>
      <c r="L47" s="1394" t="s">
        <v>393</v>
      </c>
      <c r="P47" s="2111">
        <v>1</v>
      </c>
      <c r="Q47" s="1361"/>
      <c r="R47" s="352"/>
      <c r="S47" s="1366" t="str">
        <f>$I47</f>
        <v>....1</v>
      </c>
      <c r="T47" s="273" t="s">
        <v>394</v>
      </c>
      <c r="U47" s="288"/>
      <c r="V47" s="2095"/>
      <c r="W47" s="2096"/>
      <c r="X47" s="2096"/>
      <c r="Y47" s="2096"/>
      <c r="Z47" s="2096"/>
      <c r="AA47" s="2096"/>
      <c r="AB47" s="2096"/>
      <c r="AC47" s="2097"/>
      <c r="AD47" s="2095"/>
      <c r="AE47" s="2096"/>
      <c r="AF47" s="2096"/>
      <c r="AG47" s="2096"/>
      <c r="AH47" s="2096"/>
      <c r="AI47" s="2096"/>
      <c r="AJ47" s="2096"/>
      <c r="AK47" s="2096"/>
      <c r="AL47" s="2097"/>
      <c r="AM47" s="1286" t="s">
        <v>395</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190</v>
      </c>
      <c r="B48" s="1393" t="s">
        <v>191</v>
      </c>
      <c r="C48" s="1393" t="s">
        <v>192</v>
      </c>
      <c r="D48" s="1393" t="s">
        <v>193</v>
      </c>
      <c r="E48" s="2108"/>
      <c r="F48" s="2108"/>
      <c r="G48" s="2108"/>
      <c r="H48" s="2108"/>
      <c r="I48" s="2110"/>
      <c r="J48" s="2109" t="str">
        <f>I47&amp;".1"</f>
        <v>....1.1</v>
      </c>
      <c r="K48" s="1393"/>
      <c r="L48" s="1394" t="s">
        <v>396</v>
      </c>
      <c r="P48" s="2111"/>
      <c r="Q48" s="2111">
        <v>1</v>
      </c>
      <c r="R48" s="353"/>
      <c r="S48" s="1366" t="str">
        <f>$J48</f>
        <v>....1.1</v>
      </c>
      <c r="T48" s="274" t="s">
        <v>397</v>
      </c>
      <c r="U48" s="288"/>
      <c r="V48" s="2095"/>
      <c r="W48" s="2096"/>
      <c r="X48" s="2096"/>
      <c r="Y48" s="2096"/>
      <c r="Z48" s="2096"/>
      <c r="AA48" s="2096"/>
      <c r="AB48" s="2096"/>
      <c r="AC48" s="2097"/>
      <c r="AD48" s="2095"/>
      <c r="AE48" s="2096"/>
      <c r="AF48" s="2096"/>
      <c r="AG48" s="2096"/>
      <c r="AH48" s="2096"/>
      <c r="AI48" s="2096"/>
      <c r="AJ48" s="2096"/>
      <c r="AK48" s="2096"/>
      <c r="AL48" s="2097"/>
      <c r="AM48" s="1286" t="s">
        <v>398</v>
      </c>
      <c r="AO48" s="506"/>
      <c r="AP48" s="506" t="str">
        <f>IF(T48="","",T48)</f>
        <v>Группа потребителей</v>
      </c>
      <c r="AQ48" s="506"/>
      <c r="AR48" s="506"/>
    </row>
    <row customHeight="1" ht="21">
      <c r="A49" s="1393" t="s">
        <v>190</v>
      </c>
      <c r="B49" s="1393" t="s">
        <v>191</v>
      </c>
      <c r="C49" s="1393" t="s">
        <v>192</v>
      </c>
      <c r="D49" s="1393" t="s">
        <v>193</v>
      </c>
      <c r="E49" s="2108"/>
      <c r="F49" s="2108"/>
      <c r="G49" s="2108"/>
      <c r="H49" s="2108"/>
      <c r="I49" s="2110"/>
      <c r="J49" s="2110"/>
      <c r="K49" s="2109" t="str">
        <f>J48&amp;".1"</f>
        <v>....1.1.1</v>
      </c>
      <c r="L49" s="1394" t="s">
        <v>399</v>
      </c>
      <c r="P49" s="2111"/>
      <c r="Q49" s="2111"/>
      <c r="R49" s="353">
        <v>1</v>
      </c>
      <c r="S49" s="1366" t="str">
        <f>$K49</f>
        <v>....1.1.1</v>
      </c>
      <c r="T49" s="1377"/>
      <c r="U49" s="288"/>
      <c r="V49" s="320"/>
      <c r="W49" s="757"/>
      <c r="X49" s="320"/>
      <c r="Y49" s="390"/>
      <c r="Z49" s="2112"/>
      <c r="AA49" s="1981" t="s">
        <v>60</v>
      </c>
      <c r="AB49" s="2112"/>
      <c r="AC49" s="1981" t="s">
        <v>60</v>
      </c>
      <c r="AD49" s="320"/>
      <c r="AE49" s="757"/>
      <c r="AF49" s="320"/>
      <c r="AG49" s="390"/>
      <c r="AH49" s="2112"/>
      <c r="AI49" s="1981" t="s">
        <v>60</v>
      </c>
      <c r="AJ49" s="2114"/>
      <c r="AK49" s="1981" t="s">
        <v>60</v>
      </c>
      <c r="AL49" s="1378"/>
      <c r="AM49" s="2137" t="s">
        <v>400</v>
      </c>
      <c r="AN49" s="517">
        <f>STRCHECKDATE(V50:AL50)</f>
      </c>
      <c r="AO49" s="506"/>
      <c r="AP49" s="506" t="str">
        <f>IF(T49="","",T49)</f>
        <v/>
      </c>
      <c r="AQ49" s="506"/>
      <c r="AR49" s="506"/>
    </row>
    <row customHeight="1" ht="0.75">
      <c r="A50" s="1393" t="s">
        <v>190</v>
      </c>
      <c r="B50" s="1393" t="s">
        <v>191</v>
      </c>
      <c r="C50" s="1393" t="s">
        <v>192</v>
      </c>
      <c r="D50" s="1393" t="s">
        <v>193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190</v>
      </c>
      <c r="B51" s="1393" t="s">
        <v>191</v>
      </c>
      <c r="C51" s="1393" t="s">
        <v>192</v>
      </c>
      <c r="D51" s="1393" t="s">
        <v>193</v>
      </c>
      <c r="E51" s="2108"/>
      <c r="F51" s="2108"/>
      <c r="G51" s="2108"/>
      <c r="H51" s="2108"/>
      <c r="I51" s="2110"/>
      <c r="J51" s="2109"/>
      <c r="K51" s="1393"/>
      <c r="L51" s="1394"/>
      <c r="P51" s="2111"/>
      <c r="Q51" s="2111"/>
      <c r="R51" s="352"/>
      <c r="S51" s="1308"/>
      <c r="T51" s="276" t="s">
        <v>401</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190</v>
      </c>
      <c r="B52" s="1393" t="s">
        <v>191</v>
      </c>
      <c r="C52" s="1393" t="s">
        <v>192</v>
      </c>
      <c r="D52" s="1393" t="s">
        <v>193</v>
      </c>
      <c r="E52" s="2108"/>
      <c r="F52" s="2108"/>
      <c r="G52" s="2108"/>
      <c r="H52" s="2108"/>
      <c r="I52" s="2109"/>
      <c r="J52" s="1393"/>
      <c r="K52" s="1393"/>
      <c r="L52" s="1394"/>
      <c r="P52" s="2111"/>
      <c r="Q52" s="1361"/>
      <c r="R52" s="352"/>
      <c r="S52" s="1308"/>
      <c r="T52" s="275" t="s">
        <v>402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190</v>
      </c>
      <c r="B53" s="1393" t="s">
        <v>191</v>
      </c>
      <c r="C53" s="1393" t="s">
        <v>192</v>
      </c>
      <c r="D53" s="1393" t="s">
        <v>193</v>
      </c>
      <c r="E53" s="2108"/>
      <c r="F53" s="2108"/>
      <c r="G53" s="2108"/>
      <c r="H53" s="2107"/>
      <c r="I53" s="1393"/>
      <c r="J53" s="1393"/>
      <c r="K53" s="1393"/>
      <c r="L53" s="1394"/>
      <c r="M53" s="1395"/>
      <c r="N53" s="1395"/>
      <c r="O53" s="543"/>
      <c r="P53" s="356"/>
      <c r="Q53" s="376"/>
      <c r="R53" s="351"/>
      <c r="S53" s="1308"/>
      <c r="T53" s="364" t="s">
        <v>403</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190</v>
      </c>
      <c r="B54" s="1373" t="s">
        <v>191</v>
      </c>
      <c r="C54" s="1373" t="s">
        <v>192</v>
      </c>
      <c r="D54" s="1344"/>
      <c r="E54" s="2108"/>
      <c r="F54" s="2108"/>
      <c r="G54" s="2107"/>
      <c r="H54" s="1344"/>
      <c r="I54" s="1344"/>
      <c r="J54" s="1344"/>
      <c r="K54" s="1344"/>
      <c r="L54" s="1369"/>
      <c r="M54" s="1345"/>
      <c r="N54" s="1345"/>
      <c r="P54" s="1346"/>
      <c r="Q54" s="1347"/>
      <c r="R54" s="1346"/>
      <c r="S54" s="1352"/>
      <c r="T54" s="1355" t="s">
        <v>404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190</v>
      </c>
      <c r="B55" s="1373" t="s">
        <v>191</v>
      </c>
      <c r="C55" s="1344"/>
      <c r="D55" s="1344"/>
      <c r="E55" s="2108"/>
      <c r="F55" s="2107"/>
      <c r="G55" s="1344"/>
      <c r="H55" s="1344"/>
      <c r="I55" s="1344"/>
      <c r="J55" s="1344"/>
      <c r="K55" s="1344"/>
      <c r="L55" s="1369"/>
      <c r="M55" s="1351"/>
      <c r="N55" s="1351"/>
      <c r="P55" s="1346"/>
      <c r="Q55" s="1347"/>
      <c r="R55" s="1346"/>
      <c r="S55" s="1352"/>
      <c r="T55" s="1355" t="s">
        <v>214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190</v>
      </c>
      <c r="B56" s="1373"/>
      <c r="C56" s="1373"/>
      <c r="D56" s="1373"/>
      <c r="E56" s="2107"/>
      <c r="F56" s="1373"/>
      <c r="G56" s="1373"/>
      <c r="H56" s="1373"/>
      <c r="I56" s="1373"/>
      <c r="J56" s="1373"/>
      <c r="K56" s="1373"/>
      <c r="L56" s="1376"/>
      <c r="M56" s="1351"/>
      <c r="N56" s="1351"/>
      <c r="O56" s="524"/>
      <c r="P56" s="385"/>
      <c r="Q56" s="1374"/>
      <c r="R56" s="385"/>
      <c r="S56" s="1352"/>
      <c r="T56" s="1355" t="s">
        <v>215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216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CB47D-483D-9DC1-0744-CA334DD7C92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386</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387</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388</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389</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390</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391</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392</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393</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396</v>
      </c>
      <c r="M7" s="543"/>
      <c r="N7" s="1396"/>
      <c r="P7" s="2111"/>
      <c r="Q7" s="2111">
        <v>1</v>
      </c>
      <c r="R7" s="353"/>
      <c r="S7" s="1366">
        <f>$J7</f>
      </c>
      <c r="T7" s="274" t="s">
        <v>397</v>
      </c>
      <c r="U7" s="288"/>
      <c r="V7" s="2095"/>
      <c r="W7" s="2096"/>
      <c r="X7" s="2096"/>
      <c r="Y7" s="2096"/>
      <c r="Z7" s="2096"/>
      <c r="AA7" s="2096"/>
      <c r="AB7" s="2096"/>
      <c r="AC7" s="2097"/>
      <c r="AD7" s="2095"/>
      <c r="AE7" s="2096"/>
      <c r="AF7" s="2096"/>
      <c r="AG7" s="2096"/>
      <c r="AH7" s="2096"/>
      <c r="AI7" s="2096"/>
      <c r="AJ7" s="2096"/>
      <c r="AK7" s="2096"/>
      <c r="AL7" s="2097"/>
      <c r="AM7" s="1286" t="s">
        <v>398</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399</v>
      </c>
      <c r="M8" s="543"/>
      <c r="N8" s="1396"/>
      <c r="O8" s="1396"/>
      <c r="P8" s="2111"/>
      <c r="Q8" s="2111"/>
      <c r="R8" s="353">
        <v>1</v>
      </c>
      <c r="S8" s="1366">
        <f>$K8</f>
      </c>
      <c r="T8" s="1377"/>
      <c r="U8" s="288"/>
      <c r="V8" s="757"/>
      <c r="W8" s="320"/>
      <c r="X8" s="757"/>
      <c r="Y8" s="1285"/>
      <c r="Z8" s="2112"/>
      <c r="AA8" s="1981" t="s">
        <v>60</v>
      </c>
      <c r="AB8" s="2112"/>
      <c r="AC8" s="1981" t="s">
        <v>60</v>
      </c>
      <c r="AD8" s="757"/>
      <c r="AE8" s="320"/>
      <c r="AF8" s="757"/>
      <c r="AG8" s="1285"/>
      <c r="AH8" s="2112"/>
      <c r="AI8" s="1981" t="s">
        <v>60</v>
      </c>
      <c r="AJ8" s="2112"/>
      <c r="AK8" s="1981" t="s">
        <v>60</v>
      </c>
      <c r="AL8" s="320"/>
      <c r="AM8" s="2137" t="s">
        <v>400</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401</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214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215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60</v>
      </c>
      <c r="AJ17" s="2105"/>
      <c r="AK17" s="2104" t="s">
        <v>60</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 (филиал в г. Глазове)</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строительства, жилищно-коммунального хозяйства и энергетики УР</v>
      </c>
      <c r="W29" s="2100"/>
      <c r="X29" s="2100"/>
      <c r="Y29" s="2100"/>
      <c r="Z29" s="2100"/>
      <c r="AA29" s="2100"/>
      <c r="AB29" s="2100"/>
      <c r="AC29" s="322"/>
      <c r="AD29" s="2100" t="str">
        <f>IF(TITLE_NAME_OR_PR_CHANGE="",IF(TITLE_NAME_OR_PR="","",TITLE_NAME_OR_PR),TITLE_NAME_OR_PR_CHANGE)</f>
        <v>Министерство строительства, жилищно-коммунального хозяйства и энергетики УР</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45272.383726851855</v>
      </c>
      <c r="W30" s="2099"/>
      <c r="X30" s="2099"/>
      <c r="Y30" s="2099"/>
      <c r="Z30" s="2099"/>
      <c r="AA30" s="2099"/>
      <c r="AB30" s="2099"/>
      <c r="AC30" s="322"/>
      <c r="AD30" s="2099" t="str">
        <f>IF(TITLE_DATE_PR_CHANGE="",IF(TITLE_DATE_PR="","",TITLE_DATE_PR),TITLE_DATE_PR_CHANGE)</f>
        <v>45272.383726851855</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30/68</v>
      </c>
      <c r="W31" s="2100"/>
      <c r="X31" s="2100"/>
      <c r="Y31" s="2100"/>
      <c r="Z31" s="2100"/>
      <c r="AA31" s="2100"/>
      <c r="AB31" s="2100"/>
      <c r="AC31" s="322"/>
      <c r="AD31" s="2100" t="str">
        <f>IF(TITLE_NUMBER_PR_CHANGE="",IF(TITLE_NUMBER_PR="","",TITLE_NUMBER_PR),TITLE_NUMBER_PR_CHANGE)</f>
        <v>30/68</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www.udmurt.ru</v>
      </c>
      <c r="W32" s="2100"/>
      <c r="X32" s="2100"/>
      <c r="Y32" s="2100"/>
      <c r="Z32" s="2100"/>
      <c r="AA32" s="2100"/>
      <c r="AB32" s="2100"/>
      <c r="AC32" s="322"/>
      <c r="AD32" s="2100" t="str">
        <f>IF(TITLE_IST_PUB_CHANGE="",IF(TITLE_IST_PUB="","",TITLE_IST_PUB),TITLE_IST_PUB_CHANGE)</f>
        <v>www.udmurt.ru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45272.383726851855</v>
      </c>
      <c r="W34" s="2099"/>
      <c r="X34" s="2099"/>
      <c r="Y34" s="2099"/>
      <c r="Z34" s="2099"/>
      <c r="AA34" s="2099"/>
      <c r="AB34" s="2099"/>
      <c r="AC34" s="322"/>
      <c r="AD34" s="2099" t="str">
        <f>IF(TITLE_DATE_PR_CHANGE="",IF(TITLE_DATE_PR="","",TITLE_DATE_PR),TITLE_DATE_PR_CHANGE)</f>
        <v>45272.383726851855</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30/68</v>
      </c>
      <c r="W35" s="2100"/>
      <c r="X35" s="2100"/>
      <c r="Y35" s="2100"/>
      <c r="Z35" s="2100"/>
      <c r="AA35" s="2100"/>
      <c r="AB35" s="2100"/>
      <c r="AC35" s="322"/>
      <c r="AD35" s="2100" t="str">
        <f>IF(TITLE_NUMBER_PR_CHANGE="",IF(TITLE_NUMBER_PR="","",TITLE_NUMBER_PR),TITLE_NUMBER_PR_CHANGE)</f>
        <v>30/68</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288</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289</v>
      </c>
    </row>
    <row customHeight="1" ht="14.25">
      <c r="Q39" s="377"/>
      <c r="R39" s="377"/>
      <c r="S39" s="2125" t="s">
        <v>86</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c r="X40" s="2118" t="s">
        <v>423</v>
      </c>
      <c r="Y40" s="2120"/>
      <c r="Z40" s="2118" t="s">
        <v>424</v>
      </c>
      <c r="AA40" s="2119"/>
      <c r="AB40" s="2120"/>
      <c r="AC40" s="2130"/>
      <c r="AD40" s="2135" t="s">
        <v>421</v>
      </c>
      <c r="AE40" s="2116"/>
      <c r="AF40" s="2118" t="s">
        <v>423</v>
      </c>
      <c r="AG40" s="2120"/>
      <c r="AH40" s="2118" t="s">
        <v>424</v>
      </c>
      <c r="AI40" s="2119"/>
      <c r="AJ40" s="2120"/>
      <c r="AK40" s="2130"/>
      <c r="AL40" s="2133"/>
      <c r="AM40" s="1971"/>
    </row>
    <row customHeight="1" ht="33.75">
      <c r="A41" s="1400"/>
      <c r="B41" s="1400" t="s">
        <v>133</v>
      </c>
      <c r="C41" s="1400" t="s">
        <v>134</v>
      </c>
      <c r="D41" s="1400" t="s">
        <v>135</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368" t="s">
        <v>434</v>
      </c>
      <c r="AA41" s="2121" t="s">
        <v>435</v>
      </c>
      <c r="AB41" s="2122"/>
      <c r="AC41" s="2131"/>
      <c r="AD41" s="2136"/>
      <c r="AE41" s="2117"/>
      <c r="AF41" s="1237" t="s">
        <v>432</v>
      </c>
      <c r="AG41" s="1237" t="s">
        <v>433</v>
      </c>
      <c r="AH41" s="1368" t="s">
        <v>434</v>
      </c>
      <c r="AI41" s="2121" t="s">
        <v>435</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166</v>
      </c>
      <c r="B44" s="1393" t="s">
        <v>167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387</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388</v>
      </c>
      <c r="AO44" s="506"/>
      <c r="AP44" s="506" t="str">
        <f>IF(T44="","",T44)</f>
        <v>Территория действия тарифа</v>
      </c>
      <c r="AQ44" s="506"/>
      <c r="AR44" s="506"/>
    </row>
    <row customHeight="1" ht="23.25">
      <c r="A45" s="1393" t="s">
        <v>166</v>
      </c>
      <c r="B45" s="1393" t="s">
        <v>167</v>
      </c>
      <c r="C45" s="1393" t="s">
        <v>168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389</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390</v>
      </c>
      <c r="AO45" s="506"/>
      <c r="AP45" s="506" t="str">
        <f>IF(T45="","",T45)</f>
        <v>Наименование системы теплоснабжения </v>
      </c>
      <c r="AQ45" s="506"/>
      <c r="AR45" s="506"/>
    </row>
    <row customHeight="1" ht="21">
      <c r="A46" s="1393" t="s">
        <v>166</v>
      </c>
      <c r="B46" s="1393" t="s">
        <v>167</v>
      </c>
      <c r="C46" s="1393" t="s">
        <v>168</v>
      </c>
      <c r="D46" s="1393" t="s">
        <v>169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391</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392</v>
      </c>
      <c r="AO46" s="506"/>
      <c r="AP46" s="506" t="str">
        <f>IF(T46="","",T46)</f>
        <v>Источник тепловой энергии  </v>
      </c>
      <c r="AQ46" s="506"/>
      <c r="AR46" s="506"/>
    </row>
    <row s="2613" customFormat="1" customHeight="1" ht="0">
      <c r="A47" s="1373" t="s">
        <v>166</v>
      </c>
      <c r="B47" s="1373" t="s">
        <v>167</v>
      </c>
      <c r="C47" s="1373" t="s">
        <v>168</v>
      </c>
      <c r="D47" s="1373" t="s">
        <v>169</v>
      </c>
      <c r="E47" s="2108"/>
      <c r="F47" s="2108"/>
      <c r="G47" s="2108"/>
      <c r="H47" s="2108"/>
      <c r="I47" s="2109" t="str">
        <f>S46&amp;".1"</f>
        <v>....1</v>
      </c>
      <c r="J47" s="1373"/>
      <c r="K47" s="1373"/>
      <c r="L47" s="1376" t="s">
        <v>393</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166</v>
      </c>
      <c r="B48" s="1393" t="s">
        <v>167</v>
      </c>
      <c r="C48" s="1393" t="s">
        <v>168</v>
      </c>
      <c r="D48" s="1393" t="s">
        <v>169</v>
      </c>
      <c r="E48" s="2108"/>
      <c r="F48" s="2108"/>
      <c r="G48" s="2108"/>
      <c r="H48" s="2108"/>
      <c r="I48" s="2110"/>
      <c r="J48" s="2109" t="str">
        <f>S46&amp;".1"</f>
        <v>....1</v>
      </c>
      <c r="K48" s="1393"/>
      <c r="L48" s="1394" t="s">
        <v>396</v>
      </c>
      <c r="P48" s="2111"/>
      <c r="Q48" s="2111">
        <v>1</v>
      </c>
      <c r="R48" s="353"/>
      <c r="S48" s="1366" t="str">
        <f>$J48</f>
        <v>....1</v>
      </c>
      <c r="T48" s="274" t="s">
        <v>397</v>
      </c>
      <c r="U48" s="288"/>
      <c r="V48" s="2095"/>
      <c r="W48" s="2096"/>
      <c r="X48" s="2096"/>
      <c r="Y48" s="2096"/>
      <c r="Z48" s="2096"/>
      <c r="AA48" s="2096"/>
      <c r="AB48" s="2096"/>
      <c r="AC48" s="2097"/>
      <c r="AD48" s="2095"/>
      <c r="AE48" s="2096"/>
      <c r="AF48" s="2096"/>
      <c r="AG48" s="2096"/>
      <c r="AH48" s="2096"/>
      <c r="AI48" s="2096"/>
      <c r="AJ48" s="2096"/>
      <c r="AK48" s="2096"/>
      <c r="AL48" s="2097"/>
      <c r="AM48" s="1286" t="s">
        <v>398</v>
      </c>
      <c r="AO48" s="506"/>
      <c r="AP48" s="506" t="str">
        <f>IF(T48="","",T48)</f>
        <v>Группа потребителей</v>
      </c>
      <c r="AQ48" s="506"/>
      <c r="AR48" s="506"/>
    </row>
    <row customHeight="1" ht="21">
      <c r="A49" s="1393" t="s">
        <v>166</v>
      </c>
      <c r="B49" s="1393" t="s">
        <v>167</v>
      </c>
      <c r="C49" s="1393" t="s">
        <v>168</v>
      </c>
      <c r="D49" s="1393" t="s">
        <v>169</v>
      </c>
      <c r="E49" s="2108"/>
      <c r="F49" s="2108"/>
      <c r="G49" s="2108"/>
      <c r="H49" s="2108"/>
      <c r="I49" s="2110"/>
      <c r="J49" s="2110"/>
      <c r="K49" s="2109" t="str">
        <f>J48&amp;".1"</f>
        <v>....1.1</v>
      </c>
      <c r="L49" s="1394" t="s">
        <v>399</v>
      </c>
      <c r="P49" s="2111"/>
      <c r="Q49" s="2111"/>
      <c r="R49" s="353">
        <v>1</v>
      </c>
      <c r="S49" s="1366" t="str">
        <f>$K49</f>
        <v>....1.1</v>
      </c>
      <c r="T49" s="1377"/>
      <c r="U49" s="288"/>
      <c r="V49" s="757"/>
      <c r="W49" s="320"/>
      <c r="X49" s="757"/>
      <c r="Y49" s="1285"/>
      <c r="Z49" s="2112"/>
      <c r="AA49" s="1981" t="s">
        <v>60</v>
      </c>
      <c r="AB49" s="2112"/>
      <c r="AC49" s="1981" t="s">
        <v>60</v>
      </c>
      <c r="AD49" s="757"/>
      <c r="AE49" s="320"/>
      <c r="AF49" s="757"/>
      <c r="AG49" s="1285"/>
      <c r="AH49" s="2112"/>
      <c r="AI49" s="1981" t="s">
        <v>60</v>
      </c>
      <c r="AJ49" s="2114"/>
      <c r="AK49" s="1981" t="s">
        <v>60</v>
      </c>
      <c r="AL49" s="1378"/>
      <c r="AM49" s="2137" t="s">
        <v>437</v>
      </c>
      <c r="AN49" s="517">
        <f>STRCHECKDATE(V50:AL50)</f>
      </c>
      <c r="AO49" s="506"/>
      <c r="AP49" s="506" t="str">
        <f>IF(T49="","",T49)</f>
        <v/>
      </c>
      <c r="AQ49" s="506"/>
      <c r="AR49" s="506"/>
    </row>
    <row customHeight="1" ht="0.75">
      <c r="A50" s="1393" t="s">
        <v>166</v>
      </c>
      <c r="B50" s="1393" t="s">
        <v>167</v>
      </c>
      <c r="C50" s="1393" t="s">
        <v>168</v>
      </c>
      <c r="D50" s="1393" t="s">
        <v>169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166</v>
      </c>
      <c r="B51" s="1393" t="s">
        <v>167</v>
      </c>
      <c r="C51" s="1393" t="s">
        <v>168</v>
      </c>
      <c r="D51" s="1393" t="s">
        <v>169</v>
      </c>
      <c r="E51" s="2108"/>
      <c r="F51" s="2108"/>
      <c r="G51" s="2108"/>
      <c r="H51" s="2108"/>
      <c r="I51" s="2110"/>
      <c r="J51" s="2109"/>
      <c r="K51" s="1393"/>
      <c r="L51" s="1394"/>
      <c r="P51" s="2111"/>
      <c r="Q51" s="2111"/>
      <c r="R51" s="352"/>
      <c r="S51" s="1308"/>
      <c r="T51" s="275" t="s">
        <v>401</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166</v>
      </c>
      <c r="B52" s="1393" t="s">
        <v>167</v>
      </c>
      <c r="C52" s="1393" t="s">
        <v>168</v>
      </c>
      <c r="D52" s="1393" t="s">
        <v>169</v>
      </c>
      <c r="E52" s="2108"/>
      <c r="F52" s="2108"/>
      <c r="G52" s="2108"/>
      <c r="H52" s="2108"/>
      <c r="I52" s="2109"/>
      <c r="J52" s="1393"/>
      <c r="K52" s="1393"/>
      <c r="L52" s="1394"/>
      <c r="P52" s="2111"/>
      <c r="Q52" s="1361"/>
      <c r="R52" s="352"/>
      <c r="S52" s="1308"/>
      <c r="T52" s="364" t="s">
        <v>402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166</v>
      </c>
      <c r="B53" s="1393" t="s">
        <v>167</v>
      </c>
      <c r="C53" s="1393" t="s">
        <v>168</v>
      </c>
      <c r="D53" s="1393" t="s">
        <v>169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166</v>
      </c>
      <c r="B54" s="1373" t="s">
        <v>167</v>
      </c>
      <c r="C54" s="1373" t="s">
        <v>168</v>
      </c>
      <c r="D54" s="1344"/>
      <c r="E54" s="2108"/>
      <c r="F54" s="2108"/>
      <c r="G54" s="2107"/>
      <c r="H54" s="1344"/>
      <c r="I54" s="1344"/>
      <c r="J54" s="1344"/>
      <c r="K54" s="1344"/>
      <c r="L54" s="1369"/>
      <c r="M54" s="1345"/>
      <c r="N54" s="1345"/>
      <c r="P54" s="1346"/>
      <c r="Q54" s="1347"/>
      <c r="R54" s="1346"/>
      <c r="S54" s="1352"/>
      <c r="T54" s="1355" t="s">
        <v>404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166</v>
      </c>
      <c r="B55" s="1373" t="s">
        <v>167</v>
      </c>
      <c r="C55" s="1344"/>
      <c r="D55" s="1344"/>
      <c r="E55" s="2108"/>
      <c r="F55" s="2107"/>
      <c r="G55" s="1344"/>
      <c r="H55" s="1344"/>
      <c r="I55" s="1344"/>
      <c r="J55" s="1344"/>
      <c r="K55" s="1344"/>
      <c r="L55" s="1369"/>
      <c r="M55" s="1351"/>
      <c r="N55" s="1351"/>
      <c r="P55" s="1346"/>
      <c r="Q55" s="1347"/>
      <c r="R55" s="1346"/>
      <c r="S55" s="1352"/>
      <c r="T55" s="1355" t="s">
        <v>214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166</v>
      </c>
      <c r="B56" s="1373"/>
      <c r="C56" s="1373"/>
      <c r="D56" s="1373"/>
      <c r="E56" s="2107"/>
      <c r="F56" s="1373"/>
      <c r="G56" s="1373"/>
      <c r="H56" s="1373"/>
      <c r="I56" s="1373"/>
      <c r="J56" s="1373"/>
      <c r="K56" s="1373"/>
      <c r="L56" s="1376"/>
      <c r="M56" s="1351"/>
      <c r="N56" s="1351"/>
      <c r="O56" s="524"/>
      <c r="P56" s="385"/>
      <c r="Q56" s="1374"/>
      <c r="R56" s="385"/>
      <c r="S56" s="1352"/>
      <c r="T56" s="1355" t="s">
        <v>215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216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D8812-BF21-55DC-3F41-1B6CD17CF48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3" width="10.57421875"/>
    <col min="42" max="42" style="2613" width="11.140625" customWidth="1"/>
    <col min="43" max="44" style="2613"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386</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387</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388</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389</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390</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391</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392</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393</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396</v>
      </c>
      <c r="M7" s="543"/>
      <c r="N7" s="1396"/>
      <c r="P7" s="2111"/>
      <c r="Q7" s="2111">
        <v>1</v>
      </c>
      <c r="R7" s="353"/>
      <c r="S7" s="1366">
        <f>$J7</f>
      </c>
      <c r="T7" s="274" t="s">
        <v>397</v>
      </c>
      <c r="U7" s="288"/>
      <c r="V7" s="2095"/>
      <c r="W7" s="2096"/>
      <c r="X7" s="2096"/>
      <c r="Y7" s="2096"/>
      <c r="Z7" s="2096"/>
      <c r="AA7" s="2096"/>
      <c r="AB7" s="2096"/>
      <c r="AC7" s="2097"/>
      <c r="AD7" s="2095"/>
      <c r="AE7" s="2096"/>
      <c r="AF7" s="2096"/>
      <c r="AG7" s="2096"/>
      <c r="AH7" s="2096"/>
      <c r="AI7" s="2096"/>
      <c r="AJ7" s="2096"/>
      <c r="AK7" s="2096"/>
      <c r="AL7" s="2097"/>
      <c r="AM7" s="1286" t="s">
        <v>398</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399</v>
      </c>
      <c r="M8" s="543"/>
      <c r="N8" s="1396"/>
      <c r="O8" s="1396"/>
      <c r="P8" s="2111"/>
      <c r="Q8" s="2111"/>
      <c r="R8" s="353">
        <v>1</v>
      </c>
      <c r="S8" s="1366">
        <f>$K8</f>
      </c>
      <c r="T8" s="1377"/>
      <c r="U8" s="288"/>
      <c r="V8" s="757"/>
      <c r="W8" s="320"/>
      <c r="X8" s="757"/>
      <c r="Y8" s="1285"/>
      <c r="Z8" s="2112"/>
      <c r="AA8" s="1981" t="s">
        <v>60</v>
      </c>
      <c r="AB8" s="2112"/>
      <c r="AC8" s="1981" t="s">
        <v>60</v>
      </c>
      <c r="AD8" s="757"/>
      <c r="AE8" s="320"/>
      <c r="AF8" s="757"/>
      <c r="AG8" s="1285"/>
      <c r="AH8" s="2112"/>
      <c r="AI8" s="1981" t="s">
        <v>60</v>
      </c>
      <c r="AJ8" s="2112"/>
      <c r="AK8" s="1981" t="s">
        <v>60</v>
      </c>
      <c r="AL8" s="320"/>
      <c r="AM8" s="2137" t="s">
        <v>400</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401</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214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215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60</v>
      </c>
      <c r="AJ17" s="2105"/>
      <c r="AK17" s="2104" t="s">
        <v>60</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"РИР" (филиал в г. Глазове)</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строительства, жилищно-коммунального хозяйства и энергетики УР</v>
      </c>
      <c r="W29" s="2100"/>
      <c r="X29" s="2100"/>
      <c r="Y29" s="2100"/>
      <c r="Z29" s="2100"/>
      <c r="AA29" s="2100"/>
      <c r="AB29" s="2100"/>
      <c r="AC29" s="322"/>
      <c r="AD29" s="2100" t="str">
        <f>IF(TITLE_NAME_OR_PR_CHANGE="",IF(TITLE_NAME_OR_PR="","",TITLE_NAME_OR_PR),TITLE_NAME_OR_PR_CHANGE)</f>
        <v>Министерство строительства, жилищно-коммунального хозяйства и энергетики УР</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45272.383726851855</v>
      </c>
      <c r="W30" s="2099"/>
      <c r="X30" s="2099"/>
      <c r="Y30" s="2099"/>
      <c r="Z30" s="2099"/>
      <c r="AA30" s="2099"/>
      <c r="AB30" s="2099"/>
      <c r="AC30" s="322"/>
      <c r="AD30" s="2099" t="str">
        <f>IF(TITLE_DATE_PR_CHANGE="",IF(TITLE_DATE_PR="","",TITLE_DATE_PR),TITLE_DATE_PR_CHANGE)</f>
        <v>45272.383726851855</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30/68</v>
      </c>
      <c r="W31" s="2100"/>
      <c r="X31" s="2100"/>
      <c r="Y31" s="2100"/>
      <c r="Z31" s="2100"/>
      <c r="AA31" s="2100"/>
      <c r="AB31" s="2100"/>
      <c r="AC31" s="322"/>
      <c r="AD31" s="2100" t="str">
        <f>IF(TITLE_NUMBER_PR_CHANGE="",IF(TITLE_NUMBER_PR="","",TITLE_NUMBER_PR),TITLE_NUMBER_PR_CHANGE)</f>
        <v>30/68</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www.udmurt.ru</v>
      </c>
      <c r="W32" s="2100"/>
      <c r="X32" s="2100"/>
      <c r="Y32" s="2100"/>
      <c r="Z32" s="2100"/>
      <c r="AA32" s="2100"/>
      <c r="AB32" s="2100"/>
      <c r="AC32" s="322"/>
      <c r="AD32" s="2100" t="str">
        <f>IF(TITLE_IST_PUB_CHANGE="",IF(TITLE_IST_PUB="","",TITLE_IST_PUB),TITLE_IST_PUB_CHANGE)</f>
        <v>www.udmurt.ru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45272.383726851855</v>
      </c>
      <c r="W34" s="2099"/>
      <c r="X34" s="2099"/>
      <c r="Y34" s="2099"/>
      <c r="Z34" s="2099"/>
      <c r="AA34" s="2099"/>
      <c r="AB34" s="2099"/>
      <c r="AC34" s="322"/>
      <c r="AD34" s="2099" t="str">
        <f>IF(TITLE_DATE_PR_CHANGE="",IF(TITLE_DATE_PR="","",TITLE_DATE_PR),TITLE_DATE_PR_CHANGE)</f>
        <v>45272.383726851855</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30/68</v>
      </c>
      <c r="W35" s="2100"/>
      <c r="X35" s="2100"/>
      <c r="Y35" s="2100"/>
      <c r="Z35" s="2100"/>
      <c r="AA35" s="2100"/>
      <c r="AB35" s="2100"/>
      <c r="AC35" s="322"/>
      <c r="AD35" s="2100" t="str">
        <f>IF(TITLE_NUMBER_PR_CHANGE="",IF(TITLE_NUMBER_PR="","",TITLE_NUMBER_PR),TITLE_NUMBER_PR_CHANGE)</f>
        <v>30/68</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288</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289</v>
      </c>
    </row>
    <row customHeight="1" ht="14.25">
      <c r="Q39" s="377"/>
      <c r="R39" s="377"/>
      <c r="S39" s="2125" t="s">
        <v>86</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c r="X40" s="2118" t="s">
        <v>423</v>
      </c>
      <c r="Y40" s="2120"/>
      <c r="Z40" s="2118" t="s">
        <v>424</v>
      </c>
      <c r="AA40" s="2119"/>
      <c r="AB40" s="2120"/>
      <c r="AC40" s="2130"/>
      <c r="AD40" s="2135" t="s">
        <v>421</v>
      </c>
      <c r="AE40" s="2116"/>
      <c r="AF40" s="2118" t="s">
        <v>423</v>
      </c>
      <c r="AG40" s="2120"/>
      <c r="AH40" s="2118" t="s">
        <v>424</v>
      </c>
      <c r="AI40" s="2119"/>
      <c r="AJ40" s="2120"/>
      <c r="AK40" s="2130"/>
      <c r="AL40" s="2133"/>
      <c r="AM40" s="1971"/>
    </row>
    <row customHeight="1" ht="33.75">
      <c r="A41" s="1400"/>
      <c r="B41" s="1400" t="s">
        <v>133</v>
      </c>
      <c r="C41" s="1400" t="s">
        <v>134</v>
      </c>
      <c r="D41" s="1400" t="s">
        <v>135</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368" t="s">
        <v>434</v>
      </c>
      <c r="AA41" s="2121" t="s">
        <v>435</v>
      </c>
      <c r="AB41" s="2122"/>
      <c r="AC41" s="2131"/>
      <c r="AD41" s="2136"/>
      <c r="AE41" s="2117"/>
      <c r="AF41" s="1237" t="s">
        <v>432</v>
      </c>
      <c r="AG41" s="1237" t="s">
        <v>433</v>
      </c>
      <c r="AH41" s="1368" t="s">
        <v>434</v>
      </c>
      <c r="AI41" s="2121" t="s">
        <v>435</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178</v>
      </c>
      <c r="B44" s="1393" t="s">
        <v>179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387</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388</v>
      </c>
      <c r="AO44" s="506"/>
      <c r="AP44" s="506" t="str">
        <f>IF(T44="","",T44)</f>
        <v>Территория действия тарифа</v>
      </c>
      <c r="AQ44" s="506"/>
      <c r="AR44" s="506"/>
    </row>
    <row customHeight="1" ht="23.25">
      <c r="A45" s="1393" t="s">
        <v>178</v>
      </c>
      <c r="B45" s="1393" t="s">
        <v>179</v>
      </c>
      <c r="C45" s="1393" t="s">
        <v>180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389</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390</v>
      </c>
      <c r="AO45" s="506"/>
      <c r="AP45" s="506" t="str">
        <f>IF(T45="","",T45)</f>
        <v>Наименование системы теплоснабжения </v>
      </c>
      <c r="AQ45" s="506"/>
      <c r="AR45" s="506"/>
    </row>
    <row customHeight="1" ht="21">
      <c r="A46" s="1393" t="s">
        <v>178</v>
      </c>
      <c r="B46" s="1393" t="s">
        <v>179</v>
      </c>
      <c r="C46" s="1393" t="s">
        <v>180</v>
      </c>
      <c r="D46" s="1393" t="s">
        <v>181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391</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392</v>
      </c>
      <c r="AO46" s="506"/>
      <c r="AP46" s="506" t="str">
        <f>IF(T46="","",T46)</f>
        <v>Источник тепловой энергии  </v>
      </c>
      <c r="AQ46" s="506"/>
      <c r="AR46" s="506"/>
    </row>
    <row s="2613" customFormat="1" customHeight="1" ht="0">
      <c r="A47" s="1373" t="s">
        <v>178</v>
      </c>
      <c r="B47" s="1373" t="s">
        <v>179</v>
      </c>
      <c r="C47" s="1373" t="s">
        <v>180</v>
      </c>
      <c r="D47" s="1373" t="s">
        <v>181</v>
      </c>
      <c r="E47" s="2108"/>
      <c r="F47" s="2108"/>
      <c r="G47" s="2108"/>
      <c r="H47" s="2108"/>
      <c r="I47" s="2109" t="str">
        <f>S46&amp;".1"</f>
        <v>....1</v>
      </c>
      <c r="J47" s="1373"/>
      <c r="K47" s="1373"/>
      <c r="L47" s="1376" t="s">
        <v>393</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178</v>
      </c>
      <c r="B48" s="1393" t="s">
        <v>179</v>
      </c>
      <c r="C48" s="1393" t="s">
        <v>180</v>
      </c>
      <c r="D48" s="1393" t="s">
        <v>181</v>
      </c>
      <c r="E48" s="2108"/>
      <c r="F48" s="2108"/>
      <c r="G48" s="2108"/>
      <c r="H48" s="2108"/>
      <c r="I48" s="2110"/>
      <c r="J48" s="2109" t="str">
        <f>S46&amp;".1"</f>
        <v>....1</v>
      </c>
      <c r="K48" s="1393"/>
      <c r="L48" s="1394" t="s">
        <v>396</v>
      </c>
      <c r="P48" s="2111"/>
      <c r="Q48" s="2111">
        <v>1</v>
      </c>
      <c r="R48" s="353"/>
      <c r="S48" s="1366" t="str">
        <f>$J48</f>
        <v>....1</v>
      </c>
      <c r="T48" s="274" t="s">
        <v>397</v>
      </c>
      <c r="U48" s="288"/>
      <c r="V48" s="2095"/>
      <c r="W48" s="2096"/>
      <c r="X48" s="2096"/>
      <c r="Y48" s="2096"/>
      <c r="Z48" s="2096"/>
      <c r="AA48" s="2096"/>
      <c r="AB48" s="2096"/>
      <c r="AC48" s="2097"/>
      <c r="AD48" s="2095"/>
      <c r="AE48" s="2096"/>
      <c r="AF48" s="2096"/>
      <c r="AG48" s="2096"/>
      <c r="AH48" s="2096"/>
      <c r="AI48" s="2096"/>
      <c r="AJ48" s="2096"/>
      <c r="AK48" s="2096"/>
      <c r="AL48" s="2097"/>
      <c r="AM48" s="1286" t="s">
        <v>398</v>
      </c>
      <c r="AO48" s="506"/>
      <c r="AP48" s="506" t="str">
        <f>IF(T48="","",T48)</f>
        <v>Группа потребителей</v>
      </c>
      <c r="AQ48" s="506"/>
      <c r="AR48" s="506"/>
    </row>
    <row customHeight="1" ht="21">
      <c r="A49" s="1393" t="s">
        <v>178</v>
      </c>
      <c r="B49" s="1393" t="s">
        <v>179</v>
      </c>
      <c r="C49" s="1393" t="s">
        <v>180</v>
      </c>
      <c r="D49" s="1393" t="s">
        <v>181</v>
      </c>
      <c r="E49" s="2108"/>
      <c r="F49" s="2108"/>
      <c r="G49" s="2108"/>
      <c r="H49" s="2108"/>
      <c r="I49" s="2110"/>
      <c r="J49" s="2110"/>
      <c r="K49" s="2109" t="str">
        <f>J48&amp;".1"</f>
        <v>....1.1</v>
      </c>
      <c r="L49" s="1394" t="s">
        <v>399</v>
      </c>
      <c r="P49" s="2111"/>
      <c r="Q49" s="2111"/>
      <c r="R49" s="353">
        <v>1</v>
      </c>
      <c r="S49" s="1366" t="str">
        <f>$K49</f>
        <v>....1.1</v>
      </c>
      <c r="T49" s="1377"/>
      <c r="U49" s="288"/>
      <c r="V49" s="757"/>
      <c r="W49" s="320"/>
      <c r="X49" s="757"/>
      <c r="Y49" s="1285"/>
      <c r="Z49" s="2112"/>
      <c r="AA49" s="1981" t="s">
        <v>60</v>
      </c>
      <c r="AB49" s="2112"/>
      <c r="AC49" s="1981" t="s">
        <v>60</v>
      </c>
      <c r="AD49" s="757"/>
      <c r="AE49" s="320"/>
      <c r="AF49" s="757"/>
      <c r="AG49" s="1285"/>
      <c r="AH49" s="2112"/>
      <c r="AI49" s="1981" t="s">
        <v>60</v>
      </c>
      <c r="AJ49" s="2114"/>
      <c r="AK49" s="1981" t="s">
        <v>60</v>
      </c>
      <c r="AL49" s="1378"/>
      <c r="AM49" s="2137" t="s">
        <v>437</v>
      </c>
      <c r="AN49" s="517">
        <f>STRCHECKDATE(V50:AL50)</f>
      </c>
      <c r="AO49" s="506"/>
      <c r="AP49" s="506" t="str">
        <f>IF(T49="","",T49)</f>
        <v/>
      </c>
      <c r="AQ49" s="506"/>
      <c r="AR49" s="506"/>
    </row>
    <row customHeight="1" ht="0.75">
      <c r="A50" s="1393" t="s">
        <v>178</v>
      </c>
      <c r="B50" s="1393" t="s">
        <v>179</v>
      </c>
      <c r="C50" s="1393" t="s">
        <v>180</v>
      </c>
      <c r="D50" s="1393" t="s">
        <v>181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178</v>
      </c>
      <c r="B51" s="1393" t="s">
        <v>179</v>
      </c>
      <c r="C51" s="1393" t="s">
        <v>180</v>
      </c>
      <c r="D51" s="1393" t="s">
        <v>181</v>
      </c>
      <c r="E51" s="2108"/>
      <c r="F51" s="2108"/>
      <c r="G51" s="2108"/>
      <c r="H51" s="2108"/>
      <c r="I51" s="2110"/>
      <c r="J51" s="2109"/>
      <c r="K51" s="1393"/>
      <c r="L51" s="1394"/>
      <c r="P51" s="2111"/>
      <c r="Q51" s="2111"/>
      <c r="R51" s="352"/>
      <c r="S51" s="1308"/>
      <c r="T51" s="275" t="s">
        <v>401</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178</v>
      </c>
      <c r="B52" s="1393" t="s">
        <v>179</v>
      </c>
      <c r="C52" s="1393" t="s">
        <v>180</v>
      </c>
      <c r="D52" s="1393" t="s">
        <v>181</v>
      </c>
      <c r="E52" s="2108"/>
      <c r="F52" s="2108"/>
      <c r="G52" s="2108"/>
      <c r="H52" s="2108"/>
      <c r="I52" s="2109"/>
      <c r="J52" s="1393"/>
      <c r="K52" s="1393"/>
      <c r="L52" s="1394"/>
      <c r="P52" s="2111"/>
      <c r="Q52" s="1361"/>
      <c r="R52" s="352"/>
      <c r="S52" s="1308"/>
      <c r="T52" s="364" t="s">
        <v>402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178</v>
      </c>
      <c r="B53" s="1393" t="s">
        <v>179</v>
      </c>
      <c r="C53" s="1393" t="s">
        <v>180</v>
      </c>
      <c r="D53" s="1393" t="s">
        <v>181</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178</v>
      </c>
      <c r="B54" s="1373" t="s">
        <v>179</v>
      </c>
      <c r="C54" s="1373" t="s">
        <v>180</v>
      </c>
      <c r="D54" s="1344"/>
      <c r="E54" s="2108"/>
      <c r="F54" s="2108"/>
      <c r="G54" s="2107"/>
      <c r="H54" s="1344"/>
      <c r="I54" s="1344"/>
      <c r="J54" s="1344"/>
      <c r="K54" s="1344"/>
      <c r="L54" s="1369"/>
      <c r="M54" s="1345"/>
      <c r="N54" s="1345"/>
      <c r="P54" s="1346"/>
      <c r="Q54" s="1347"/>
      <c r="R54" s="1346"/>
      <c r="S54" s="1352"/>
      <c r="T54" s="1355" t="s">
        <v>404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178</v>
      </c>
      <c r="B55" s="1373" t="s">
        <v>179</v>
      </c>
      <c r="C55" s="1344"/>
      <c r="D55" s="1344"/>
      <c r="E55" s="2108"/>
      <c r="F55" s="2107"/>
      <c r="G55" s="1344"/>
      <c r="H55" s="1344"/>
      <c r="I55" s="1344"/>
      <c r="J55" s="1344"/>
      <c r="K55" s="1344"/>
      <c r="L55" s="1369"/>
      <c r="M55" s="1351"/>
      <c r="N55" s="1351"/>
      <c r="P55" s="1346"/>
      <c r="Q55" s="1347"/>
      <c r="R55" s="1346"/>
      <c r="S55" s="1352"/>
      <c r="T55" s="1355" t="s">
        <v>214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178</v>
      </c>
      <c r="B56" s="1373"/>
      <c r="C56" s="1373"/>
      <c r="D56" s="1373"/>
      <c r="E56" s="2107"/>
      <c r="F56" s="1373"/>
      <c r="G56" s="1373"/>
      <c r="H56" s="1373"/>
      <c r="I56" s="1373"/>
      <c r="J56" s="1373"/>
      <c r="K56" s="1373"/>
      <c r="L56" s="1376"/>
      <c r="M56" s="1351"/>
      <c r="N56" s="1351"/>
      <c r="O56" s="524"/>
      <c r="P56" s="385"/>
      <c r="Q56" s="1374"/>
      <c r="R56" s="385"/>
      <c r="S56" s="1352"/>
      <c r="T56" s="1355" t="s">
        <v>215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216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D5A7B-8EFB-AE8C-31CE-634DCB93D95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386</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387</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388</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389</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390</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391</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392</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393</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396</v>
      </c>
      <c r="M7" s="543"/>
      <c r="N7" s="1396"/>
      <c r="P7" s="2111"/>
      <c r="Q7" s="2111">
        <v>1</v>
      </c>
      <c r="R7" s="353"/>
      <c r="S7" s="1366">
        <f>$J7</f>
      </c>
      <c r="T7" s="274" t="s">
        <v>397</v>
      </c>
      <c r="U7" s="288"/>
      <c r="V7" s="2095"/>
      <c r="W7" s="2096"/>
      <c r="X7" s="2096"/>
      <c r="Y7" s="2096"/>
      <c r="Z7" s="2096"/>
      <c r="AA7" s="2096"/>
      <c r="AB7" s="2096"/>
      <c r="AC7" s="2097"/>
      <c r="AD7" s="2095"/>
      <c r="AE7" s="2096"/>
      <c r="AF7" s="2096"/>
      <c r="AG7" s="2096"/>
      <c r="AH7" s="2096"/>
      <c r="AI7" s="2096"/>
      <c r="AJ7" s="2096"/>
      <c r="AK7" s="2096"/>
      <c r="AL7" s="2097"/>
      <c r="AM7" s="1286" t="s">
        <v>398</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399</v>
      </c>
      <c r="M8" s="543"/>
      <c r="N8" s="1396"/>
      <c r="O8" s="1396"/>
      <c r="P8" s="2111"/>
      <c r="Q8" s="2111"/>
      <c r="R8" s="353">
        <v>1</v>
      </c>
      <c r="S8" s="1366">
        <f>$K8</f>
      </c>
      <c r="T8" s="1377"/>
      <c r="U8" s="288"/>
      <c r="V8" s="757"/>
      <c r="W8" s="320"/>
      <c r="X8" s="757"/>
      <c r="Y8" s="1285"/>
      <c r="Z8" s="2112"/>
      <c r="AA8" s="1981" t="s">
        <v>60</v>
      </c>
      <c r="AB8" s="2112"/>
      <c r="AC8" s="1981" t="s">
        <v>60</v>
      </c>
      <c r="AD8" s="757"/>
      <c r="AE8" s="320"/>
      <c r="AF8" s="757"/>
      <c r="AG8" s="1285"/>
      <c r="AH8" s="2112"/>
      <c r="AI8" s="1981" t="s">
        <v>60</v>
      </c>
      <c r="AJ8" s="2112"/>
      <c r="AK8" s="1981" t="s">
        <v>60</v>
      </c>
      <c r="AL8" s="320"/>
      <c r="AM8" s="2137" t="s">
        <v>400</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401</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214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215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60</v>
      </c>
      <c r="AJ17" s="2105"/>
      <c r="AK17" s="2104" t="s">
        <v>60</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 (филиал в г. Глазове)</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строительства, жилищно-коммунального хозяйства и энергетики УР</v>
      </c>
      <c r="W29" s="2100"/>
      <c r="X29" s="2100"/>
      <c r="Y29" s="2100"/>
      <c r="Z29" s="2100"/>
      <c r="AA29" s="2100"/>
      <c r="AB29" s="2100"/>
      <c r="AC29" s="322"/>
      <c r="AD29" s="2100" t="str">
        <f>IF(TITLE_NAME_OR_PR_CHANGE="",IF(TITLE_NAME_OR_PR="","",TITLE_NAME_OR_PR),TITLE_NAME_OR_PR_CHANGE)</f>
        <v>Министерство строительства, жилищно-коммунального хозяйства и энергетики УР</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45272.383726851855</v>
      </c>
      <c r="W30" s="2099"/>
      <c r="X30" s="2099"/>
      <c r="Y30" s="2099"/>
      <c r="Z30" s="2099"/>
      <c r="AA30" s="2099"/>
      <c r="AB30" s="2099"/>
      <c r="AC30" s="322"/>
      <c r="AD30" s="2099" t="str">
        <f>IF(TITLE_DATE_PR_CHANGE="",IF(TITLE_DATE_PR="","",TITLE_DATE_PR),TITLE_DATE_PR_CHANGE)</f>
        <v>45272.383726851855</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30/68</v>
      </c>
      <c r="W31" s="2100"/>
      <c r="X31" s="2100"/>
      <c r="Y31" s="2100"/>
      <c r="Z31" s="2100"/>
      <c r="AA31" s="2100"/>
      <c r="AB31" s="2100"/>
      <c r="AC31" s="322"/>
      <c r="AD31" s="2100" t="str">
        <f>IF(TITLE_NUMBER_PR_CHANGE="",IF(TITLE_NUMBER_PR="","",TITLE_NUMBER_PR),TITLE_NUMBER_PR_CHANGE)</f>
        <v>30/68</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www.udmurt.ru</v>
      </c>
      <c r="W32" s="2100"/>
      <c r="X32" s="2100"/>
      <c r="Y32" s="2100"/>
      <c r="Z32" s="2100"/>
      <c r="AA32" s="2100"/>
      <c r="AB32" s="2100"/>
      <c r="AC32" s="322"/>
      <c r="AD32" s="2100" t="str">
        <f>IF(TITLE_IST_PUB_CHANGE="",IF(TITLE_IST_PUB="","",TITLE_IST_PUB),TITLE_IST_PUB_CHANGE)</f>
        <v>www.udmurt.ru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45272.383726851855</v>
      </c>
      <c r="W34" s="2099"/>
      <c r="X34" s="2099"/>
      <c r="Y34" s="2099"/>
      <c r="Z34" s="2099"/>
      <c r="AA34" s="2099"/>
      <c r="AB34" s="2099"/>
      <c r="AC34" s="322"/>
      <c r="AD34" s="2099" t="str">
        <f>IF(TITLE_DATE_PR_CHANGE="",IF(TITLE_DATE_PR="","",TITLE_DATE_PR),TITLE_DATE_PR_CHANGE)</f>
        <v>45272.383726851855</v>
      </c>
      <c r="AE34" s="2099"/>
      <c r="AF34" s="2099"/>
      <c r="AG34" s="2099"/>
      <c r="AH34" s="2099"/>
      <c r="AI34" s="2099"/>
      <c r="AJ34" s="2099"/>
      <c r="AK34" s="322"/>
      <c r="AL34" s="322"/>
      <c r="AM34" s="268"/>
      <c r="AN34" s="368"/>
      <c r="AO34" s="368"/>
      <c r="AP34" s="368"/>
      <c r="AQ34" s="368"/>
      <c r="AR34" s="368"/>
    </row>
    <row s="3305" customFormat="1" customHeight="1" ht="25.5" hidden="1">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30/68</v>
      </c>
      <c r="W35" s="2100"/>
      <c r="X35" s="2100"/>
      <c r="Y35" s="2100"/>
      <c r="Z35" s="2100"/>
      <c r="AA35" s="2100"/>
      <c r="AB35" s="2100"/>
      <c r="AC35" s="322"/>
      <c r="AD35" s="2100" t="str">
        <f>IF(TITLE_NUMBER_PR_CHANGE="",IF(TITLE_NUMBER_PR="","",TITLE_NUMBER_PR),TITLE_NUMBER_PR_CHANGE)</f>
        <v>30/68</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288</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289</v>
      </c>
    </row>
    <row customHeight="1" ht="14.25">
      <c r="Q39" s="377"/>
      <c r="R39" s="377"/>
      <c r="S39" s="2125" t="s">
        <v>86</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c r="X40" s="2118" t="s">
        <v>423</v>
      </c>
      <c r="Y40" s="2120"/>
      <c r="Z40" s="2118" t="s">
        <v>424</v>
      </c>
      <c r="AA40" s="2119"/>
      <c r="AB40" s="2120"/>
      <c r="AC40" s="2130"/>
      <c r="AD40" s="2135" t="s">
        <v>421</v>
      </c>
      <c r="AE40" s="2116"/>
      <c r="AF40" s="2118" t="s">
        <v>423</v>
      </c>
      <c r="AG40" s="2120"/>
      <c r="AH40" s="2118" t="s">
        <v>424</v>
      </c>
      <c r="AI40" s="2119"/>
      <c r="AJ40" s="2120"/>
      <c r="AK40" s="2130"/>
      <c r="AL40" s="2133"/>
      <c r="AM40" s="1971"/>
    </row>
    <row customHeight="1" ht="33.75">
      <c r="A41" s="1400"/>
      <c r="B41" s="1400" t="s">
        <v>133</v>
      </c>
      <c r="C41" s="1400" t="s">
        <v>134</v>
      </c>
      <c r="D41" s="1400" t="s">
        <v>135</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368" t="s">
        <v>434</v>
      </c>
      <c r="AA41" s="2121" t="s">
        <v>435</v>
      </c>
      <c r="AB41" s="2122"/>
      <c r="AC41" s="2131"/>
      <c r="AD41" s="2136"/>
      <c r="AE41" s="2117"/>
      <c r="AF41" s="1237" t="s">
        <v>432</v>
      </c>
      <c r="AG41" s="1237" t="s">
        <v>433</v>
      </c>
      <c r="AH41" s="1368" t="s">
        <v>434</v>
      </c>
      <c r="AI41" s="2121" t="s">
        <v>435</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184</v>
      </c>
      <c r="B44" s="1393" t="s">
        <v>185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387</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388</v>
      </c>
      <c r="AO44" s="506"/>
      <c r="AP44" s="506" t="str">
        <f>IF(T44="","",T44)</f>
        <v>Территория действия тарифа</v>
      </c>
      <c r="AQ44" s="506"/>
      <c r="AR44" s="506"/>
    </row>
    <row customHeight="1" ht="23.25">
      <c r="A45" s="1393" t="s">
        <v>184</v>
      </c>
      <c r="B45" s="1393" t="s">
        <v>185</v>
      </c>
      <c r="C45" s="1393" t="s">
        <v>186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389</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390</v>
      </c>
      <c r="AO45" s="506"/>
      <c r="AP45" s="506" t="str">
        <f>IF(T45="","",T45)</f>
        <v>Наименование системы теплоснабжения </v>
      </c>
      <c r="AQ45" s="506"/>
      <c r="AR45" s="506"/>
    </row>
    <row customHeight="1" ht="21">
      <c r="A46" s="1393" t="s">
        <v>184</v>
      </c>
      <c r="B46" s="1393" t="s">
        <v>185</v>
      </c>
      <c r="C46" s="1393" t="s">
        <v>186</v>
      </c>
      <c r="D46" s="1393" t="s">
        <v>187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391</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392</v>
      </c>
      <c r="AO46" s="506"/>
      <c r="AP46" s="506" t="str">
        <f>IF(T46="","",T46)</f>
        <v>Источник тепловой энергии  </v>
      </c>
      <c r="AQ46" s="506"/>
      <c r="AR46" s="506"/>
    </row>
    <row s="2613" customFormat="1" customHeight="1" ht="0">
      <c r="A47" s="1373" t="s">
        <v>184</v>
      </c>
      <c r="B47" s="1373" t="s">
        <v>185</v>
      </c>
      <c r="C47" s="1373" t="s">
        <v>186</v>
      </c>
      <c r="D47" s="1373" t="s">
        <v>187</v>
      </c>
      <c r="E47" s="2108"/>
      <c r="F47" s="2108"/>
      <c r="G47" s="2108"/>
      <c r="H47" s="2108"/>
      <c r="I47" s="2109" t="str">
        <f>S46&amp;".1"</f>
        <v>....1</v>
      </c>
      <c r="J47" s="1373"/>
      <c r="K47" s="1373"/>
      <c r="L47" s="1376" t="s">
        <v>393</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184</v>
      </c>
      <c r="B48" s="1393" t="s">
        <v>185</v>
      </c>
      <c r="C48" s="1393" t="s">
        <v>186</v>
      </c>
      <c r="D48" s="1393" t="s">
        <v>187</v>
      </c>
      <c r="E48" s="2108"/>
      <c r="F48" s="2108"/>
      <c r="G48" s="2108"/>
      <c r="H48" s="2108"/>
      <c r="I48" s="2110"/>
      <c r="J48" s="2109" t="str">
        <f>S46&amp;".1"</f>
        <v>....1</v>
      </c>
      <c r="K48" s="1393"/>
      <c r="L48" s="1394" t="s">
        <v>396</v>
      </c>
      <c r="P48" s="2111"/>
      <c r="Q48" s="2111">
        <v>1</v>
      </c>
      <c r="R48" s="353"/>
      <c r="S48" s="1366" t="str">
        <f>$J48</f>
        <v>....1</v>
      </c>
      <c r="T48" s="274" t="s">
        <v>397</v>
      </c>
      <c r="U48" s="288"/>
      <c r="V48" s="2095"/>
      <c r="W48" s="2096"/>
      <c r="X48" s="2096"/>
      <c r="Y48" s="2096"/>
      <c r="Z48" s="2096"/>
      <c r="AA48" s="2096"/>
      <c r="AB48" s="2096"/>
      <c r="AC48" s="2097"/>
      <c r="AD48" s="2095"/>
      <c r="AE48" s="2096"/>
      <c r="AF48" s="2096"/>
      <c r="AG48" s="2096"/>
      <c r="AH48" s="2096"/>
      <c r="AI48" s="2096"/>
      <c r="AJ48" s="2096"/>
      <c r="AK48" s="2096"/>
      <c r="AL48" s="2097"/>
      <c r="AM48" s="1286" t="s">
        <v>398</v>
      </c>
      <c r="AO48" s="506"/>
      <c r="AP48" s="506" t="str">
        <f>IF(T48="","",T48)</f>
        <v>Группа потребителей</v>
      </c>
      <c r="AQ48" s="506"/>
      <c r="AR48" s="506"/>
    </row>
    <row customHeight="1" ht="21">
      <c r="A49" s="1393" t="s">
        <v>184</v>
      </c>
      <c r="B49" s="1393" t="s">
        <v>185</v>
      </c>
      <c r="C49" s="1393" t="s">
        <v>186</v>
      </c>
      <c r="D49" s="1393" t="s">
        <v>187</v>
      </c>
      <c r="E49" s="2108"/>
      <c r="F49" s="2108"/>
      <c r="G49" s="2108"/>
      <c r="H49" s="2108"/>
      <c r="I49" s="2110"/>
      <c r="J49" s="2110"/>
      <c r="K49" s="2109" t="str">
        <f>J48&amp;".1"</f>
        <v>....1.1</v>
      </c>
      <c r="L49" s="1394" t="s">
        <v>399</v>
      </c>
      <c r="P49" s="2111"/>
      <c r="Q49" s="2111"/>
      <c r="R49" s="353">
        <v>1</v>
      </c>
      <c r="S49" s="1366" t="str">
        <f>$K49</f>
        <v>....1.1</v>
      </c>
      <c r="T49" s="1377"/>
      <c r="U49" s="288"/>
      <c r="V49" s="757"/>
      <c r="W49" s="320"/>
      <c r="X49" s="757"/>
      <c r="Y49" s="1285"/>
      <c r="Z49" s="2112"/>
      <c r="AA49" s="1981" t="s">
        <v>60</v>
      </c>
      <c r="AB49" s="2112"/>
      <c r="AC49" s="1981" t="s">
        <v>60</v>
      </c>
      <c r="AD49" s="757"/>
      <c r="AE49" s="320"/>
      <c r="AF49" s="757"/>
      <c r="AG49" s="1285"/>
      <c r="AH49" s="2112"/>
      <c r="AI49" s="1981" t="s">
        <v>60</v>
      </c>
      <c r="AJ49" s="2114"/>
      <c r="AK49" s="1981" t="s">
        <v>60</v>
      </c>
      <c r="AL49" s="1378"/>
      <c r="AM49" s="2137" t="s">
        <v>437</v>
      </c>
      <c r="AN49" s="517">
        <f>STRCHECKDATE(V50:AL50)</f>
      </c>
      <c r="AO49" s="506"/>
      <c r="AP49" s="506" t="str">
        <f>IF(T49="","",T49)</f>
        <v/>
      </c>
      <c r="AQ49" s="506"/>
      <c r="AR49" s="506"/>
    </row>
    <row customHeight="1" ht="0">
      <c r="A50" s="1393" t="s">
        <v>184</v>
      </c>
      <c r="B50" s="1393" t="s">
        <v>185</v>
      </c>
      <c r="C50" s="1393" t="s">
        <v>186</v>
      </c>
      <c r="D50" s="1393" t="s">
        <v>187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184</v>
      </c>
      <c r="B51" s="1393" t="s">
        <v>185</v>
      </c>
      <c r="C51" s="1393" t="s">
        <v>186</v>
      </c>
      <c r="D51" s="1393" t="s">
        <v>187</v>
      </c>
      <c r="E51" s="2108"/>
      <c r="F51" s="2108"/>
      <c r="G51" s="2108"/>
      <c r="H51" s="2108"/>
      <c r="I51" s="2110"/>
      <c r="J51" s="2109"/>
      <c r="K51" s="1393"/>
      <c r="L51" s="1394"/>
      <c r="P51" s="2111"/>
      <c r="Q51" s="2111"/>
      <c r="R51" s="352"/>
      <c r="S51" s="1308"/>
      <c r="T51" s="275" t="s">
        <v>401</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184</v>
      </c>
      <c r="B52" s="1393" t="s">
        <v>185</v>
      </c>
      <c r="C52" s="1393" t="s">
        <v>186</v>
      </c>
      <c r="D52" s="1393" t="s">
        <v>187</v>
      </c>
      <c r="E52" s="2108"/>
      <c r="F52" s="2108"/>
      <c r="G52" s="2108"/>
      <c r="H52" s="2108"/>
      <c r="I52" s="2109"/>
      <c r="J52" s="1393"/>
      <c r="K52" s="1393"/>
      <c r="L52" s="1394"/>
      <c r="P52" s="2111"/>
      <c r="Q52" s="1361"/>
      <c r="R52" s="352"/>
      <c r="S52" s="1308"/>
      <c r="T52" s="364" t="s">
        <v>402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184</v>
      </c>
      <c r="B53" s="1393" t="s">
        <v>185</v>
      </c>
      <c r="C53" s="1393" t="s">
        <v>186</v>
      </c>
      <c r="D53" s="1393" t="s">
        <v>187</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
      <c r="A54" s="1373" t="s">
        <v>184</v>
      </c>
      <c r="B54" s="1373" t="s">
        <v>185</v>
      </c>
      <c r="C54" s="1373" t="s">
        <v>186</v>
      </c>
      <c r="D54" s="1344"/>
      <c r="E54" s="2108"/>
      <c r="F54" s="2108"/>
      <c r="G54" s="2107"/>
      <c r="H54" s="1344"/>
      <c r="I54" s="1344"/>
      <c r="J54" s="1344"/>
      <c r="K54" s="1344"/>
      <c r="L54" s="1369"/>
      <c r="M54" s="1345"/>
      <c r="N54" s="1345"/>
      <c r="P54" s="1346"/>
      <c r="Q54" s="1347"/>
      <c r="R54" s="1346"/>
      <c r="S54" s="1352"/>
      <c r="T54" s="1355" t="s">
        <v>404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
      <c r="A55" s="1373" t="s">
        <v>184</v>
      </c>
      <c r="B55" s="1373" t="s">
        <v>185</v>
      </c>
      <c r="C55" s="1344"/>
      <c r="D55" s="1344"/>
      <c r="E55" s="2108"/>
      <c r="F55" s="2107"/>
      <c r="G55" s="1344"/>
      <c r="H55" s="1344"/>
      <c r="I55" s="1344"/>
      <c r="J55" s="1344"/>
      <c r="K55" s="1344"/>
      <c r="L55" s="1369"/>
      <c r="M55" s="1351"/>
      <c r="N55" s="1351"/>
      <c r="P55" s="1346"/>
      <c r="Q55" s="1347"/>
      <c r="R55" s="1346"/>
      <c r="S55" s="1352"/>
      <c r="T55" s="1355" t="s">
        <v>214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
      <c r="A56" s="1373" t="s">
        <v>184</v>
      </c>
      <c r="B56" s="1373"/>
      <c r="C56" s="1373"/>
      <c r="D56" s="1373"/>
      <c r="E56" s="2107"/>
      <c r="F56" s="1373"/>
      <c r="G56" s="1373"/>
      <c r="H56" s="1373"/>
      <c r="I56" s="1373"/>
      <c r="J56" s="1373"/>
      <c r="K56" s="1373"/>
      <c r="L56" s="1376"/>
      <c r="M56" s="1351"/>
      <c r="N56" s="1351"/>
      <c r="O56" s="524"/>
      <c r="P56" s="385"/>
      <c r="Q56" s="1374"/>
      <c r="R56" s="385"/>
      <c r="S56" s="1352"/>
      <c r="T56" s="1355" t="s">
        <v>215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216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74DFD-5796-3B93-4D27-B9143FDA5C12}"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2940" width="10.57421875" hidden="1"/>
    <col min="2" max="2" style="2940" width="11.00390625" hidden="1" customWidth="1"/>
    <col min="3" max="3" style="2940" width="10.57421875" hidden="1"/>
    <col min="4" max="4" style="2940" width="11.8515625" hidden="1" customWidth="1"/>
    <col min="5" max="5" style="2940" width="10.00390625" hidden="1" customWidth="1"/>
    <col min="6" max="6" style="2940" width="8.7109375" hidden="1" customWidth="1"/>
    <col min="7" max="7" style="2940" width="7.57421875" hidden="1" customWidth="1"/>
    <col min="8" max="8" style="2940" width="11.421875" hidden="1" customWidth="1"/>
    <col min="9" max="9" style="2940" width="12.00390625" hidden="1" customWidth="1"/>
    <col min="10" max="10" style="2940" width="9.8515625" hidden="1" customWidth="1"/>
    <col min="11" max="12" style="2940" width="11.421875" hidden="1" customWidth="1"/>
    <col min="13" max="13" style="3429" width="19.140625" hidden="1" customWidth="1"/>
    <col min="14" max="15" style="3315" width="12.28125" hidden="1" customWidth="1"/>
    <col min="16" max="16" style="3315" width="23.421875" hidden="1" customWidth="1"/>
    <col min="17" max="17" style="3315" width="3.7109375" hidden="1" customWidth="1"/>
    <col min="18" max="20" style="3371" width="3.7109375" customWidth="1"/>
    <col min="21" max="21" style="3372" width="12.7109375" customWidth="1"/>
    <col min="22" max="22" style="2940" width="32.00390625" customWidth="1"/>
    <col min="23" max="23" style="2940" width="0.140625" customWidth="1"/>
    <col min="24" max="28" style="2940" width="21.7109375" hidden="1" customWidth="1"/>
    <col min="29" max="29" style="2940" width="11.7109375" hidden="1" customWidth="1"/>
    <col min="30" max="30" style="2940" width="3.7109375" hidden="1" customWidth="1"/>
    <col min="31" max="31" style="2940" width="11.7109375" hidden="1" customWidth="1"/>
    <col min="32" max="32" style="2940" width="8.57421875" hidden="1" customWidth="1"/>
    <col min="33" max="37" style="2940" width="21.7109375" customWidth="1"/>
    <col min="38" max="38" style="2940" width="11.7109375" customWidth="1"/>
    <col min="39" max="39" style="2940" width="3.7109375" customWidth="1"/>
    <col min="40" max="40" style="2940" width="11.7109375" customWidth="1"/>
    <col min="41" max="41" style="2940" width="8.57421875" customWidth="1"/>
    <col min="42" max="42" style="2940" width="4.7109375" customWidth="1"/>
    <col min="43" max="43" style="2940" width="115.7109375" customWidth="1"/>
    <col min="44" max="45" style="2613" width="10.57421875"/>
    <col min="46" max="46" style="2613" width="11.140625" customWidth="1"/>
    <col min="47" max="48" style="2613"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121</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386</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387</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388</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389</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390</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391</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392</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393</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396</v>
      </c>
      <c r="N7" s="515"/>
      <c r="O7" s="323"/>
      <c r="Q7" s="2111"/>
      <c r="R7" s="2111">
        <v>1</v>
      </c>
      <c r="S7" s="524"/>
      <c r="T7" s="353"/>
      <c r="U7" s="1366">
        <f>$J7</f>
      </c>
      <c r="V7" s="274" t="s">
        <v>397</v>
      </c>
      <c r="W7" s="288"/>
      <c r="X7" s="2095"/>
      <c r="Y7" s="2096"/>
      <c r="Z7" s="2096"/>
      <c r="AA7" s="2096"/>
      <c r="AB7" s="2096"/>
      <c r="AC7" s="2088"/>
      <c r="AD7" s="2088"/>
      <c r="AE7" s="2088"/>
      <c r="AF7" s="2171"/>
      <c r="AG7" s="2095"/>
      <c r="AH7" s="2096"/>
      <c r="AI7" s="2096"/>
      <c r="AJ7" s="2096"/>
      <c r="AK7" s="2096"/>
      <c r="AL7" s="2096"/>
      <c r="AM7" s="2096"/>
      <c r="AN7" s="2096"/>
      <c r="AO7" s="2096"/>
      <c r="AP7" s="2097"/>
      <c r="AQ7" s="1286" t="s">
        <v>398</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399</v>
      </c>
      <c r="N8" s="515"/>
      <c r="O8" s="323"/>
      <c r="P8" s="323"/>
      <c r="Q8" s="2111"/>
      <c r="R8" s="2111"/>
      <c r="S8" s="2111">
        <v>1</v>
      </c>
      <c r="T8" s="353"/>
      <c r="U8" s="1366">
        <f>$K8</f>
      </c>
      <c r="V8" s="1377"/>
      <c r="W8" s="288"/>
      <c r="X8" s="757"/>
      <c r="Y8" s="757"/>
      <c r="Z8" s="757"/>
      <c r="AA8" s="757"/>
      <c r="AB8" s="1435"/>
      <c r="AC8" s="2112"/>
      <c r="AD8" s="1981" t="s">
        <v>60</v>
      </c>
      <c r="AE8" s="2112"/>
      <c r="AF8" s="1981" t="s">
        <v>60</v>
      </c>
      <c r="AG8" s="1437"/>
      <c r="AH8" s="757"/>
      <c r="AI8" s="757"/>
      <c r="AJ8" s="757"/>
      <c r="AK8" s="1285"/>
      <c r="AL8" s="2112"/>
      <c r="AM8" s="1981" t="s">
        <v>60</v>
      </c>
      <c r="AN8" s="2112"/>
      <c r="AO8" s="1981" t="s">
        <v>60</v>
      </c>
      <c r="AP8" s="320"/>
      <c r="AQ8" s="1337" t="s">
        <v>438</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439</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440</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401</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402</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3"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404</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3"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214</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3"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215</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60</v>
      </c>
      <c r="AN19" s="2105"/>
      <c r="AO19" s="2104" t="s">
        <v>60</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2" customFormat="1" customHeight="1" ht="22.5" hidden="1">
      <c r="A24" s="1163"/>
      <c r="B24" s="1163"/>
      <c r="C24" s="1163"/>
      <c r="D24" s="1163"/>
      <c r="E24" s="1163"/>
      <c r="F24" s="1163"/>
      <c r="G24" s="1163"/>
      <c r="H24" s="1163"/>
      <c r="I24" s="1163"/>
      <c r="J24" s="1163"/>
      <c r="K24" s="1163"/>
      <c r="L24" s="1163"/>
      <c r="M24" s="1357"/>
      <c r="N24" s="1358"/>
      <c r="O24" s="1358"/>
      <c r="P24" s="1375" t="s">
        <v>405</v>
      </c>
      <c r="Q24" s="1392"/>
      <c r="R24" s="1401"/>
      <c r="S24" s="1401"/>
      <c r="T24" s="1401"/>
      <c r="U24" s="735"/>
      <c r="AC24" s="1397"/>
      <c r="AE24" s="1397"/>
      <c r="AF24" s="1396"/>
      <c r="AL24" s="1397"/>
      <c r="AN24" s="1397"/>
      <c r="AO24" s="1396"/>
      <c r="AR24" s="517"/>
      <c r="AS24" s="517"/>
      <c r="AT24" s="517"/>
      <c r="AU24" s="517"/>
      <c r="AV24" s="517"/>
    </row>
    <row s="3292"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2" customFormat="1" customHeight="1" ht="14.25" hidden="1">
      <c r="A26" s="1163"/>
      <c r="B26" s="1163"/>
      <c r="C26" s="1163"/>
      <c r="D26" s="1163"/>
      <c r="E26" s="1163"/>
      <c r="F26" s="1163"/>
      <c r="G26" s="1163"/>
      <c r="H26" s="1163"/>
      <c r="I26" s="1163"/>
      <c r="J26" s="1163"/>
      <c r="K26" s="1163"/>
      <c r="L26" s="1163"/>
      <c r="M26" s="1357"/>
      <c r="N26" s="1358"/>
      <c r="O26" s="1358"/>
      <c r="P26" s="1340" t="s">
        <v>406</v>
      </c>
      <c r="Q26" s="1392"/>
      <c r="R26" s="1401"/>
      <c r="S26" s="1401"/>
      <c r="T26" s="1401"/>
      <c r="U26" s="735"/>
      <c r="V26" s="1168" t="s">
        <v>407</v>
      </c>
      <c r="AD26" s="172" t="s">
        <v>408</v>
      </c>
      <c r="AF26" s="172" t="s">
        <v>409</v>
      </c>
      <c r="AG26" s="1168" t="s">
        <v>407</v>
      </c>
      <c r="AM26" s="172" t="s">
        <v>410</v>
      </c>
      <c r="AO26" s="172" t="s">
        <v>409</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"РИР" (филиал в г. Глазове)</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5"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Министерство строительства, жилищно-коммунального хозяйства и энергетики УР</v>
      </c>
      <c r="Y33" s="2100"/>
      <c r="Z33" s="2100"/>
      <c r="AA33" s="2100"/>
      <c r="AB33" s="2100"/>
      <c r="AC33" s="2100"/>
      <c r="AD33" s="2100"/>
      <c r="AE33" s="2100"/>
      <c r="AF33" s="322"/>
      <c r="AG33" s="2100" t="str">
        <f>IF(TITLE_NAME_OR_PR_CHANGE="",IF(TITLE_NAME_OR_PR="","",TITLE_NAME_OR_PR),TITLE_NAME_OR_PR_CHANGE)</f>
        <v>Министерство строительства, жилищно-коммунального хозяйства и энергетики УР</v>
      </c>
      <c r="AH33" s="2100"/>
      <c r="AI33" s="2100"/>
      <c r="AJ33" s="2100"/>
      <c r="AK33" s="2100"/>
      <c r="AL33" s="2100"/>
      <c r="AM33" s="2100"/>
      <c r="AN33" s="2100"/>
      <c r="AO33" s="322"/>
      <c r="AP33" s="322"/>
      <c r="AQ33" s="268"/>
      <c r="AR33" s="368"/>
      <c r="AS33" s="368"/>
      <c r="AT33" s="368"/>
      <c r="AU33" s="368"/>
      <c r="AV33" s="368"/>
    </row>
    <row s="3305" customFormat="1" customHeight="1" ht="18.75">
      <c r="A34" s="1267"/>
      <c r="B34" s="1267"/>
      <c r="C34" s="1267"/>
      <c r="D34" s="1267"/>
      <c r="E34" s="1267"/>
      <c r="F34" s="1267"/>
      <c r="G34" s="1267"/>
      <c r="H34" s="1267"/>
      <c r="I34" s="1267"/>
      <c r="J34" s="1267"/>
      <c r="K34" s="1267"/>
      <c r="L34" s="1267"/>
      <c r="M34" s="1410"/>
      <c r="N34" s="1267"/>
      <c r="O34" s="1267"/>
      <c r="P34" s="1267"/>
      <c r="U34" s="2098" t="s">
        <v>411</v>
      </c>
      <c r="V34" s="2098"/>
      <c r="W34" s="1402"/>
      <c r="X34" s="2099" t="str">
        <f>IF(TITLE_DATE_PR_CHANGE="",IF(TITLE_DATE_PR="","",TITLE_DATE_PR),TITLE_DATE_PR_CHANGE)</f>
        <v>45272.383726851855</v>
      </c>
      <c r="Y34" s="2099"/>
      <c r="Z34" s="2099"/>
      <c r="AA34" s="2099"/>
      <c r="AB34" s="2099"/>
      <c r="AC34" s="2099"/>
      <c r="AD34" s="2099"/>
      <c r="AE34" s="2099"/>
      <c r="AF34" s="322"/>
      <c r="AG34" s="2099" t="str">
        <f>IF(TITLE_DATE_PR_CHANGE="",IF(TITLE_DATE_PR="","",TITLE_DATE_PR),TITLE_DATE_PR_CHANGE)</f>
        <v>45272.383726851855</v>
      </c>
      <c r="AH34" s="2099"/>
      <c r="AI34" s="2099"/>
      <c r="AJ34" s="2099"/>
      <c r="AK34" s="2099"/>
      <c r="AL34" s="2099"/>
      <c r="AM34" s="2099"/>
      <c r="AN34" s="2099"/>
      <c r="AO34" s="322"/>
      <c r="AP34" s="322"/>
      <c r="AQ34" s="268"/>
      <c r="AR34" s="368"/>
      <c r="AS34" s="368"/>
      <c r="AT34" s="368"/>
      <c r="AU34" s="368"/>
      <c r="AV34" s="368"/>
    </row>
    <row s="3305" customFormat="1" customHeight="1" ht="18.75">
      <c r="A35" s="1267"/>
      <c r="B35" s="1267"/>
      <c r="C35" s="1267"/>
      <c r="D35" s="1267"/>
      <c r="E35" s="1267"/>
      <c r="F35" s="1267"/>
      <c r="G35" s="1267"/>
      <c r="H35" s="1267"/>
      <c r="I35" s="1267"/>
      <c r="J35" s="1267"/>
      <c r="K35" s="1267"/>
      <c r="L35" s="1267"/>
      <c r="M35" s="1410"/>
      <c r="N35" s="1267"/>
      <c r="O35" s="1267"/>
      <c r="P35" s="1267"/>
      <c r="U35" s="2098" t="s">
        <v>412</v>
      </c>
      <c r="V35" s="2098"/>
      <c r="W35" s="1402"/>
      <c r="X35" s="2100" t="str">
        <f>IF(TITLE_NUMBER_PR_CHANGE="",IF(TITLE_NUMBER_PR="","",TITLE_NUMBER_PR),TITLE_NUMBER_PR_CHANGE)</f>
        <v>30/68</v>
      </c>
      <c r="Y35" s="2100"/>
      <c r="Z35" s="2100"/>
      <c r="AA35" s="2100"/>
      <c r="AB35" s="2100"/>
      <c r="AC35" s="2100"/>
      <c r="AD35" s="2100"/>
      <c r="AE35" s="2100"/>
      <c r="AF35" s="322"/>
      <c r="AG35" s="2100" t="str">
        <f>IF(TITLE_NUMBER_PR_CHANGE="",IF(TITLE_NUMBER_PR="","",TITLE_NUMBER_PR),TITLE_NUMBER_PR_CHANGE)</f>
        <v>30/68</v>
      </c>
      <c r="AH35" s="2100"/>
      <c r="AI35" s="2100"/>
      <c r="AJ35" s="2100"/>
      <c r="AK35" s="2100"/>
      <c r="AL35" s="2100"/>
      <c r="AM35" s="2100"/>
      <c r="AN35" s="2100"/>
      <c r="AO35" s="322"/>
      <c r="AP35" s="322"/>
      <c r="AQ35" s="268"/>
      <c r="AR35" s="368"/>
      <c r="AS35" s="368"/>
      <c r="AT35" s="368"/>
      <c r="AU35" s="368"/>
      <c r="AV35" s="368"/>
    </row>
    <row s="3305"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www.udmurt.ru</v>
      </c>
      <c r="Y36" s="2100"/>
      <c r="Z36" s="2100"/>
      <c r="AA36" s="2100"/>
      <c r="AB36" s="2100"/>
      <c r="AC36" s="2100"/>
      <c r="AD36" s="2100"/>
      <c r="AE36" s="2100"/>
      <c r="AF36" s="322"/>
      <c r="AG36" s="2100" t="str">
        <f>IF(TITLE_IST_PUB_CHANGE="",IF(TITLE_IST_PUB="","",TITLE_IST_PUB),TITLE_IST_PUB_CHANGE)</f>
        <v>www.udmurt.ru</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5" customFormat="1" customHeight="1" ht="18.75" hidden="1">
      <c r="A38" s="1267"/>
      <c r="B38" s="1267"/>
      <c r="C38" s="1267"/>
      <c r="D38" s="1267"/>
      <c r="E38" s="1267"/>
      <c r="F38" s="1267"/>
      <c r="G38" s="1267"/>
      <c r="H38" s="1267"/>
      <c r="I38" s="1267"/>
      <c r="J38" s="1267"/>
      <c r="K38" s="1267"/>
      <c r="L38" s="1267"/>
      <c r="M38" s="1410"/>
      <c r="N38" s="1267"/>
      <c r="O38" s="1267"/>
      <c r="P38" s="1267"/>
      <c r="U38" s="2098" t="s">
        <v>413</v>
      </c>
      <c r="V38" s="2098"/>
      <c r="W38" s="1402"/>
      <c r="X38" s="2099" t="str">
        <f>IF(TITLE_DATE_PR_CHANGE="",IF(TITLE_DATE_PR="","",TITLE_DATE_PR),TITLE_DATE_PR_CHANGE)</f>
        <v>45272.383726851855</v>
      </c>
      <c r="Y38" s="2099"/>
      <c r="Z38" s="2099"/>
      <c r="AA38" s="2099"/>
      <c r="AB38" s="2099"/>
      <c r="AC38" s="2099"/>
      <c r="AD38" s="2099"/>
      <c r="AE38" s="2099"/>
      <c r="AF38" s="322"/>
      <c r="AG38" s="2099" t="str">
        <f>IF(TITLE_DATE_PR_CHANGE="",IF(TITLE_DATE_PR="","",TITLE_DATE_PR),TITLE_DATE_PR_CHANGE)</f>
        <v>45272.383726851855</v>
      </c>
      <c r="AH38" s="2099"/>
      <c r="AI38" s="2099"/>
      <c r="AJ38" s="2099"/>
      <c r="AK38" s="2099"/>
      <c r="AL38" s="2099"/>
      <c r="AM38" s="2099"/>
      <c r="AN38" s="2099"/>
      <c r="AO38" s="322"/>
      <c r="AP38" s="322"/>
      <c r="AQ38" s="268"/>
      <c r="AR38" s="368"/>
      <c r="AS38" s="368"/>
      <c r="AT38" s="368"/>
      <c r="AU38" s="368"/>
      <c r="AV38" s="368"/>
    </row>
    <row s="3305" customFormat="1" customHeight="1" ht="18.75" hidden="1">
      <c r="A39" s="1267"/>
      <c r="B39" s="1267"/>
      <c r="C39" s="1267"/>
      <c r="D39" s="1267"/>
      <c r="E39" s="1267"/>
      <c r="F39" s="1267"/>
      <c r="G39" s="1267"/>
      <c r="H39" s="1267"/>
      <c r="I39" s="1267"/>
      <c r="J39" s="1267"/>
      <c r="K39" s="1267"/>
      <c r="L39" s="1267"/>
      <c r="M39" s="1410"/>
      <c r="N39" s="1267"/>
      <c r="O39" s="1267"/>
      <c r="P39" s="1267"/>
      <c r="U39" s="2098" t="s">
        <v>414</v>
      </c>
      <c r="V39" s="2098"/>
      <c r="W39" s="1402"/>
      <c r="X39" s="2100" t="str">
        <f>IF(TITLE_NUMBER_PR_CHANGE="",IF(TITLE_NUMBER_PR="","",TITLE_NUMBER_PR),TITLE_NUMBER_PR_CHANGE)</f>
        <v>30/68</v>
      </c>
      <c r="Y39" s="2100"/>
      <c r="Z39" s="2100"/>
      <c r="AA39" s="2100"/>
      <c r="AB39" s="2100"/>
      <c r="AC39" s="2100"/>
      <c r="AD39" s="2100"/>
      <c r="AE39" s="2100"/>
      <c r="AF39" s="322"/>
      <c r="AG39" s="2100" t="str">
        <f>IF(TITLE_NUMBER_PR_CHANGE="",IF(TITLE_NUMBER_PR="","",TITLE_NUMBER_PR),TITLE_NUMBER_PR_CHANGE)</f>
        <v>30/68</v>
      </c>
      <c r="AH39" s="2100"/>
      <c r="AI39" s="2100"/>
      <c r="AJ39" s="2100"/>
      <c r="AK39" s="2100"/>
      <c r="AL39" s="2100"/>
      <c r="AM39" s="2100"/>
      <c r="AN39" s="2100"/>
      <c r="AO39" s="322"/>
      <c r="AP39" s="322"/>
      <c r="AQ39" s="268"/>
      <c r="AR39" s="368"/>
      <c r="AS39" s="368"/>
      <c r="AT39" s="368"/>
      <c r="AU39" s="368"/>
      <c r="AV39" s="368"/>
    </row>
    <row s="3305"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415</v>
      </c>
      <c r="AG40" s="322"/>
      <c r="AH40" s="322"/>
      <c r="AI40" s="322"/>
      <c r="AJ40" s="322"/>
      <c r="AK40" s="322"/>
      <c r="AL40" s="322"/>
      <c r="AM40" s="322"/>
      <c r="AN40" s="322"/>
      <c r="AO40" s="266" t="s">
        <v>415</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288</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289</v>
      </c>
    </row>
    <row customHeight="1" ht="14.25">
      <c r="R43" s="377"/>
      <c r="S43" s="377"/>
      <c r="T43" s="377"/>
      <c r="U43" s="2125" t="s">
        <v>86</v>
      </c>
      <c r="V43" s="2062" t="s">
        <v>416</v>
      </c>
      <c r="W43" s="289"/>
      <c r="X43" s="2126" t="s">
        <v>417</v>
      </c>
      <c r="Y43" s="2146"/>
      <c r="Z43" s="2146"/>
      <c r="AA43" s="2146"/>
      <c r="AB43" s="2146"/>
      <c r="AC43" s="2127"/>
      <c r="AD43" s="2127"/>
      <c r="AE43" s="2128"/>
      <c r="AF43" s="2129" t="s">
        <v>418</v>
      </c>
      <c r="AG43" s="2126" t="s">
        <v>417</v>
      </c>
      <c r="AH43" s="2146"/>
      <c r="AI43" s="2146"/>
      <c r="AJ43" s="2146"/>
      <c r="AK43" s="2146"/>
      <c r="AL43" s="2127"/>
      <c r="AM43" s="2127"/>
      <c r="AN43" s="2128"/>
      <c r="AO43" s="2129" t="s">
        <v>419</v>
      </c>
      <c r="AP43" s="2132" t="s">
        <v>420</v>
      </c>
      <c r="AQ43" s="1971"/>
    </row>
    <row customHeight="1" ht="33.75">
      <c r="R44" s="377"/>
      <c r="S44" s="377"/>
      <c r="T44" s="377"/>
      <c r="U44" s="2125"/>
      <c r="V44" s="2062"/>
      <c r="W44" s="1038"/>
      <c r="X44" s="2144" t="s">
        <v>441</v>
      </c>
      <c r="Y44" s="2153" t="s">
        <v>442</v>
      </c>
      <c r="Z44" s="2153"/>
      <c r="AA44" s="2153"/>
      <c r="AB44" s="2153"/>
      <c r="AC44" s="2144" t="s">
        <v>424</v>
      </c>
      <c r="AD44" s="2162"/>
      <c r="AE44" s="2163"/>
      <c r="AF44" s="2130"/>
      <c r="AG44" s="2144" t="s">
        <v>441</v>
      </c>
      <c r="AH44" s="2153" t="s">
        <v>442</v>
      </c>
      <c r="AI44" s="2153"/>
      <c r="AJ44" s="2153"/>
      <c r="AK44" s="2153"/>
      <c r="AL44" s="2144" t="s">
        <v>424</v>
      </c>
      <c r="AM44" s="2162"/>
      <c r="AN44" s="2163"/>
      <c r="AO44" s="2130"/>
      <c r="AP44" s="2133"/>
      <c r="AQ44" s="1971"/>
    </row>
    <row customHeight="1" ht="14.25">
      <c r="R45" s="377"/>
      <c r="S45" s="377"/>
      <c r="T45" s="377"/>
      <c r="U45" s="2125"/>
      <c r="V45" s="2062"/>
      <c r="W45" s="1038"/>
      <c r="X45" s="2166"/>
      <c r="Y45" s="2154" t="s">
        <v>443</v>
      </c>
      <c r="Z45" s="2121" t="s">
        <v>444</v>
      </c>
      <c r="AA45" s="2157"/>
      <c r="AB45" s="2122"/>
      <c r="AC45" s="2145"/>
      <c r="AD45" s="2164"/>
      <c r="AE45" s="2165"/>
      <c r="AF45" s="2130"/>
      <c r="AG45" s="2166"/>
      <c r="AH45" s="2154" t="s">
        <v>443</v>
      </c>
      <c r="AI45" s="2121" t="s">
        <v>444</v>
      </c>
      <c r="AJ45" s="2157"/>
      <c r="AK45" s="2122"/>
      <c r="AL45" s="2145"/>
      <c r="AM45" s="2164"/>
      <c r="AN45" s="2165"/>
      <c r="AO45" s="2130"/>
      <c r="AP45" s="2133"/>
      <c r="AQ45" s="1971"/>
    </row>
    <row customHeight="1" ht="25.5">
      <c r="R46" s="377"/>
      <c r="S46" s="377"/>
      <c r="T46" s="377"/>
      <c r="U46" s="2125"/>
      <c r="V46" s="2062"/>
      <c r="W46" s="1038"/>
      <c r="X46" s="2166"/>
      <c r="Y46" s="2155"/>
      <c r="Z46" s="2154" t="s">
        <v>445</v>
      </c>
      <c r="AA46" s="2121" t="s">
        <v>446</v>
      </c>
      <c r="AB46" s="2122"/>
      <c r="AC46" s="2154" t="s">
        <v>434</v>
      </c>
      <c r="AD46" s="2158" t="s">
        <v>435</v>
      </c>
      <c r="AE46" s="2159"/>
      <c r="AF46" s="2130"/>
      <c r="AG46" s="2166"/>
      <c r="AH46" s="2155"/>
      <c r="AI46" s="2154" t="s">
        <v>445</v>
      </c>
      <c r="AJ46" s="2121" t="s">
        <v>446</v>
      </c>
      <c r="AK46" s="2122"/>
      <c r="AL46" s="2154" t="s">
        <v>434</v>
      </c>
      <c r="AM46" s="2158" t="s">
        <v>435</v>
      </c>
      <c r="AN46" s="2159"/>
      <c r="AO46" s="2130"/>
      <c r="AP46" s="2133"/>
      <c r="AQ46" s="1971"/>
    </row>
    <row customHeight="1" ht="62.25">
      <c r="A47" s="1288"/>
      <c r="B47" s="1288" t="s">
        <v>133</v>
      </c>
      <c r="C47" s="1288" t="s">
        <v>134</v>
      </c>
      <c r="D47" s="1288" t="s">
        <v>135</v>
      </c>
      <c r="E47" s="1340" t="s">
        <v>425</v>
      </c>
      <c r="F47" s="1340" t="s">
        <v>426</v>
      </c>
      <c r="G47" s="1340" t="s">
        <v>427</v>
      </c>
      <c r="H47" s="1340" t="s">
        <v>428</v>
      </c>
      <c r="I47" s="1340" t="s">
        <v>429</v>
      </c>
      <c r="J47" s="1340" t="s">
        <v>430</v>
      </c>
      <c r="K47" s="1340" t="s">
        <v>431</v>
      </c>
      <c r="L47" s="1340" t="s">
        <v>447</v>
      </c>
      <c r="M47" s="1340" t="s">
        <v>406</v>
      </c>
      <c r="R47" s="377"/>
      <c r="S47" s="377"/>
      <c r="T47" s="377"/>
      <c r="U47" s="2125"/>
      <c r="V47" s="2062"/>
      <c r="W47" s="290"/>
      <c r="X47" s="2145"/>
      <c r="Y47" s="2156"/>
      <c r="Z47" s="2156"/>
      <c r="AA47" s="1237" t="s">
        <v>448</v>
      </c>
      <c r="AB47" s="1237" t="s">
        <v>449</v>
      </c>
      <c r="AC47" s="2156"/>
      <c r="AD47" s="2160"/>
      <c r="AE47" s="2161"/>
      <c r="AF47" s="2131"/>
      <c r="AG47" s="2145"/>
      <c r="AH47" s="2156"/>
      <c r="AI47" s="2156"/>
      <c r="AJ47" s="1237" t="s">
        <v>448</v>
      </c>
      <c r="AK47" s="1237" t="s">
        <v>449</v>
      </c>
      <c r="AL47" s="2156"/>
      <c r="AM47" s="2160"/>
      <c r="AN47" s="2161"/>
      <c r="AO47" s="2131"/>
      <c r="AP47" s="2134"/>
      <c r="AQ47" s="1971"/>
    </row>
    <row s="2612"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107</v>
      </c>
      <c r="V48" s="1281" t="s">
        <v>108</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172</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121</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172</v>
      </c>
      <c r="B50" s="1296" t="s">
        <v>173</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387</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388</v>
      </c>
      <c r="AS50" s="506"/>
      <c r="AT50" s="506" t="str">
        <f>IF(V50="","",V50)</f>
        <v>Территория действия тарифа</v>
      </c>
      <c r="AU50" s="506"/>
      <c r="AV50" s="506"/>
    </row>
    <row customHeight="1" ht="22.5">
      <c r="A51" s="1296" t="s">
        <v>172</v>
      </c>
      <c r="B51" s="1296" t="s">
        <v>173</v>
      </c>
      <c r="C51" s="1296" t="s">
        <v>174</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389</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390</v>
      </c>
      <c r="AS51" s="506"/>
      <c r="AT51" s="506" t="str">
        <f>IF(V51="","",V51)</f>
        <v>Наименование системы теплоснабжения </v>
      </c>
      <c r="AU51" s="506"/>
      <c r="AV51" s="506"/>
    </row>
    <row customHeight="1" ht="21">
      <c r="A52" s="1296" t="s">
        <v>172</v>
      </c>
      <c r="B52" s="1296" t="s">
        <v>173</v>
      </c>
      <c r="C52" s="1296" t="s">
        <v>174</v>
      </c>
      <c r="D52" s="1296" t="s">
        <v>175</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391</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392</v>
      </c>
      <c r="AS52" s="506"/>
      <c r="AT52" s="506" t="str">
        <f>IF(V52="","",V52)</f>
        <v>Источник тепловой энергии  </v>
      </c>
      <c r="AU52" s="506"/>
      <c r="AV52" s="506"/>
    </row>
    <row s="2613" customFormat="1" customHeight="1" ht="0">
      <c r="A53" s="1405" t="s">
        <v>172</v>
      </c>
      <c r="B53" s="1405" t="s">
        <v>173</v>
      </c>
      <c r="C53" s="1405" t="s">
        <v>174</v>
      </c>
      <c r="D53" s="1405" t="s">
        <v>175</v>
      </c>
      <c r="E53" s="2168"/>
      <c r="F53" s="2168"/>
      <c r="G53" s="2168"/>
      <c r="H53" s="2170"/>
      <c r="I53" s="1971" t="str">
        <f>U52&amp;".1"</f>
        <v>....1</v>
      </c>
      <c r="J53" s="1405"/>
      <c r="K53" s="1405"/>
      <c r="L53" s="1405"/>
      <c r="M53" s="1411" t="s">
        <v>393</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172</v>
      </c>
      <c r="B54" s="1296" t="s">
        <v>173</v>
      </c>
      <c r="C54" s="1296" t="s">
        <v>174</v>
      </c>
      <c r="D54" s="1296" t="s">
        <v>175</v>
      </c>
      <c r="E54" s="2168"/>
      <c r="F54" s="2168"/>
      <c r="G54" s="2168"/>
      <c r="H54" s="2170"/>
      <c r="I54" s="1955"/>
      <c r="J54" s="1971" t="str">
        <f>I53&amp;".1"</f>
        <v>....1.1</v>
      </c>
      <c r="K54" s="1296"/>
      <c r="L54" s="1296"/>
      <c r="M54" s="1340" t="s">
        <v>396</v>
      </c>
      <c r="Q54" s="2111"/>
      <c r="R54" s="2111">
        <v>1</v>
      </c>
      <c r="S54" s="524"/>
      <c r="T54" s="353"/>
      <c r="U54" s="1366" t="str">
        <f>$J54</f>
        <v>....1.1</v>
      </c>
      <c r="V54" s="274" t="s">
        <v>397</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398</v>
      </c>
      <c r="AS54" s="506"/>
      <c r="AT54" s="506" t="str">
        <f>IF(V54="","",V54)</f>
        <v>Группа потребителей</v>
      </c>
      <c r="AU54" s="506"/>
      <c r="AV54" s="506"/>
    </row>
    <row customHeight="1" ht="21">
      <c r="A55" s="1296" t="s">
        <v>172</v>
      </c>
      <c r="B55" s="1296" t="s">
        <v>173</v>
      </c>
      <c r="C55" s="1296" t="s">
        <v>174</v>
      </c>
      <c r="D55" s="1296" t="s">
        <v>175</v>
      </c>
      <c r="E55" s="2168"/>
      <c r="F55" s="2168"/>
      <c r="G55" s="2168"/>
      <c r="H55" s="2170"/>
      <c r="I55" s="1955"/>
      <c r="J55" s="1955"/>
      <c r="K55" s="1971" t="str">
        <f>J54&amp;".1"</f>
        <v>....1.1.1</v>
      </c>
      <c r="L55" s="125"/>
      <c r="M55" s="1340" t="s">
        <v>399</v>
      </c>
      <c r="Q55" s="2111"/>
      <c r="R55" s="2111"/>
      <c r="S55" s="524">
        <v>1</v>
      </c>
      <c r="T55" s="353"/>
      <c r="U55" s="1366" t="str">
        <f>$K55</f>
        <v>....1.1.1</v>
      </c>
      <c r="V55" s="1377"/>
      <c r="W55" s="288"/>
      <c r="X55" s="757"/>
      <c r="Y55" s="757"/>
      <c r="Z55" s="757"/>
      <c r="AA55" s="757"/>
      <c r="AB55" s="1435"/>
      <c r="AC55" s="2112"/>
      <c r="AD55" s="1981" t="s">
        <v>60</v>
      </c>
      <c r="AE55" s="2112"/>
      <c r="AF55" s="1981" t="s">
        <v>60</v>
      </c>
      <c r="AG55" s="1437"/>
      <c r="AH55" s="757"/>
      <c r="AI55" s="757"/>
      <c r="AJ55" s="757"/>
      <c r="AK55" s="1285"/>
      <c r="AL55" s="2112"/>
      <c r="AM55" s="1981" t="s">
        <v>60</v>
      </c>
      <c r="AN55" s="2112"/>
      <c r="AO55" s="1981" t="s">
        <v>60</v>
      </c>
      <c r="AP55" s="1378"/>
      <c r="AQ55" s="1337" t="s">
        <v>438</v>
      </c>
      <c r="AR55" s="517">
        <f>STRCHECKDATE(X57:AP57)</f>
      </c>
      <c r="AS55" s="506"/>
      <c r="AT55" s="506" t="str">
        <f>IF(V55="","",V55)</f>
        <v/>
      </c>
      <c r="AU55" s="506"/>
      <c r="AV55" s="506"/>
    </row>
    <row customHeight="1" ht="11.25">
      <c r="A56" s="1296" t="s">
        <v>172</v>
      </c>
      <c r="B56" s="1296" t="s">
        <v>173</v>
      </c>
      <c r="C56" s="1296" t="s">
        <v>174</v>
      </c>
      <c r="D56" s="1296" t="s">
        <v>175</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439</v>
      </c>
      <c r="AR56" s="517">
        <f>STRCHECKDATE(X58:AP58)</f>
      </c>
      <c r="AS56" s="506"/>
      <c r="AT56" s="506" t="str">
        <f>IF(V56="","",V56)</f>
        <v/>
      </c>
      <c r="AU56" s="506"/>
      <c r="AV56" s="506"/>
    </row>
    <row customHeight="1" ht="0">
      <c r="A57" s="1296" t="s">
        <v>172</v>
      </c>
      <c r="B57" s="1296" t="s">
        <v>173</v>
      </c>
      <c r="C57" s="1296" t="s">
        <v>174</v>
      </c>
      <c r="D57" s="1296" t="s">
        <v>175</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172</v>
      </c>
      <c r="B58" s="1296" t="s">
        <v>173</v>
      </c>
      <c r="C58" s="1296" t="s">
        <v>174</v>
      </c>
      <c r="D58" s="1296" t="s">
        <v>175</v>
      </c>
      <c r="E58" s="2168"/>
      <c r="F58" s="2168"/>
      <c r="G58" s="2168"/>
      <c r="H58" s="2170"/>
      <c r="I58" s="1955"/>
      <c r="J58" s="1955"/>
      <c r="K58" s="1971"/>
      <c r="L58" s="1296"/>
      <c r="M58" s="1340"/>
      <c r="Q58" s="2111"/>
      <c r="R58" s="2111"/>
      <c r="S58" s="1361"/>
      <c r="T58" s="352"/>
      <c r="U58" s="1308"/>
      <c r="V58" s="276" t="s">
        <v>440</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172</v>
      </c>
      <c r="B59" s="1296" t="s">
        <v>173</v>
      </c>
      <c r="C59" s="1296" t="s">
        <v>174</v>
      </c>
      <c r="D59" s="1296" t="s">
        <v>175</v>
      </c>
      <c r="E59" s="2168"/>
      <c r="F59" s="2168"/>
      <c r="G59" s="2168"/>
      <c r="H59" s="2170"/>
      <c r="I59" s="1955"/>
      <c r="J59" s="1971"/>
      <c r="K59" s="1296"/>
      <c r="L59" s="1296"/>
      <c r="M59" s="1340"/>
      <c r="Q59" s="2111"/>
      <c r="R59" s="2111"/>
      <c r="S59" s="1361"/>
      <c r="T59" s="352"/>
      <c r="U59" s="1308"/>
      <c r="V59" s="275" t="s">
        <v>401</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172</v>
      </c>
      <c r="B60" s="1296" t="s">
        <v>173</v>
      </c>
      <c r="C60" s="1296" t="s">
        <v>174</v>
      </c>
      <c r="D60" s="1296" t="s">
        <v>175</v>
      </c>
      <c r="E60" s="2168"/>
      <c r="F60" s="2168"/>
      <c r="G60" s="2168"/>
      <c r="H60" s="2170"/>
      <c r="I60" s="1971"/>
      <c r="J60" s="1296"/>
      <c r="K60" s="1296"/>
      <c r="L60" s="1296"/>
      <c r="M60" s="1340"/>
      <c r="Q60" s="2111"/>
      <c r="R60" s="1361"/>
      <c r="S60" s="1361"/>
      <c r="T60" s="352"/>
      <c r="U60" s="1308"/>
      <c r="V60" s="364" t="s">
        <v>402</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172</v>
      </c>
      <c r="B61" s="1296" t="s">
        <v>173</v>
      </c>
      <c r="C61" s="1296" t="s">
        <v>174</v>
      </c>
      <c r="D61" s="1296" t="s">
        <v>175</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3" customFormat="1" customHeight="1" ht="0">
      <c r="A62" s="1405" t="s">
        <v>172</v>
      </c>
      <c r="B62" s="1405" t="s">
        <v>173</v>
      </c>
      <c r="C62" s="1405" t="s">
        <v>174</v>
      </c>
      <c r="D62" s="1404"/>
      <c r="E62" s="2168"/>
      <c r="F62" s="2168"/>
      <c r="G62" s="2167"/>
      <c r="H62" s="1404"/>
      <c r="I62" s="1404"/>
      <c r="J62" s="1404"/>
      <c r="K62" s="1404"/>
      <c r="L62" s="1404"/>
      <c r="M62" s="1407"/>
      <c r="N62" s="1408"/>
      <c r="O62" s="1408"/>
      <c r="P62" s="347"/>
      <c r="Q62" s="1346"/>
      <c r="R62" s="1347"/>
      <c r="S62" s="1346"/>
      <c r="T62" s="1346"/>
      <c r="U62" s="1352"/>
      <c r="V62" s="1355" t="s">
        <v>404</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3" customFormat="1" customHeight="1" ht="0">
      <c r="A63" s="1405" t="s">
        <v>172</v>
      </c>
      <c r="B63" s="1405" t="s">
        <v>173</v>
      </c>
      <c r="C63" s="1404"/>
      <c r="D63" s="1404"/>
      <c r="E63" s="2168"/>
      <c r="F63" s="2167"/>
      <c r="G63" s="1404"/>
      <c r="H63" s="1404"/>
      <c r="I63" s="1404"/>
      <c r="J63" s="1404"/>
      <c r="K63" s="1404"/>
      <c r="L63" s="1404"/>
      <c r="M63" s="1407"/>
      <c r="N63" s="1409"/>
      <c r="O63" s="1409"/>
      <c r="P63" s="347"/>
      <c r="Q63" s="1346"/>
      <c r="R63" s="1347"/>
      <c r="S63" s="1346"/>
      <c r="T63" s="1346"/>
      <c r="U63" s="1352"/>
      <c r="V63" s="1355" t="s">
        <v>214</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3" customFormat="1" customHeight="1" ht="0">
      <c r="A64" s="1405" t="s">
        <v>172</v>
      </c>
      <c r="B64" s="1405"/>
      <c r="C64" s="1405"/>
      <c r="D64" s="1405"/>
      <c r="E64" s="2167"/>
      <c r="F64" s="1405"/>
      <c r="G64" s="1405"/>
      <c r="H64" s="1405"/>
      <c r="I64" s="1405"/>
      <c r="J64" s="1405"/>
      <c r="K64" s="1405"/>
      <c r="L64" s="1405"/>
      <c r="M64" s="1411"/>
      <c r="N64" s="1409"/>
      <c r="O64" s="1409"/>
      <c r="P64" s="347"/>
      <c r="Q64" s="385"/>
      <c r="R64" s="1374"/>
      <c r="S64" s="385"/>
      <c r="T64" s="385"/>
      <c r="U64" s="1352"/>
      <c r="V64" s="1355" t="s">
        <v>215</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3"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216</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391E96-BEEF-F101-50C5-A76416721FC7}"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3" style="2940" width="21.7109375" hidden="1" customWidth="1"/>
    <col min="24" max="24" style="2940" width="11.7109375" hidden="1" customWidth="1"/>
    <col min="25" max="25" style="2940" width="3.7109375" hidden="1" customWidth="1"/>
    <col min="26" max="26" style="2940" width="11.7109375" hidden="1" customWidth="1"/>
    <col min="27" max="27" style="2940" width="8.57421875" hidden="1" customWidth="1"/>
    <col min="28" max="28" style="2940" width="5.421875" customWidth="1"/>
    <col min="29" max="30" style="2940" width="3.7109375" customWidth="1"/>
    <col min="31" max="31" style="2940" width="24.7109375" customWidth="1"/>
    <col min="32" max="34" style="2940" width="3.7109375" customWidth="1"/>
    <col min="35" max="35" style="2940" width="24.7109375" customWidth="1"/>
    <col min="36" max="38" style="2940" width="3.7109375" customWidth="1"/>
    <col min="39" max="39" style="2940" width="18.8515625" customWidth="1"/>
    <col min="40" max="41" style="2940" width="21.7109375" customWidth="1"/>
    <col min="42" max="42" style="2940" width="11.7109375" customWidth="1"/>
    <col min="43" max="43" style="2940" width="3.7109375" customWidth="1"/>
    <col min="44" max="44" style="2940" width="11.7109375" customWidth="1"/>
    <col min="45" max="45" style="2940" width="8.57421875" customWidth="1"/>
    <col min="46" max="46" style="2940" width="4.7109375" customWidth="1"/>
    <col min="47" max="47" style="2940" width="115.7109375" customWidth="1"/>
    <col min="48" max="49" style="2613" width="10.57421875"/>
    <col min="50" max="50" style="2613" width="11.140625" customWidth="1"/>
    <col min="51" max="52" style="2613"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121</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386</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387</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388</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389</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390</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391</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392</v>
      </c>
      <c r="AW5" s="506"/>
      <c r="AX5" s="506" t="str">
        <f>IF(T5="","",T5)</f>
        <v>Источник тепловой энергии  </v>
      </c>
      <c r="AY5" s="506"/>
      <c r="AZ5" s="506"/>
    </row>
    <row s="2613" customFormat="1" customHeight="1" ht="14.25" hidden="1">
      <c r="A6" s="1373"/>
      <c r="B6" s="1373"/>
      <c r="C6" s="1373"/>
      <c r="D6" s="1373"/>
      <c r="E6" s="2108"/>
      <c r="F6" s="2108"/>
      <c r="G6" s="2108"/>
      <c r="H6" s="2108"/>
      <c r="I6" s="2109">
        <f>S5&amp;".1"</f>
      </c>
      <c r="J6" s="1373"/>
      <c r="K6" s="1373"/>
      <c r="L6" s="1376" t="s">
        <v>393</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3"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60</v>
      </c>
      <c r="Z8" s="2112"/>
      <c r="AA8" s="1981" t="s">
        <v>60</v>
      </c>
      <c r="AB8" s="1981" t="s">
        <v>55</v>
      </c>
      <c r="AC8" s="2180"/>
      <c r="AD8" s="2057">
        <v>1</v>
      </c>
      <c r="AE8" s="2193"/>
      <c r="AF8" s="1981" t="s">
        <v>55</v>
      </c>
      <c r="AG8" s="2180"/>
      <c r="AH8" s="2057">
        <v>1</v>
      </c>
      <c r="AI8" s="2193"/>
      <c r="AJ8" s="1981" t="s">
        <v>55</v>
      </c>
      <c r="AK8" s="301"/>
      <c r="AL8" s="1367">
        <v>1</v>
      </c>
      <c r="AM8" s="1428"/>
      <c r="AN8" s="757"/>
      <c r="AO8" s="1285"/>
      <c r="AP8" s="1774"/>
      <c r="AQ8" s="1489" t="s">
        <v>60</v>
      </c>
      <c r="AR8" s="1774"/>
      <c r="AS8" s="1489" t="s">
        <v>60</v>
      </c>
      <c r="AT8" s="1378"/>
      <c r="AU8" s="2137" t="s">
        <v>450</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451</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452</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453</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454</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3"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3"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3"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404</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3"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214</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3"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215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55</v>
      </c>
      <c r="AC19" s="1531"/>
      <c r="AD19" s="554">
        <v>1</v>
      </c>
      <c r="AE19" s="1532"/>
      <c r="AF19" s="1354" t="s">
        <v>55</v>
      </c>
      <c r="AG19" s="1531"/>
      <c r="AH19" s="554">
        <v>1</v>
      </c>
      <c r="AI19" s="1532"/>
      <c r="AJ19" s="1354" t="s">
        <v>55</v>
      </c>
      <c r="AK19" s="1533"/>
      <c r="AL19" s="554">
        <v>1</v>
      </c>
      <c r="AM19" s="1536"/>
      <c r="AN19" s="1433"/>
      <c r="AO19" s="1434"/>
      <c r="AP19" s="1776"/>
      <c r="AQ19" s="1490" t="s">
        <v>60</v>
      </c>
      <c r="AR19" s="1776"/>
      <c r="AS19" s="1490" t="s">
        <v>60</v>
      </c>
    </row>
    <row customHeight="1" ht="14.25" hidden="1">
      <c r="AV20" s="502"/>
      <c r="AW20" s="502"/>
      <c r="AX20" s="502"/>
      <c r="AY20" s="502"/>
      <c r="AZ20" s="502"/>
    </row>
    <row customHeight="1" ht="14.25" hidden="1">
      <c r="O21" s="1397" t="s">
        <v>405</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488" customFormat="1" customHeight="1" ht="14.25" hidden="1">
      <c r="M23" s="1538"/>
      <c r="N23" s="1538"/>
      <c r="O23" s="1539" t="s">
        <v>406</v>
      </c>
      <c r="P23" s="1538"/>
      <c r="Q23" s="1540"/>
      <c r="R23" s="1540"/>
      <c r="Y23" s="1537" t="s">
        <v>408</v>
      </c>
      <c r="AA23" s="1537" t="s">
        <v>409</v>
      </c>
      <c r="AB23" s="1537" t="s">
        <v>455</v>
      </c>
      <c r="AE23" s="1537" t="s">
        <v>456</v>
      </c>
      <c r="AF23" s="1537" t="s">
        <v>455</v>
      </c>
      <c r="AI23" s="1537" t="s">
        <v>457</v>
      </c>
      <c r="AJ23" s="1537" t="s">
        <v>455</v>
      </c>
      <c r="AM23" s="1537" t="s">
        <v>458</v>
      </c>
      <c r="AQ23" s="1537" t="s">
        <v>408</v>
      </c>
      <c r="AS23" s="1537" t="s">
        <v>409</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АО "РИР" (филиал в г. Глазове)</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5"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Министерство строительства, жилищно-коммунального хозяйства и энергетики УР</v>
      </c>
      <c r="W30" s="2100"/>
      <c r="X30" s="2100"/>
      <c r="Y30" s="2100"/>
      <c r="Z30" s="2100"/>
      <c r="AA30" s="322"/>
      <c r="AB30" s="2100" t="str">
        <f>IF(TITLE_NAME_OR_PR_CHANGE="",IF(TITLE_NAME_OR_PR="","",TITLE_NAME_OR_PR),TITLE_NAME_OR_PR_CHANGE)</f>
        <v>Министерство строительства, жилищно-коммунального хозяйства и энергетики УР</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5" customFormat="1" customHeight="1" ht="18.75">
      <c r="A31" s="1398"/>
      <c r="B31" s="1398"/>
      <c r="C31" s="1398"/>
      <c r="D31" s="1398"/>
      <c r="E31" s="1398"/>
      <c r="F31" s="1398"/>
      <c r="G31" s="1398"/>
      <c r="H31" s="1398"/>
      <c r="I31" s="1398"/>
      <c r="J31" s="1398"/>
      <c r="K31" s="1398"/>
      <c r="L31" s="1399"/>
      <c r="M31" s="1398"/>
      <c r="N31" s="1398"/>
      <c r="O31" s="1398"/>
      <c r="P31" s="1398"/>
      <c r="Q31" s="1398"/>
      <c r="S31" s="2098" t="s">
        <v>411</v>
      </c>
      <c r="T31" s="2098"/>
      <c r="U31" s="1402"/>
      <c r="V31" s="2099" t="str">
        <f>IF(TITLE_DATE_PR_CHANGE="",IF(TITLE_DATE_PR="","",TITLE_DATE_PR),TITLE_DATE_PR_CHANGE)</f>
        <v>45272.383726851855</v>
      </c>
      <c r="W31" s="2099"/>
      <c r="X31" s="2099"/>
      <c r="Y31" s="2099"/>
      <c r="Z31" s="2099"/>
      <c r="AA31" s="322"/>
      <c r="AB31" s="2099" t="str">
        <f>IF(TITLE_DATE_PR_CHANGE="",IF(TITLE_DATE_PR="","",TITLE_DATE_PR),TITLE_DATE_PR_CHANGE)</f>
        <v>45272.383726851855</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100" t="str">
        <f>IF(TITLE_NUMBER_PR_CHANGE="",IF(TITLE_NUMBER_PR="","",TITLE_NUMBER_PR),TITLE_NUMBER_PR_CHANGE)</f>
        <v>30/68</v>
      </c>
      <c r="W32" s="2100"/>
      <c r="X32" s="2100"/>
      <c r="Y32" s="2100"/>
      <c r="Z32" s="2100"/>
      <c r="AA32" s="322"/>
      <c r="AB32" s="2100" t="str">
        <f>IF(TITLE_NUMBER_PR_CHANGE="",IF(TITLE_NUMBER_PR="","",TITLE_NUMBER_PR),TITLE_NUMBER_PR_CHANGE)</f>
        <v>30/68</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www.udmurt.ru</v>
      </c>
      <c r="W33" s="2100"/>
      <c r="X33" s="2100"/>
      <c r="Y33" s="2100"/>
      <c r="Z33" s="2100"/>
      <c r="AA33" s="322"/>
      <c r="AB33" s="2100" t="str">
        <f>IF(TITLE_IST_PUB_CHANGE="",IF(TITLE_IST_PUB="","",TITLE_IST_PUB),TITLE_IST_PUB_CHANGE)</f>
        <v>www.udmurt.ru</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5"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411</v>
      </c>
      <c r="T35" s="2098"/>
      <c r="U35" s="1402"/>
      <c r="V35" s="2099" t="str">
        <f>IF(TITLE_DATE_PR_CHANGE="",IF(TITLE_DATE_PR="","",TITLE_DATE_PR),TITLE_DATE_PR_CHANGE)</f>
        <v>45272.383726851855</v>
      </c>
      <c r="W35" s="2099"/>
      <c r="X35" s="2099"/>
      <c r="Y35" s="2099"/>
      <c r="Z35" s="2099"/>
      <c r="AA35" s="322"/>
      <c r="AB35" s="2099" t="str">
        <f>IF(TITLE_DATE_PR_CHANGE="",IF(TITLE_DATE_PR="","",TITLE_DATE_PR),TITLE_DATE_PR_CHANGE)</f>
        <v>45272.383726851855</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5"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100" t="str">
        <f>IF(TITLE_NUMBER_PR_CHANGE="",IF(TITLE_NUMBER_PR="","",TITLE_NUMBER_PR),TITLE_NUMBER_PR_CHANGE)</f>
        <v>30/68</v>
      </c>
      <c r="W36" s="2100"/>
      <c r="X36" s="2100"/>
      <c r="Y36" s="2100"/>
      <c r="Z36" s="2100"/>
      <c r="AA36" s="322"/>
      <c r="AB36" s="2100" t="str">
        <f>IF(TITLE_NUMBER_PR_CHANGE="",IF(TITLE_NUMBER_PR="","",TITLE_NUMBER_PR),TITLE_NUMBER_PR_CHANGE)</f>
        <v>30/68</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5"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415</v>
      </c>
      <c r="AB37" s="322"/>
      <c r="AC37" s="322"/>
      <c r="AD37" s="322"/>
      <c r="AE37" s="322"/>
      <c r="AF37" s="322"/>
      <c r="AG37" s="322"/>
      <c r="AH37" s="322"/>
      <c r="AI37" s="322"/>
      <c r="AJ37" s="322"/>
      <c r="AK37" s="322"/>
      <c r="AL37" s="322"/>
      <c r="AM37" s="322"/>
      <c r="AN37" s="322"/>
      <c r="AO37" s="322"/>
      <c r="AP37" s="322"/>
      <c r="AQ37" s="322"/>
      <c r="AR37" s="322"/>
      <c r="AS37" s="266" t="s">
        <v>415</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288</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289</v>
      </c>
    </row>
    <row customHeight="1" ht="14.25">
      <c r="Q40" s="279"/>
      <c r="R40" s="377"/>
      <c r="S40" s="2125" t="s">
        <v>86</v>
      </c>
      <c r="T40" s="2062" t="s">
        <v>459</v>
      </c>
      <c r="U40" s="289"/>
      <c r="V40" s="2127"/>
      <c r="W40" s="2127"/>
      <c r="X40" s="2127"/>
      <c r="Y40" s="2127"/>
      <c r="Z40" s="2128"/>
      <c r="AA40" s="2189" t="s">
        <v>418</v>
      </c>
      <c r="AB40" s="2173" t="s">
        <v>460</v>
      </c>
      <c r="AC40" s="2146"/>
      <c r="AD40" s="2146"/>
      <c r="AE40" s="2174"/>
      <c r="AF40" s="2146" t="s">
        <v>461</v>
      </c>
      <c r="AG40" s="2146"/>
      <c r="AH40" s="2146"/>
      <c r="AI40" s="2174"/>
      <c r="AJ40" s="2173" t="s">
        <v>462</v>
      </c>
      <c r="AK40" s="2146"/>
      <c r="AL40" s="2146"/>
      <c r="AM40" s="2174"/>
      <c r="AN40" s="2173" t="s">
        <v>417</v>
      </c>
      <c r="AO40" s="2146"/>
      <c r="AP40" s="2127"/>
      <c r="AQ40" s="2127"/>
      <c r="AR40" s="2128"/>
      <c r="AS40" s="2129" t="s">
        <v>418</v>
      </c>
      <c r="AT40" s="2132" t="s">
        <v>420</v>
      </c>
      <c r="AU40" s="1971"/>
    </row>
    <row customHeight="1" ht="33.75">
      <c r="Q41" s="279"/>
      <c r="R41" s="377"/>
      <c r="S41" s="2125"/>
      <c r="T41" s="2062"/>
      <c r="U41" s="1038"/>
      <c r="V41" s="2029" t="s">
        <v>463</v>
      </c>
      <c r="W41" s="2030"/>
      <c r="X41" s="2144" t="s">
        <v>424</v>
      </c>
      <c r="Y41" s="2162"/>
      <c r="Z41" s="2163"/>
      <c r="AA41" s="2190"/>
      <c r="AB41" s="2175"/>
      <c r="AC41" s="2176"/>
      <c r="AD41" s="2176"/>
      <c r="AE41" s="2188"/>
      <c r="AF41" s="2176"/>
      <c r="AG41" s="2176"/>
      <c r="AH41" s="2176"/>
      <c r="AI41" s="2188"/>
      <c r="AJ41" s="2175"/>
      <c r="AK41" s="2176"/>
      <c r="AL41" s="2176"/>
      <c r="AM41" s="2176"/>
      <c r="AN41" s="1971" t="s">
        <v>464</v>
      </c>
      <c r="AO41" s="1971"/>
      <c r="AP41" s="2162" t="s">
        <v>424</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133</v>
      </c>
      <c r="C43" s="1400" t="s">
        <v>134</v>
      </c>
      <c r="D43" s="1400" t="s">
        <v>135</v>
      </c>
      <c r="E43" s="1394" t="s">
        <v>425</v>
      </c>
      <c r="F43" s="1394" t="s">
        <v>426</v>
      </c>
      <c r="G43" s="1394" t="s">
        <v>427</v>
      </c>
      <c r="H43" s="1394" t="s">
        <v>428</v>
      </c>
      <c r="I43" s="1394" t="s">
        <v>429</v>
      </c>
      <c r="J43" s="1394" t="s">
        <v>430</v>
      </c>
      <c r="K43" s="1394" t="s">
        <v>431</v>
      </c>
      <c r="L43" s="1394" t="s">
        <v>406</v>
      </c>
      <c r="Q43" s="279"/>
      <c r="R43" s="377"/>
      <c r="S43" s="2125"/>
      <c r="T43" s="2062"/>
      <c r="U43" s="290"/>
      <c r="V43" s="1360" t="s">
        <v>465</v>
      </c>
      <c r="W43" s="1360" t="s">
        <v>466</v>
      </c>
      <c r="X43" s="1368" t="s">
        <v>434</v>
      </c>
      <c r="Y43" s="2121" t="s">
        <v>435</v>
      </c>
      <c r="Z43" s="2122"/>
      <c r="AA43" s="2191"/>
      <c r="AB43" s="2177"/>
      <c r="AC43" s="2178"/>
      <c r="AD43" s="2178"/>
      <c r="AE43" s="2179"/>
      <c r="AF43" s="2178"/>
      <c r="AG43" s="2178"/>
      <c r="AH43" s="2178"/>
      <c r="AI43" s="2179"/>
      <c r="AJ43" s="2177"/>
      <c r="AK43" s="2178"/>
      <c r="AL43" s="2178"/>
      <c r="AM43" s="2179"/>
      <c r="AN43" s="1903" t="s">
        <v>465</v>
      </c>
      <c r="AO43" s="1903" t="s">
        <v>466</v>
      </c>
      <c r="AP43" s="1368" t="s">
        <v>434</v>
      </c>
      <c r="AQ43" s="2121" t="s">
        <v>435</v>
      </c>
      <c r="AR43" s="2122"/>
      <c r="AS43" s="2131"/>
      <c r="AT43" s="2134"/>
      <c r="AU43" s="1971"/>
    </row>
    <row s="2612"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107</v>
      </c>
      <c r="T44" s="1281" t="s">
        <v>108</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196</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121</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196</v>
      </c>
      <c r="B46" s="1393" t="s">
        <v>197</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387</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388</v>
      </c>
      <c r="AW46" s="506"/>
      <c r="AX46" s="506" t="str">
        <f>IF(T46="","",T46)</f>
        <v>Территория действия тарифа</v>
      </c>
      <c r="AY46" s="506"/>
      <c r="AZ46" s="506"/>
    </row>
    <row customHeight="1" ht="23.25">
      <c r="A47" s="1393" t="s">
        <v>196</v>
      </c>
      <c r="B47" s="1393" t="s">
        <v>197</v>
      </c>
      <c r="C47" s="1393" t="s">
        <v>198</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389</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390</v>
      </c>
      <c r="AW47" s="506"/>
      <c r="AX47" s="506" t="str">
        <f>IF(T47="","",T47)</f>
        <v>Наименование системы теплоснабжения </v>
      </c>
      <c r="AY47" s="506"/>
      <c r="AZ47" s="506"/>
    </row>
    <row customHeight="1" ht="21">
      <c r="A48" s="1393" t="s">
        <v>196</v>
      </c>
      <c r="B48" s="1393" t="s">
        <v>197</v>
      </c>
      <c r="C48" s="1393" t="s">
        <v>198</v>
      </c>
      <c r="D48" s="1393" t="s">
        <v>199</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391</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392</v>
      </c>
      <c r="AW48" s="506"/>
      <c r="AX48" s="506" t="str">
        <f>IF(T48="","",T48)</f>
        <v>Источник тепловой энергии  </v>
      </c>
      <c r="AY48" s="506"/>
      <c r="AZ48" s="506"/>
    </row>
    <row s="2613" customFormat="1" customHeight="1" ht="0">
      <c r="A49" s="1373" t="s">
        <v>196</v>
      </c>
      <c r="B49" s="1373" t="s">
        <v>197</v>
      </c>
      <c r="C49" s="1373" t="s">
        <v>198</v>
      </c>
      <c r="D49" s="1373" t="s">
        <v>199</v>
      </c>
      <c r="E49" s="2108"/>
      <c r="F49" s="2108"/>
      <c r="G49" s="2108"/>
      <c r="H49" s="2108"/>
      <c r="I49" s="2109" t="str">
        <f>S48&amp;".1"</f>
        <v>....1</v>
      </c>
      <c r="J49" s="1373"/>
      <c r="K49" s="1373"/>
      <c r="L49" s="1376" t="s">
        <v>393</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3" customFormat="1" customHeight="1" ht="0">
      <c r="A50" s="1373" t="s">
        <v>196</v>
      </c>
      <c r="B50" s="1373" t="s">
        <v>197</v>
      </c>
      <c r="C50" s="1373" t="s">
        <v>198</v>
      </c>
      <c r="D50" s="1373" t="s">
        <v>199</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196</v>
      </c>
      <c r="B51" s="1393" t="s">
        <v>197</v>
      </c>
      <c r="C51" s="1393" t="s">
        <v>198</v>
      </c>
      <c r="D51" s="1393" t="s">
        <v>199</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60</v>
      </c>
      <c r="Z51" s="1774"/>
      <c r="AA51" s="1489" t="s">
        <v>60</v>
      </c>
      <c r="AB51" s="1981" t="s">
        <v>55</v>
      </c>
      <c r="AC51" s="2180"/>
      <c r="AD51" s="2057">
        <v>1</v>
      </c>
      <c r="AE51" s="2172" t="s">
        <v>24</v>
      </c>
      <c r="AF51" s="1981" t="s">
        <v>55</v>
      </c>
      <c r="AG51" s="2180"/>
      <c r="AH51" s="2057">
        <v>1</v>
      </c>
      <c r="AI51" s="2172" t="s">
        <v>24</v>
      </c>
      <c r="AJ51" s="1981" t="s">
        <v>55</v>
      </c>
      <c r="AK51" s="301"/>
      <c r="AL51" s="1367">
        <v>1</v>
      </c>
      <c r="AM51" s="1432"/>
      <c r="AN51" s="757"/>
      <c r="AO51" s="1285"/>
      <c r="AP51" s="1774"/>
      <c r="AQ51" s="1489" t="s">
        <v>60</v>
      </c>
      <c r="AR51" s="1774"/>
      <c r="AS51" s="1489" t="s">
        <v>60</v>
      </c>
      <c r="AT51" s="1378"/>
      <c r="AU51" s="2137" t="s">
        <v>467</v>
      </c>
      <c r="AV51" s="517">
        <f>STRCHECKDATE(V54:AT54)</f>
      </c>
      <c r="AW51" s="506"/>
      <c r="AX51" s="506" t="str">
        <f>IF(T51="","",T51)</f>
        <v/>
      </c>
      <c r="AY51" s="506"/>
      <c r="AZ51" s="506"/>
    </row>
    <row customHeight="1" ht="11.25">
      <c r="A52" s="1393" t="s">
        <v>196</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451</v>
      </c>
      <c r="AN52" s="1423"/>
      <c r="AO52" s="1526"/>
      <c r="AP52" s="1423"/>
      <c r="AQ52" s="1423"/>
      <c r="AR52" s="1423"/>
      <c r="AS52" s="1423"/>
      <c r="AT52" s="1420"/>
      <c r="AU52" s="2138"/>
      <c r="AW52" s="506"/>
      <c r="AX52" s="506"/>
      <c r="AY52" s="506"/>
      <c r="AZ52" s="506"/>
    </row>
    <row customHeight="1" ht="11.25">
      <c r="A53" s="1393" t="s">
        <v>196</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452</v>
      </c>
      <c r="AJ53" s="1423"/>
      <c r="AK53" s="1423"/>
      <c r="AL53" s="1423"/>
      <c r="AM53" s="1423"/>
      <c r="AN53" s="1423"/>
      <c r="AO53" s="1526"/>
      <c r="AP53" s="1423"/>
      <c r="AQ53" s="1423"/>
      <c r="AR53" s="1423"/>
      <c r="AS53" s="1423"/>
      <c r="AT53" s="1420"/>
      <c r="AU53" s="2138"/>
      <c r="AW53" s="506"/>
      <c r="AX53" s="506"/>
      <c r="AY53" s="506"/>
      <c r="AZ53" s="506"/>
    </row>
    <row customHeight="1" ht="11.25">
      <c r="A54" s="1393" t="s">
        <v>196</v>
      </c>
      <c r="B54" s="1393" t="s">
        <v>197</v>
      </c>
      <c r="C54" s="1393" t="s">
        <v>198</v>
      </c>
      <c r="D54" s="1393" t="s">
        <v>199</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453</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196</v>
      </c>
      <c r="B55" s="1393" t="s">
        <v>197</v>
      </c>
      <c r="C55" s="1393" t="s">
        <v>198</v>
      </c>
      <c r="D55" s="1393" t="s">
        <v>199</v>
      </c>
      <c r="E55" s="2108"/>
      <c r="F55" s="2108"/>
      <c r="G55" s="2108"/>
      <c r="H55" s="2108"/>
      <c r="I55" s="2110"/>
      <c r="J55" s="2109"/>
      <c r="K55" s="1393"/>
      <c r="L55" s="1394"/>
      <c r="P55" s="2111"/>
      <c r="Q55" s="2111"/>
      <c r="R55" s="352"/>
      <c r="S55" s="1308"/>
      <c r="T55" s="275" t="s">
        <v>454</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3" customFormat="1" customHeight="1" ht="0">
      <c r="A56" s="1373" t="s">
        <v>196</v>
      </c>
      <c r="B56" s="1373" t="s">
        <v>197</v>
      </c>
      <c r="C56" s="1373" t="s">
        <v>198</v>
      </c>
      <c r="D56" s="1373" t="s">
        <v>199</v>
      </c>
      <c r="E56" s="2108"/>
      <c r="F56" s="2108"/>
      <c r="G56" s="2108"/>
      <c r="H56" s="2108"/>
      <c r="I56" s="2109"/>
      <c r="J56" s="1373"/>
      <c r="K56" s="1373"/>
      <c r="L56" s="1376"/>
      <c r="M56" s="516"/>
      <c r="N56" s="516"/>
      <c r="O56" s="516"/>
      <c r="P56" s="2111"/>
      <c r="Q56" s="1361"/>
      <c r="R56" s="352"/>
      <c r="S56" s="1416"/>
      <c r="T56" s="1417" t="s">
        <v>402</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2" customFormat="1" customHeight="1" ht="0">
      <c r="A57" s="1373" t="s">
        <v>196</v>
      </c>
      <c r="B57" s="1373" t="s">
        <v>197</v>
      </c>
      <c r="C57" s="1373" t="s">
        <v>198</v>
      </c>
      <c r="D57" s="1373" t="s">
        <v>199</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3" customFormat="1" customHeight="1" ht="0">
      <c r="A58" s="1373" t="s">
        <v>196</v>
      </c>
      <c r="B58" s="1373" t="s">
        <v>197</v>
      </c>
      <c r="C58" s="1373" t="s">
        <v>198</v>
      </c>
      <c r="D58" s="1344"/>
      <c r="E58" s="2108"/>
      <c r="F58" s="2108"/>
      <c r="G58" s="2107"/>
      <c r="H58" s="1344"/>
      <c r="I58" s="1344"/>
      <c r="J58" s="1344"/>
      <c r="K58" s="1344"/>
      <c r="L58" s="1369"/>
      <c r="M58" s="1345"/>
      <c r="N58" s="1345"/>
      <c r="P58" s="1346"/>
      <c r="Q58" s="1347"/>
      <c r="R58" s="1346"/>
      <c r="S58" s="1352"/>
      <c r="T58" s="1355" t="s">
        <v>404</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3" customFormat="1" customHeight="1" ht="0">
      <c r="A59" s="1373" t="s">
        <v>196</v>
      </c>
      <c r="B59" s="1373" t="s">
        <v>197</v>
      </c>
      <c r="C59" s="1344"/>
      <c r="D59" s="1344"/>
      <c r="E59" s="2108"/>
      <c r="F59" s="2107"/>
      <c r="G59" s="1344"/>
      <c r="H59" s="1344"/>
      <c r="I59" s="1344"/>
      <c r="J59" s="1344"/>
      <c r="K59" s="1344"/>
      <c r="L59" s="1369"/>
      <c r="M59" s="1351"/>
      <c r="N59" s="1351"/>
      <c r="P59" s="1346"/>
      <c r="Q59" s="1347"/>
      <c r="R59" s="1346"/>
      <c r="S59" s="1352"/>
      <c r="T59" s="1355" t="s">
        <v>214</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3" customFormat="1" customHeight="1" ht="0">
      <c r="A60" s="1373" t="s">
        <v>196</v>
      </c>
      <c r="B60" s="1373"/>
      <c r="C60" s="1373"/>
      <c r="D60" s="1373"/>
      <c r="E60" s="2108"/>
      <c r="F60" s="1373"/>
      <c r="G60" s="1373"/>
      <c r="H60" s="1373"/>
      <c r="I60" s="1373"/>
      <c r="J60" s="1373"/>
      <c r="K60" s="1373"/>
      <c r="L60" s="1376"/>
      <c r="M60" s="1351"/>
      <c r="N60" s="1351"/>
      <c r="O60" s="524"/>
      <c r="P60" s="385"/>
      <c r="Q60" s="1374"/>
      <c r="R60" s="385"/>
      <c r="S60" s="1352"/>
      <c r="T60" s="1355" t="s">
        <v>215</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3" customFormat="1" customHeight="1" ht="0">
      <c r="A61" s="1373" t="s">
        <v>196</v>
      </c>
      <c r="B61" s="1373"/>
      <c r="C61" s="1373"/>
      <c r="D61" s="1373"/>
      <c r="E61" s="2107"/>
      <c r="F61" s="1373"/>
      <c r="G61" s="1373"/>
      <c r="H61" s="1373"/>
      <c r="I61" s="1373"/>
      <c r="J61" s="1373"/>
      <c r="K61" s="1373"/>
      <c r="L61" s="1376"/>
      <c r="M61" s="1351"/>
      <c r="N61" s="1351"/>
      <c r="O61" s="524"/>
      <c r="P61" s="385"/>
      <c r="Q61" s="1374"/>
      <c r="R61" s="385"/>
      <c r="S61" s="1352"/>
      <c r="T61" s="1355" t="s">
        <v>215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3"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216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C6A89E-A2F8-BADF-2A0C-89FAC97ACE9F}" mc:Ignorable="x14ac xr xr2 xr3">
  <sheetPr>
    <tabColor theme="6" tint="0.4"/>
  </sheetPr>
  <dimension ref="A1:GG61"/>
  <sheetViews>
    <sheetView topLeftCell="FF37" showGridLines="0" zoomScale="90" workbookViewId="0">
      <selection activeCell="FW54" sqref="FW54"/>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989" width="19.140625" hidden="1" customWidth="1"/>
    <col min="13" max="14" style="3294" width="12.28125" hidden="1" customWidth="1"/>
    <col min="15" max="15" style="3294" width="23.421875" hidden="1" customWidth="1"/>
    <col min="16" max="16" style="4658"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customWidth="1"/>
    <col min="39" max="39" width="12.54296875" customWidth="1"/>
    <col min="41" max="41" width="12.69140625" customWidth="1"/>
    <col min="46" max="46" width="10.953125" customWidth="1"/>
    <col min="48" max="48" width="13.01171875" customWidth="1"/>
    <col min="53" max="53" width="13.171875" customWidth="1"/>
    <col min="55" max="55" width="15.390625" customWidth="1"/>
    <col min="182" max="182" width="10.57421875" hidden="1"/>
    <col min="183" max="183" style="2940" width="4.7109375" customWidth="1"/>
    <col min="184" max="184" style="2940" width="115.7109375" customWidth="1"/>
    <col min="185" max="186" style="2613" width="10.57421875"/>
    <col min="187" max="187" style="2613" width="11.140625" customWidth="1"/>
    <col min="188" max="189" style="2613" width="10.57421875"/>
  </cols>
  <sheetData>
    <row customHeight="1" ht="14.25" hidden="1">
      <c r="X1" s="323"/>
      <c r="Y1" s="323"/>
      <c r="AE1" s="323"/>
      <c r="AF1" s="323"/>
      <c r="AJ1" s="3513"/>
      <c r="AK1" s="3513"/>
      <c r="AL1" s="3513"/>
      <c r="AM1" s="3513"/>
      <c r="AN1" s="3513"/>
      <c r="AO1" s="3513"/>
      <c r="AP1" s="3513"/>
      <c r="AQ1" s="3513"/>
      <c r="AR1" s="3513"/>
      <c r="AS1" s="3513"/>
      <c r="AT1" s="3513"/>
      <c r="AU1" s="3513"/>
      <c r="AV1" s="3513"/>
      <c r="AW1" s="3513"/>
      <c r="AX1" s="3513"/>
      <c r="AY1" s="3513"/>
      <c r="AZ1" s="3513"/>
      <c r="BA1" s="3513"/>
      <c r="BB1" s="3513"/>
      <c r="BC1" s="3513"/>
      <c r="BD1" s="3513"/>
      <c r="BE1" s="3513"/>
      <c r="BF1" s="3513"/>
      <c r="BG1" s="3513"/>
      <c r="BH1" s="3513"/>
      <c r="BI1" s="3513"/>
      <c r="BJ1" s="3513"/>
      <c r="BK1" s="3513"/>
      <c r="BL1" s="3513"/>
      <c r="BM1" s="3513"/>
      <c r="BN1" s="3513"/>
      <c r="BO1" s="3513"/>
      <c r="BP1" s="3513"/>
      <c r="BQ1" s="3513"/>
      <c r="BR1" s="3513"/>
      <c r="BS1" s="3513"/>
      <c r="BT1" s="3513"/>
      <c r="BU1" s="3513"/>
      <c r="BV1" s="3513"/>
      <c r="BW1" s="3513"/>
      <c r="BX1" s="3513"/>
      <c r="BY1" s="3513"/>
      <c r="BZ1" s="3513"/>
      <c r="CA1" s="3513"/>
      <c r="CB1" s="3513"/>
      <c r="CC1" s="3513"/>
      <c r="CD1" s="3513"/>
      <c r="CE1" s="3513"/>
      <c r="CF1" s="3513"/>
      <c r="CG1" s="3513"/>
      <c r="CH1" s="3513"/>
      <c r="CI1" s="3513"/>
      <c r="CJ1" s="3513"/>
      <c r="CK1" s="3513"/>
      <c r="CL1" s="3513"/>
      <c r="CM1" s="3513"/>
      <c r="CN1" s="3513"/>
      <c r="CO1" s="3513"/>
      <c r="CP1" s="3513"/>
      <c r="CQ1" s="3513"/>
      <c r="CR1" s="3513"/>
      <c r="CS1" s="3513"/>
      <c r="CT1" s="3513"/>
      <c r="CU1" s="3513"/>
      <c r="CV1" s="3513"/>
      <c r="CW1" s="3513"/>
      <c r="CX1" s="3513"/>
      <c r="CY1" s="3513"/>
      <c r="CZ1" s="3513"/>
      <c r="DA1" s="3513"/>
      <c r="DB1" s="3513"/>
      <c r="DC1" s="3513"/>
      <c r="DD1" s="3513"/>
      <c r="DE1" s="3513"/>
      <c r="DF1" s="3513"/>
      <c r="DG1" s="3513"/>
      <c r="DH1" s="3513"/>
      <c r="DI1" s="3513"/>
      <c r="DJ1" s="3513"/>
      <c r="DK1" s="3513"/>
      <c r="DL1" s="3513"/>
      <c r="DM1" s="3513"/>
      <c r="DN1" s="3513"/>
      <c r="DO1" s="3513"/>
      <c r="DP1" s="3513"/>
      <c r="DQ1" s="3513"/>
      <c r="DR1" s="3513"/>
      <c r="DS1" s="3513"/>
      <c r="DT1" s="3513"/>
      <c r="DU1" s="3513"/>
      <c r="DV1" s="3513"/>
      <c r="DW1" s="3513"/>
      <c r="DX1" s="3513"/>
      <c r="DY1" s="3513"/>
      <c r="DZ1" s="3513"/>
      <c r="EA1" s="3513"/>
      <c r="EB1" s="3513"/>
      <c r="EC1" s="3513"/>
      <c r="ED1" s="3513"/>
      <c r="EE1" s="3513"/>
      <c r="EF1" s="3513"/>
      <c r="EG1" s="3513"/>
      <c r="EH1" s="3513"/>
      <c r="EI1" s="3513"/>
      <c r="EJ1" s="3513"/>
      <c r="EK1" s="3513"/>
      <c r="EL1" s="3513"/>
      <c r="EM1" s="3513"/>
      <c r="EN1" s="3513"/>
      <c r="EO1" s="3513"/>
      <c r="EP1" s="3513"/>
      <c r="EQ1" s="3513"/>
      <c r="ER1" s="3513"/>
      <c r="ES1" s="3513"/>
      <c r="ET1" s="3513"/>
      <c r="EU1" s="3513"/>
      <c r="EV1" s="3513"/>
      <c r="EW1" s="3513"/>
      <c r="EX1" s="3513"/>
      <c r="EY1" s="3513"/>
      <c r="EZ1" s="3513"/>
      <c r="FA1" s="3513"/>
      <c r="FB1" s="3513"/>
      <c r="FC1" s="3513"/>
      <c r="FD1" s="3513"/>
      <c r="FE1" s="3513"/>
      <c r="FF1" s="3513"/>
      <c r="FG1" s="3513"/>
      <c r="FH1" s="3513"/>
      <c r="FI1" s="3513"/>
      <c r="FJ1" s="3513"/>
      <c r="FK1" s="3513"/>
      <c r="FL1" s="3513"/>
      <c r="FM1" s="3513"/>
      <c r="FN1" s="3513"/>
      <c r="FO1" s="3513"/>
      <c r="FP1" s="3513"/>
      <c r="FQ1" s="3513"/>
      <c r="FR1" s="3513"/>
      <c r="FS1" s="3513"/>
      <c r="FT1" s="3513"/>
      <c r="FU1" s="3513"/>
      <c r="FV1" s="3513"/>
      <c r="FW1" s="3513"/>
      <c r="FX1" s="3513"/>
      <c r="FY1" s="3513"/>
      <c r="FZ1" s="351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3515"/>
      <c r="AK2" s="3516"/>
      <c r="AL2" s="3516"/>
      <c r="AM2" s="3516"/>
      <c r="AN2" s="3516"/>
      <c r="AO2" s="3516"/>
      <c r="AP2" s="3517"/>
      <c r="AQ2" s="3515"/>
      <c r="AR2" s="3516"/>
      <c r="AS2" s="3516"/>
      <c r="AT2" s="3516"/>
      <c r="AU2" s="3516"/>
      <c r="AV2" s="3516"/>
      <c r="AW2" s="3517"/>
      <c r="AX2" s="3515"/>
      <c r="AY2" s="3516"/>
      <c r="AZ2" s="3516"/>
      <c r="BA2" s="3516"/>
      <c r="BB2" s="3516"/>
      <c r="BC2" s="3516"/>
      <c r="BD2" s="3517"/>
      <c r="BE2" s="3515"/>
      <c r="BF2" s="3516"/>
      <c r="BG2" s="3516"/>
      <c r="BH2" s="3516"/>
      <c r="BI2" s="3516"/>
      <c r="BJ2" s="3516"/>
      <c r="BK2" s="3517"/>
      <c r="BL2" s="3515"/>
      <c r="BM2" s="3516"/>
      <c r="BN2" s="3516"/>
      <c r="BO2" s="3516"/>
      <c r="BP2" s="3516"/>
      <c r="BQ2" s="3516"/>
      <c r="BR2" s="3517"/>
      <c r="BS2" s="3515"/>
      <c r="BT2" s="3516"/>
      <c r="BU2" s="3516"/>
      <c r="BV2" s="3516"/>
      <c r="BW2" s="3516"/>
      <c r="BX2" s="3516"/>
      <c r="BY2" s="3517"/>
      <c r="BZ2" s="3515"/>
      <c r="CA2" s="3516"/>
      <c r="CB2" s="3516"/>
      <c r="CC2" s="3516"/>
      <c r="CD2" s="3516"/>
      <c r="CE2" s="3516"/>
      <c r="CF2" s="3517"/>
      <c r="CG2" s="3515"/>
      <c r="CH2" s="3516"/>
      <c r="CI2" s="3516"/>
      <c r="CJ2" s="3516"/>
      <c r="CK2" s="3516"/>
      <c r="CL2" s="3516"/>
      <c r="CM2" s="3517"/>
      <c r="CN2" s="3515"/>
      <c r="CO2" s="3516"/>
      <c r="CP2" s="3516"/>
      <c r="CQ2" s="3516"/>
      <c r="CR2" s="3516"/>
      <c r="CS2" s="3516"/>
      <c r="CT2" s="3517"/>
      <c r="CU2" s="3515"/>
      <c r="CV2" s="3516"/>
      <c r="CW2" s="3516"/>
      <c r="CX2" s="3516"/>
      <c r="CY2" s="3516"/>
      <c r="CZ2" s="3516"/>
      <c r="DA2" s="3517"/>
      <c r="DB2" s="3515"/>
      <c r="DC2" s="3516"/>
      <c r="DD2" s="3516"/>
      <c r="DE2" s="3516"/>
      <c r="DF2" s="3516"/>
      <c r="DG2" s="3516"/>
      <c r="DH2" s="3517"/>
      <c r="DI2" s="3515"/>
      <c r="DJ2" s="3516"/>
      <c r="DK2" s="3516"/>
      <c r="DL2" s="3516"/>
      <c r="DM2" s="3516"/>
      <c r="DN2" s="3516"/>
      <c r="DO2" s="3517"/>
      <c r="DP2" s="3515"/>
      <c r="DQ2" s="3516"/>
      <c r="DR2" s="3516"/>
      <c r="DS2" s="3516"/>
      <c r="DT2" s="3516"/>
      <c r="DU2" s="3516"/>
      <c r="DV2" s="3517"/>
      <c r="DW2" s="3515"/>
      <c r="DX2" s="3516"/>
      <c r="DY2" s="3516"/>
      <c r="DZ2" s="3516"/>
      <c r="EA2" s="3516"/>
      <c r="EB2" s="3516"/>
      <c r="EC2" s="3517"/>
      <c r="ED2" s="3515"/>
      <c r="EE2" s="3516"/>
      <c r="EF2" s="3516"/>
      <c r="EG2" s="3516"/>
      <c r="EH2" s="3516"/>
      <c r="EI2" s="3516"/>
      <c r="EJ2" s="3517"/>
      <c r="EK2" s="3515"/>
      <c r="EL2" s="3516"/>
      <c r="EM2" s="3516"/>
      <c r="EN2" s="3516"/>
      <c r="EO2" s="3516"/>
      <c r="EP2" s="3516"/>
      <c r="EQ2" s="3517"/>
      <c r="ER2" s="3515"/>
      <c r="ES2" s="3516"/>
      <c r="ET2" s="3516"/>
      <c r="EU2" s="3516"/>
      <c r="EV2" s="3516"/>
      <c r="EW2" s="3516"/>
      <c r="EX2" s="3517"/>
      <c r="EY2" s="3515"/>
      <c r="EZ2" s="3516"/>
      <c r="FA2" s="3516"/>
      <c r="FB2" s="3516"/>
      <c r="FC2" s="3516"/>
      <c r="FD2" s="3516"/>
      <c r="FE2" s="3517"/>
      <c r="FF2" s="3515"/>
      <c r="FG2" s="3516"/>
      <c r="FH2" s="3516"/>
      <c r="FI2" s="3516"/>
      <c r="FJ2" s="3516"/>
      <c r="FK2" s="3516"/>
      <c r="FL2" s="3517"/>
      <c r="FM2" s="3515"/>
      <c r="FN2" s="3516"/>
      <c r="FO2" s="3516"/>
      <c r="FP2" s="3516"/>
      <c r="FQ2" s="3516"/>
      <c r="FR2" s="3516"/>
      <c r="FS2" s="3517"/>
      <c r="FT2" s="3515"/>
      <c r="FU2" s="3516"/>
      <c r="FV2" s="3516"/>
      <c r="FW2" s="3516"/>
      <c r="FX2" s="3516"/>
      <c r="FY2" s="3516"/>
      <c r="FZ2" s="3517"/>
      <c r="GA2" s="2103"/>
      <c r="GB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GD2" s="506"/>
      <c r="GE2" s="506" t="str">
        <f>IF(T2="","",T2)</f>
        <v>Наименование тарифа</v>
      </c>
      <c r="GF2" s="506"/>
      <c r="GG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387</v>
      </c>
      <c r="U3" s="288"/>
      <c r="V3" s="2101"/>
      <c r="W3" s="2102"/>
      <c r="X3" s="2102"/>
      <c r="Y3" s="2102"/>
      <c r="Z3" s="2102"/>
      <c r="AA3" s="2102"/>
      <c r="AB3" s="2103"/>
      <c r="AC3" s="2101">
        <f>INDEX(PT_DIFFERENTIATION_TER,MATCH(B3,PT_DIFFERENTIATION_TER_ID,0))</f>
      </c>
      <c r="AD3" s="2102"/>
      <c r="AE3" s="2102"/>
      <c r="AF3" s="2102"/>
      <c r="AG3" s="2102"/>
      <c r="AH3" s="2102"/>
      <c r="AI3" s="2102"/>
      <c r="AJ3" s="3515"/>
      <c r="AK3" s="3516"/>
      <c r="AL3" s="3516"/>
      <c r="AM3" s="3516"/>
      <c r="AN3" s="3516"/>
      <c r="AO3" s="3516"/>
      <c r="AP3" s="3517"/>
      <c r="AQ3" s="3515"/>
      <c r="AR3" s="3516"/>
      <c r="AS3" s="3516"/>
      <c r="AT3" s="3516"/>
      <c r="AU3" s="3516"/>
      <c r="AV3" s="3516"/>
      <c r="AW3" s="3517"/>
      <c r="AX3" s="3515"/>
      <c r="AY3" s="3516"/>
      <c r="AZ3" s="3516"/>
      <c r="BA3" s="3516"/>
      <c r="BB3" s="3516"/>
      <c r="BC3" s="3516"/>
      <c r="BD3" s="3517"/>
      <c r="BE3" s="3515"/>
      <c r="BF3" s="3516"/>
      <c r="BG3" s="3516"/>
      <c r="BH3" s="3516"/>
      <c r="BI3" s="3516"/>
      <c r="BJ3" s="3516"/>
      <c r="BK3" s="3517"/>
      <c r="BL3" s="3515"/>
      <c r="BM3" s="3516"/>
      <c r="BN3" s="3516"/>
      <c r="BO3" s="3516"/>
      <c r="BP3" s="3516"/>
      <c r="BQ3" s="3516"/>
      <c r="BR3" s="3517"/>
      <c r="BS3" s="3515"/>
      <c r="BT3" s="3516"/>
      <c r="BU3" s="3516"/>
      <c r="BV3" s="3516"/>
      <c r="BW3" s="3516"/>
      <c r="BX3" s="3516"/>
      <c r="BY3" s="3517"/>
      <c r="BZ3" s="3515"/>
      <c r="CA3" s="3516"/>
      <c r="CB3" s="3516"/>
      <c r="CC3" s="3516"/>
      <c r="CD3" s="3516"/>
      <c r="CE3" s="3516"/>
      <c r="CF3" s="3517"/>
      <c r="CG3" s="3515"/>
      <c r="CH3" s="3516"/>
      <c r="CI3" s="3516"/>
      <c r="CJ3" s="3516"/>
      <c r="CK3" s="3516"/>
      <c r="CL3" s="3516"/>
      <c r="CM3" s="3517"/>
      <c r="CN3" s="3515"/>
      <c r="CO3" s="3516"/>
      <c r="CP3" s="3516"/>
      <c r="CQ3" s="3516"/>
      <c r="CR3" s="3516"/>
      <c r="CS3" s="3516"/>
      <c r="CT3" s="3517"/>
      <c r="CU3" s="3515"/>
      <c r="CV3" s="3516"/>
      <c r="CW3" s="3516"/>
      <c r="CX3" s="3516"/>
      <c r="CY3" s="3516"/>
      <c r="CZ3" s="3516"/>
      <c r="DA3" s="3517"/>
      <c r="DB3" s="3515"/>
      <c r="DC3" s="3516"/>
      <c r="DD3" s="3516"/>
      <c r="DE3" s="3516"/>
      <c r="DF3" s="3516"/>
      <c r="DG3" s="3516"/>
      <c r="DH3" s="3517"/>
      <c r="DI3" s="3515"/>
      <c r="DJ3" s="3516"/>
      <c r="DK3" s="3516"/>
      <c r="DL3" s="3516"/>
      <c r="DM3" s="3516"/>
      <c r="DN3" s="3516"/>
      <c r="DO3" s="3517"/>
      <c r="DP3" s="3515"/>
      <c r="DQ3" s="3516"/>
      <c r="DR3" s="3516"/>
      <c r="DS3" s="3516"/>
      <c r="DT3" s="3516"/>
      <c r="DU3" s="3516"/>
      <c r="DV3" s="3517"/>
      <c r="DW3" s="3515"/>
      <c r="DX3" s="3516"/>
      <c r="DY3" s="3516"/>
      <c r="DZ3" s="3516"/>
      <c r="EA3" s="3516"/>
      <c r="EB3" s="3516"/>
      <c r="EC3" s="3517"/>
      <c r="ED3" s="3515"/>
      <c r="EE3" s="3516"/>
      <c r="EF3" s="3516"/>
      <c r="EG3" s="3516"/>
      <c r="EH3" s="3516"/>
      <c r="EI3" s="3516"/>
      <c r="EJ3" s="3517"/>
      <c r="EK3" s="3515"/>
      <c r="EL3" s="3516"/>
      <c r="EM3" s="3516"/>
      <c r="EN3" s="3516"/>
      <c r="EO3" s="3516"/>
      <c r="EP3" s="3516"/>
      <c r="EQ3" s="3517"/>
      <c r="ER3" s="3515"/>
      <c r="ES3" s="3516"/>
      <c r="ET3" s="3516"/>
      <c r="EU3" s="3516"/>
      <c r="EV3" s="3516"/>
      <c r="EW3" s="3516"/>
      <c r="EX3" s="3517"/>
      <c r="EY3" s="3515"/>
      <c r="EZ3" s="3516"/>
      <c r="FA3" s="3516"/>
      <c r="FB3" s="3516"/>
      <c r="FC3" s="3516"/>
      <c r="FD3" s="3516"/>
      <c r="FE3" s="3517"/>
      <c r="FF3" s="3515"/>
      <c r="FG3" s="3516"/>
      <c r="FH3" s="3516"/>
      <c r="FI3" s="3516"/>
      <c r="FJ3" s="3516"/>
      <c r="FK3" s="3516"/>
      <c r="FL3" s="3517"/>
      <c r="FM3" s="3515"/>
      <c r="FN3" s="3516"/>
      <c r="FO3" s="3516"/>
      <c r="FP3" s="3516"/>
      <c r="FQ3" s="3516"/>
      <c r="FR3" s="3516"/>
      <c r="FS3" s="3517"/>
      <c r="FT3" s="3515"/>
      <c r="FU3" s="3516"/>
      <c r="FV3" s="3516"/>
      <c r="FW3" s="3516"/>
      <c r="FX3" s="3516"/>
      <c r="FY3" s="3516"/>
      <c r="FZ3" s="3517"/>
      <c r="GA3" s="2103"/>
      <c r="GB3" s="1286" t="s">
        <v>388</v>
      </c>
      <c r="GD3" s="506"/>
      <c r="GE3" s="506" t="str">
        <f>IF(T3="","",T3)</f>
        <v>Территория действия тарифа</v>
      </c>
      <c r="GF3" s="506"/>
      <c r="GG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468</v>
      </c>
      <c r="U4" s="288"/>
      <c r="V4" s="2101"/>
      <c r="W4" s="2102"/>
      <c r="X4" s="2102"/>
      <c r="Y4" s="2102"/>
      <c r="Z4" s="2102"/>
      <c r="AA4" s="2102"/>
      <c r="AB4" s="2103"/>
      <c r="AC4" s="2101">
        <f>INDEX(PT_DIFFERENTIATION_CS,MATCH(C4,PT_DIFFERENTIATION_CS_ID,0))</f>
      </c>
      <c r="AD4" s="2102"/>
      <c r="AE4" s="2102"/>
      <c r="AF4" s="2102"/>
      <c r="AG4" s="2102"/>
      <c r="AH4" s="2102"/>
      <c r="AI4" s="2102"/>
      <c r="AJ4" s="3515"/>
      <c r="AK4" s="3516"/>
      <c r="AL4" s="3516"/>
      <c r="AM4" s="3516"/>
      <c r="AN4" s="3516"/>
      <c r="AO4" s="3516"/>
      <c r="AP4" s="3517"/>
      <c r="AQ4" s="3515"/>
      <c r="AR4" s="3516"/>
      <c r="AS4" s="3516"/>
      <c r="AT4" s="3516"/>
      <c r="AU4" s="3516"/>
      <c r="AV4" s="3516"/>
      <c r="AW4" s="3517"/>
      <c r="AX4" s="3515"/>
      <c r="AY4" s="3516"/>
      <c r="AZ4" s="3516"/>
      <c r="BA4" s="3516"/>
      <c r="BB4" s="3516"/>
      <c r="BC4" s="3516"/>
      <c r="BD4" s="3517"/>
      <c r="BE4" s="3515"/>
      <c r="BF4" s="3516"/>
      <c r="BG4" s="3516"/>
      <c r="BH4" s="3516"/>
      <c r="BI4" s="3516"/>
      <c r="BJ4" s="3516"/>
      <c r="BK4" s="3517"/>
      <c r="BL4" s="3515"/>
      <c r="BM4" s="3516"/>
      <c r="BN4" s="3516"/>
      <c r="BO4" s="3516"/>
      <c r="BP4" s="3516"/>
      <c r="BQ4" s="3516"/>
      <c r="BR4" s="3517"/>
      <c r="BS4" s="3515"/>
      <c r="BT4" s="3516"/>
      <c r="BU4" s="3516"/>
      <c r="BV4" s="3516"/>
      <c r="BW4" s="3516"/>
      <c r="BX4" s="3516"/>
      <c r="BY4" s="3517"/>
      <c r="BZ4" s="3515"/>
      <c r="CA4" s="3516"/>
      <c r="CB4" s="3516"/>
      <c r="CC4" s="3516"/>
      <c r="CD4" s="3516"/>
      <c r="CE4" s="3516"/>
      <c r="CF4" s="3517"/>
      <c r="CG4" s="3515"/>
      <c r="CH4" s="3516"/>
      <c r="CI4" s="3516"/>
      <c r="CJ4" s="3516"/>
      <c r="CK4" s="3516"/>
      <c r="CL4" s="3516"/>
      <c r="CM4" s="3517"/>
      <c r="CN4" s="3515"/>
      <c r="CO4" s="3516"/>
      <c r="CP4" s="3516"/>
      <c r="CQ4" s="3516"/>
      <c r="CR4" s="3516"/>
      <c r="CS4" s="3516"/>
      <c r="CT4" s="3517"/>
      <c r="CU4" s="3515"/>
      <c r="CV4" s="3516"/>
      <c r="CW4" s="3516"/>
      <c r="CX4" s="3516"/>
      <c r="CY4" s="3516"/>
      <c r="CZ4" s="3516"/>
      <c r="DA4" s="3517"/>
      <c r="DB4" s="3515"/>
      <c r="DC4" s="3516"/>
      <c r="DD4" s="3516"/>
      <c r="DE4" s="3516"/>
      <c r="DF4" s="3516"/>
      <c r="DG4" s="3516"/>
      <c r="DH4" s="3517"/>
      <c r="DI4" s="3515"/>
      <c r="DJ4" s="3516"/>
      <c r="DK4" s="3516"/>
      <c r="DL4" s="3516"/>
      <c r="DM4" s="3516"/>
      <c r="DN4" s="3516"/>
      <c r="DO4" s="3517"/>
      <c r="DP4" s="3515"/>
      <c r="DQ4" s="3516"/>
      <c r="DR4" s="3516"/>
      <c r="DS4" s="3516"/>
      <c r="DT4" s="3516"/>
      <c r="DU4" s="3516"/>
      <c r="DV4" s="3517"/>
      <c r="DW4" s="3515"/>
      <c r="DX4" s="3516"/>
      <c r="DY4" s="3516"/>
      <c r="DZ4" s="3516"/>
      <c r="EA4" s="3516"/>
      <c r="EB4" s="3516"/>
      <c r="EC4" s="3517"/>
      <c r="ED4" s="3515"/>
      <c r="EE4" s="3516"/>
      <c r="EF4" s="3516"/>
      <c r="EG4" s="3516"/>
      <c r="EH4" s="3516"/>
      <c r="EI4" s="3516"/>
      <c r="EJ4" s="3517"/>
      <c r="EK4" s="3515"/>
      <c r="EL4" s="3516"/>
      <c r="EM4" s="3516"/>
      <c r="EN4" s="3516"/>
      <c r="EO4" s="3516"/>
      <c r="EP4" s="3516"/>
      <c r="EQ4" s="3517"/>
      <c r="ER4" s="3515"/>
      <c r="ES4" s="3516"/>
      <c r="ET4" s="3516"/>
      <c r="EU4" s="3516"/>
      <c r="EV4" s="3516"/>
      <c r="EW4" s="3516"/>
      <c r="EX4" s="3517"/>
      <c r="EY4" s="3515"/>
      <c r="EZ4" s="3516"/>
      <c r="FA4" s="3516"/>
      <c r="FB4" s="3516"/>
      <c r="FC4" s="3516"/>
      <c r="FD4" s="3516"/>
      <c r="FE4" s="3517"/>
      <c r="FF4" s="3515"/>
      <c r="FG4" s="3516"/>
      <c r="FH4" s="3516"/>
      <c r="FI4" s="3516"/>
      <c r="FJ4" s="3516"/>
      <c r="FK4" s="3516"/>
      <c r="FL4" s="3517"/>
      <c r="FM4" s="3515"/>
      <c r="FN4" s="3516"/>
      <c r="FO4" s="3516"/>
      <c r="FP4" s="3516"/>
      <c r="FQ4" s="3516"/>
      <c r="FR4" s="3516"/>
      <c r="FS4" s="3517"/>
      <c r="FT4" s="3515"/>
      <c r="FU4" s="3516"/>
      <c r="FV4" s="3516"/>
      <c r="FW4" s="3516"/>
      <c r="FX4" s="3516"/>
      <c r="FY4" s="3516"/>
      <c r="FZ4" s="3517"/>
      <c r="GA4" s="2103"/>
      <c r="GB4" s="1286" t="s">
        <v>469</v>
      </c>
      <c r="GD4" s="506"/>
      <c r="GE4" s="506" t="str">
        <f>IF(T4="","",T4)</f>
        <v>Наименование централизованной системы холодного водоснабжения</v>
      </c>
      <c r="GF4" s="506"/>
      <c r="GG4" s="506"/>
    </row>
    <row customHeight="1" ht="23.25" hidden="1">
      <c r="A5" s="1393"/>
      <c r="B5" s="1393"/>
      <c r="C5" s="1393"/>
      <c r="D5" s="1393"/>
      <c r="E5" s="2108"/>
      <c r="F5" s="2108"/>
      <c r="G5" s="2108"/>
      <c r="H5" s="2108"/>
      <c r="I5" s="2109">
        <f>S4&amp;".1"</f>
      </c>
      <c r="J5" s="1393"/>
      <c r="K5" s="1393"/>
      <c r="L5" s="1394"/>
      <c r="P5" s="2111">
        <v>1</v>
      </c>
      <c r="Q5" s="1452"/>
      <c r="R5" s="352"/>
      <c r="S5" s="1455">
        <f>$I5</f>
      </c>
      <c r="T5" s="273" t="s">
        <v>470</v>
      </c>
      <c r="U5" s="288"/>
      <c r="V5" s="2194"/>
      <c r="W5" s="2195"/>
      <c r="X5" s="2195"/>
      <c r="Y5" s="2195"/>
      <c r="Z5" s="2195"/>
      <c r="AA5" s="2195"/>
      <c r="AB5" s="2196"/>
      <c r="AC5" s="2197"/>
      <c r="AD5" s="2198"/>
      <c r="AE5" s="2198"/>
      <c r="AF5" s="2198"/>
      <c r="AG5" s="2198"/>
      <c r="AH5" s="2198"/>
      <c r="AI5" s="2198"/>
      <c r="AJ5" s="3525"/>
      <c r="AK5" s="3526"/>
      <c r="AL5" s="3526"/>
      <c r="AM5" s="3526"/>
      <c r="AN5" s="3526"/>
      <c r="AO5" s="3526"/>
      <c r="AP5" s="3527"/>
      <c r="AQ5" s="3525"/>
      <c r="AR5" s="3526"/>
      <c r="AS5" s="3526"/>
      <c r="AT5" s="3526"/>
      <c r="AU5" s="3526"/>
      <c r="AV5" s="3526"/>
      <c r="AW5" s="3527"/>
      <c r="AX5" s="3525"/>
      <c r="AY5" s="3526"/>
      <c r="AZ5" s="3526"/>
      <c r="BA5" s="3526"/>
      <c r="BB5" s="3526"/>
      <c r="BC5" s="3526"/>
      <c r="BD5" s="3527"/>
      <c r="BE5" s="3525"/>
      <c r="BF5" s="3526"/>
      <c r="BG5" s="3526"/>
      <c r="BH5" s="3526"/>
      <c r="BI5" s="3526"/>
      <c r="BJ5" s="3526"/>
      <c r="BK5" s="3527"/>
      <c r="BL5" s="3525"/>
      <c r="BM5" s="3526"/>
      <c r="BN5" s="3526"/>
      <c r="BO5" s="3526"/>
      <c r="BP5" s="3526"/>
      <c r="BQ5" s="3526"/>
      <c r="BR5" s="3527"/>
      <c r="BS5" s="3525"/>
      <c r="BT5" s="3526"/>
      <c r="BU5" s="3526"/>
      <c r="BV5" s="3526"/>
      <c r="BW5" s="3526"/>
      <c r="BX5" s="3526"/>
      <c r="BY5" s="3527"/>
      <c r="BZ5" s="3525"/>
      <c r="CA5" s="3526"/>
      <c r="CB5" s="3526"/>
      <c r="CC5" s="3526"/>
      <c r="CD5" s="3526"/>
      <c r="CE5" s="3526"/>
      <c r="CF5" s="3527"/>
      <c r="CG5" s="3525"/>
      <c r="CH5" s="3526"/>
      <c r="CI5" s="3526"/>
      <c r="CJ5" s="3526"/>
      <c r="CK5" s="3526"/>
      <c r="CL5" s="3526"/>
      <c r="CM5" s="3527"/>
      <c r="CN5" s="3525"/>
      <c r="CO5" s="3526"/>
      <c r="CP5" s="3526"/>
      <c r="CQ5" s="3526"/>
      <c r="CR5" s="3526"/>
      <c r="CS5" s="3526"/>
      <c r="CT5" s="3527"/>
      <c r="CU5" s="3525"/>
      <c r="CV5" s="3526"/>
      <c r="CW5" s="3526"/>
      <c r="CX5" s="3526"/>
      <c r="CY5" s="3526"/>
      <c r="CZ5" s="3526"/>
      <c r="DA5" s="3527"/>
      <c r="DB5" s="3525"/>
      <c r="DC5" s="3526"/>
      <c r="DD5" s="3526"/>
      <c r="DE5" s="3526"/>
      <c r="DF5" s="3526"/>
      <c r="DG5" s="3526"/>
      <c r="DH5" s="3527"/>
      <c r="DI5" s="3525"/>
      <c r="DJ5" s="3526"/>
      <c r="DK5" s="3526"/>
      <c r="DL5" s="3526"/>
      <c r="DM5" s="3526"/>
      <c r="DN5" s="3526"/>
      <c r="DO5" s="3527"/>
      <c r="DP5" s="3525"/>
      <c r="DQ5" s="3526"/>
      <c r="DR5" s="3526"/>
      <c r="DS5" s="3526"/>
      <c r="DT5" s="3526"/>
      <c r="DU5" s="3526"/>
      <c r="DV5" s="3527"/>
      <c r="DW5" s="3525"/>
      <c r="DX5" s="3526"/>
      <c r="DY5" s="3526"/>
      <c r="DZ5" s="3526"/>
      <c r="EA5" s="3526"/>
      <c r="EB5" s="3526"/>
      <c r="EC5" s="3527"/>
      <c r="ED5" s="3525"/>
      <c r="EE5" s="3526"/>
      <c r="EF5" s="3526"/>
      <c r="EG5" s="3526"/>
      <c r="EH5" s="3526"/>
      <c r="EI5" s="3526"/>
      <c r="EJ5" s="3527"/>
      <c r="EK5" s="3525"/>
      <c r="EL5" s="3526"/>
      <c r="EM5" s="3526"/>
      <c r="EN5" s="3526"/>
      <c r="EO5" s="3526"/>
      <c r="EP5" s="3526"/>
      <c r="EQ5" s="3527"/>
      <c r="ER5" s="3525"/>
      <c r="ES5" s="3526"/>
      <c r="ET5" s="3526"/>
      <c r="EU5" s="3526"/>
      <c r="EV5" s="3526"/>
      <c r="EW5" s="3526"/>
      <c r="EX5" s="3527"/>
      <c r="EY5" s="3525"/>
      <c r="EZ5" s="3526"/>
      <c r="FA5" s="3526"/>
      <c r="FB5" s="3526"/>
      <c r="FC5" s="3526"/>
      <c r="FD5" s="3526"/>
      <c r="FE5" s="3527"/>
      <c r="FF5" s="3525"/>
      <c r="FG5" s="3526"/>
      <c r="FH5" s="3526"/>
      <c r="FI5" s="3526"/>
      <c r="FJ5" s="3526"/>
      <c r="FK5" s="3526"/>
      <c r="FL5" s="3527"/>
      <c r="FM5" s="3525"/>
      <c r="FN5" s="3526"/>
      <c r="FO5" s="3526"/>
      <c r="FP5" s="3526"/>
      <c r="FQ5" s="3526"/>
      <c r="FR5" s="3526"/>
      <c r="FS5" s="3527"/>
      <c r="FT5" s="3525"/>
      <c r="FU5" s="3526"/>
      <c r="FV5" s="3526"/>
      <c r="FW5" s="3526"/>
      <c r="FX5" s="3526"/>
      <c r="FY5" s="3526"/>
      <c r="FZ5" s="3527"/>
      <c r="GA5" s="2199"/>
      <c r="GB5" s="1286" t="s">
        <v>471</v>
      </c>
      <c r="GD5" s="506"/>
      <c r="GE5" s="506" t="str">
        <f>IF(T5="","",T5)</f>
        <v>Наименование признака дифференциации</v>
      </c>
      <c r="GF5" s="506"/>
      <c r="GG5" s="506"/>
    </row>
    <row customHeight="1" ht="23.25" hidden="1">
      <c r="A6" s="1393"/>
      <c r="B6" s="1393"/>
      <c r="C6" s="1393"/>
      <c r="D6" s="1393"/>
      <c r="E6" s="2108"/>
      <c r="F6" s="2108"/>
      <c r="G6" s="2108"/>
      <c r="H6" s="2108"/>
      <c r="I6" s="2110"/>
      <c r="J6" s="2109">
        <f>I5&amp;".1"</f>
      </c>
      <c r="K6" s="1393"/>
      <c r="L6" s="1394" t="s">
        <v>396</v>
      </c>
      <c r="P6" s="2111"/>
      <c r="Q6" s="2111">
        <v>1</v>
      </c>
      <c r="R6" s="353"/>
      <c r="S6" s="1455">
        <f>$J6</f>
      </c>
      <c r="T6" s="274" t="s">
        <v>397</v>
      </c>
      <c r="U6" s="288"/>
      <c r="V6" s="2095"/>
      <c r="W6" s="2096"/>
      <c r="X6" s="2096"/>
      <c r="Y6" s="2096"/>
      <c r="Z6" s="2096"/>
      <c r="AA6" s="2096"/>
      <c r="AB6" s="2097"/>
      <c r="AC6" s="2095"/>
      <c r="AD6" s="2096"/>
      <c r="AE6" s="2096"/>
      <c r="AF6" s="2096"/>
      <c r="AG6" s="2096"/>
      <c r="AH6" s="2096"/>
      <c r="AI6" s="2096"/>
      <c r="AJ6" s="3529"/>
      <c r="AK6" s="3530"/>
      <c r="AL6" s="3530"/>
      <c r="AM6" s="3530"/>
      <c r="AN6" s="3530"/>
      <c r="AO6" s="3530"/>
      <c r="AP6" s="3531"/>
      <c r="AQ6" s="3529"/>
      <c r="AR6" s="3530"/>
      <c r="AS6" s="3530"/>
      <c r="AT6" s="3530"/>
      <c r="AU6" s="3530"/>
      <c r="AV6" s="3530"/>
      <c r="AW6" s="3531"/>
      <c r="AX6" s="3529"/>
      <c r="AY6" s="3530"/>
      <c r="AZ6" s="3530"/>
      <c r="BA6" s="3530"/>
      <c r="BB6" s="3530"/>
      <c r="BC6" s="3530"/>
      <c r="BD6" s="3531"/>
      <c r="BE6" s="3529"/>
      <c r="BF6" s="3530"/>
      <c r="BG6" s="3530"/>
      <c r="BH6" s="3530"/>
      <c r="BI6" s="3530"/>
      <c r="BJ6" s="3530"/>
      <c r="BK6" s="3531"/>
      <c r="BL6" s="3529"/>
      <c r="BM6" s="3530"/>
      <c r="BN6" s="3530"/>
      <c r="BO6" s="3530"/>
      <c r="BP6" s="3530"/>
      <c r="BQ6" s="3530"/>
      <c r="BR6" s="3531"/>
      <c r="BS6" s="3529"/>
      <c r="BT6" s="3530"/>
      <c r="BU6" s="3530"/>
      <c r="BV6" s="3530"/>
      <c r="BW6" s="3530"/>
      <c r="BX6" s="3530"/>
      <c r="BY6" s="3531"/>
      <c r="BZ6" s="3529"/>
      <c r="CA6" s="3530"/>
      <c r="CB6" s="3530"/>
      <c r="CC6" s="3530"/>
      <c r="CD6" s="3530"/>
      <c r="CE6" s="3530"/>
      <c r="CF6" s="3531"/>
      <c r="CG6" s="3529"/>
      <c r="CH6" s="3530"/>
      <c r="CI6" s="3530"/>
      <c r="CJ6" s="3530"/>
      <c r="CK6" s="3530"/>
      <c r="CL6" s="3530"/>
      <c r="CM6" s="3531"/>
      <c r="CN6" s="3529"/>
      <c r="CO6" s="3530"/>
      <c r="CP6" s="3530"/>
      <c r="CQ6" s="3530"/>
      <c r="CR6" s="3530"/>
      <c r="CS6" s="3530"/>
      <c r="CT6" s="3531"/>
      <c r="CU6" s="3529"/>
      <c r="CV6" s="3530"/>
      <c r="CW6" s="3530"/>
      <c r="CX6" s="3530"/>
      <c r="CY6" s="3530"/>
      <c r="CZ6" s="3530"/>
      <c r="DA6" s="3531"/>
      <c r="DB6" s="3529"/>
      <c r="DC6" s="3530"/>
      <c r="DD6" s="3530"/>
      <c r="DE6" s="3530"/>
      <c r="DF6" s="3530"/>
      <c r="DG6" s="3530"/>
      <c r="DH6" s="3531"/>
      <c r="DI6" s="3529"/>
      <c r="DJ6" s="3530"/>
      <c r="DK6" s="3530"/>
      <c r="DL6" s="3530"/>
      <c r="DM6" s="3530"/>
      <c r="DN6" s="3530"/>
      <c r="DO6" s="3531"/>
      <c r="DP6" s="3529"/>
      <c r="DQ6" s="3530"/>
      <c r="DR6" s="3530"/>
      <c r="DS6" s="3530"/>
      <c r="DT6" s="3530"/>
      <c r="DU6" s="3530"/>
      <c r="DV6" s="3531"/>
      <c r="DW6" s="3529"/>
      <c r="DX6" s="3530"/>
      <c r="DY6" s="3530"/>
      <c r="DZ6" s="3530"/>
      <c r="EA6" s="3530"/>
      <c r="EB6" s="3530"/>
      <c r="EC6" s="3531"/>
      <c r="ED6" s="3529"/>
      <c r="EE6" s="3530"/>
      <c r="EF6" s="3530"/>
      <c r="EG6" s="3530"/>
      <c r="EH6" s="3530"/>
      <c r="EI6" s="3530"/>
      <c r="EJ6" s="3531"/>
      <c r="EK6" s="3529"/>
      <c r="EL6" s="3530"/>
      <c r="EM6" s="3530"/>
      <c r="EN6" s="3530"/>
      <c r="EO6" s="3530"/>
      <c r="EP6" s="3530"/>
      <c r="EQ6" s="3531"/>
      <c r="ER6" s="3529"/>
      <c r="ES6" s="3530"/>
      <c r="ET6" s="3530"/>
      <c r="EU6" s="3530"/>
      <c r="EV6" s="3530"/>
      <c r="EW6" s="3530"/>
      <c r="EX6" s="3531"/>
      <c r="EY6" s="3529"/>
      <c r="EZ6" s="3530"/>
      <c r="FA6" s="3530"/>
      <c r="FB6" s="3530"/>
      <c r="FC6" s="3530"/>
      <c r="FD6" s="3530"/>
      <c r="FE6" s="3531"/>
      <c r="FF6" s="3529"/>
      <c r="FG6" s="3530"/>
      <c r="FH6" s="3530"/>
      <c r="FI6" s="3530"/>
      <c r="FJ6" s="3530"/>
      <c r="FK6" s="3530"/>
      <c r="FL6" s="3531"/>
      <c r="FM6" s="3529"/>
      <c r="FN6" s="3530"/>
      <c r="FO6" s="3530"/>
      <c r="FP6" s="3530"/>
      <c r="FQ6" s="3530"/>
      <c r="FR6" s="3530"/>
      <c r="FS6" s="3531"/>
      <c r="FT6" s="3529"/>
      <c r="FU6" s="3530"/>
      <c r="FV6" s="3530"/>
      <c r="FW6" s="3530"/>
      <c r="FX6" s="3530"/>
      <c r="FY6" s="3530"/>
      <c r="FZ6" s="3531"/>
      <c r="GA6" s="2097"/>
      <c r="GB6" s="1337" t="s">
        <v>472</v>
      </c>
      <c r="GD6" s="506"/>
      <c r="GE6" s="506" t="str">
        <f>IF(T6="","",T6)</f>
        <v>Группа потребителей</v>
      </c>
      <c r="GF6" s="506"/>
      <c r="GG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60</v>
      </c>
      <c r="AA7" s="2112"/>
      <c r="AB7" s="1981" t="s">
        <v>60</v>
      </c>
      <c r="AC7" s="757"/>
      <c r="AD7" s="757"/>
      <c r="AE7" s="1285"/>
      <c r="AF7" s="2112"/>
      <c r="AG7" s="1981" t="s">
        <v>60</v>
      </c>
      <c r="AH7" s="2114"/>
      <c r="AI7" s="1981" t="s">
        <v>60</v>
      </c>
      <c r="AJ7" s="3533"/>
      <c r="AK7" s="3533"/>
      <c r="AL7" s="3534"/>
      <c r="AM7" s="3535"/>
      <c r="AN7" s="3536" t="s">
        <v>60</v>
      </c>
      <c r="AO7" s="3535"/>
      <c r="AP7" s="3536" t="s">
        <v>60</v>
      </c>
      <c r="AQ7" s="3533"/>
      <c r="AR7" s="3533"/>
      <c r="AS7" s="3534"/>
      <c r="AT7" s="3535"/>
      <c r="AU7" s="3536" t="s">
        <v>60</v>
      </c>
      <c r="AV7" s="3535"/>
      <c r="AW7" s="3536" t="s">
        <v>60</v>
      </c>
      <c r="AX7" s="3533"/>
      <c r="AY7" s="3533"/>
      <c r="AZ7" s="3534"/>
      <c r="BA7" s="3535"/>
      <c r="BB7" s="3536" t="s">
        <v>60</v>
      </c>
      <c r="BC7" s="3535"/>
      <c r="BD7" s="3536" t="s">
        <v>60</v>
      </c>
      <c r="BE7" s="3533"/>
      <c r="BF7" s="3533"/>
      <c r="BG7" s="3534"/>
      <c r="BH7" s="3535"/>
      <c r="BI7" s="3536" t="s">
        <v>60</v>
      </c>
      <c r="BJ7" s="3535"/>
      <c r="BK7" s="3536" t="s">
        <v>60</v>
      </c>
      <c r="BL7" s="3533"/>
      <c r="BM7" s="3533"/>
      <c r="BN7" s="3534"/>
      <c r="BO7" s="3535"/>
      <c r="BP7" s="3536" t="s">
        <v>60</v>
      </c>
      <c r="BQ7" s="3535"/>
      <c r="BR7" s="3536" t="s">
        <v>60</v>
      </c>
      <c r="BS7" s="3533"/>
      <c r="BT7" s="3533"/>
      <c r="BU7" s="3534"/>
      <c r="BV7" s="3535"/>
      <c r="BW7" s="3536" t="s">
        <v>60</v>
      </c>
      <c r="BX7" s="3535"/>
      <c r="BY7" s="3536" t="s">
        <v>60</v>
      </c>
      <c r="BZ7" s="3533"/>
      <c r="CA7" s="3533"/>
      <c r="CB7" s="3534"/>
      <c r="CC7" s="3535"/>
      <c r="CD7" s="3536" t="s">
        <v>60</v>
      </c>
      <c r="CE7" s="3535"/>
      <c r="CF7" s="3536" t="s">
        <v>60</v>
      </c>
      <c r="CG7" s="3533"/>
      <c r="CH7" s="3533"/>
      <c r="CI7" s="3534"/>
      <c r="CJ7" s="3535"/>
      <c r="CK7" s="3536" t="s">
        <v>60</v>
      </c>
      <c r="CL7" s="3535"/>
      <c r="CM7" s="3536" t="s">
        <v>60</v>
      </c>
      <c r="CN7" s="3533"/>
      <c r="CO7" s="3533"/>
      <c r="CP7" s="3534"/>
      <c r="CQ7" s="3535"/>
      <c r="CR7" s="3536" t="s">
        <v>60</v>
      </c>
      <c r="CS7" s="3535"/>
      <c r="CT7" s="3536" t="s">
        <v>60</v>
      </c>
      <c r="CU7" s="3533"/>
      <c r="CV7" s="3533"/>
      <c r="CW7" s="3534"/>
      <c r="CX7" s="3535"/>
      <c r="CY7" s="3536" t="s">
        <v>60</v>
      </c>
      <c r="CZ7" s="3535"/>
      <c r="DA7" s="3536" t="s">
        <v>60</v>
      </c>
      <c r="DB7" s="3533"/>
      <c r="DC7" s="3533"/>
      <c r="DD7" s="3534"/>
      <c r="DE7" s="3535"/>
      <c r="DF7" s="3536" t="s">
        <v>60</v>
      </c>
      <c r="DG7" s="3535"/>
      <c r="DH7" s="3536" t="s">
        <v>60</v>
      </c>
      <c r="DI7" s="3533"/>
      <c r="DJ7" s="3533"/>
      <c r="DK7" s="3534"/>
      <c r="DL7" s="3535"/>
      <c r="DM7" s="3536" t="s">
        <v>60</v>
      </c>
      <c r="DN7" s="3535"/>
      <c r="DO7" s="3536" t="s">
        <v>60</v>
      </c>
      <c r="DP7" s="3533"/>
      <c r="DQ7" s="3533"/>
      <c r="DR7" s="3534"/>
      <c r="DS7" s="3535"/>
      <c r="DT7" s="3536" t="s">
        <v>60</v>
      </c>
      <c r="DU7" s="3535"/>
      <c r="DV7" s="3536" t="s">
        <v>60</v>
      </c>
      <c r="DW7" s="3533"/>
      <c r="DX7" s="3533"/>
      <c r="DY7" s="3534"/>
      <c r="DZ7" s="3535"/>
      <c r="EA7" s="3536" t="s">
        <v>60</v>
      </c>
      <c r="EB7" s="3535"/>
      <c r="EC7" s="3536" t="s">
        <v>60</v>
      </c>
      <c r="ED7" s="3533"/>
      <c r="EE7" s="3533"/>
      <c r="EF7" s="3534"/>
      <c r="EG7" s="3535"/>
      <c r="EH7" s="3536" t="s">
        <v>60</v>
      </c>
      <c r="EI7" s="3535"/>
      <c r="EJ7" s="3536" t="s">
        <v>60</v>
      </c>
      <c r="EK7" s="3533"/>
      <c r="EL7" s="3533"/>
      <c r="EM7" s="3534"/>
      <c r="EN7" s="3535"/>
      <c r="EO7" s="3536" t="s">
        <v>60</v>
      </c>
      <c r="EP7" s="3535"/>
      <c r="EQ7" s="3536" t="s">
        <v>60</v>
      </c>
      <c r="ER7" s="3533"/>
      <c r="ES7" s="3533"/>
      <c r="ET7" s="3534"/>
      <c r="EU7" s="3535"/>
      <c r="EV7" s="3536" t="s">
        <v>60</v>
      </c>
      <c r="EW7" s="3535"/>
      <c r="EX7" s="3536" t="s">
        <v>60</v>
      </c>
      <c r="EY7" s="3533"/>
      <c r="EZ7" s="3533"/>
      <c r="FA7" s="3534"/>
      <c r="FB7" s="3535"/>
      <c r="FC7" s="3536" t="s">
        <v>60</v>
      </c>
      <c r="FD7" s="3535"/>
      <c r="FE7" s="3536" t="s">
        <v>60</v>
      </c>
      <c r="FF7" s="3533"/>
      <c r="FG7" s="3533"/>
      <c r="FH7" s="3534"/>
      <c r="FI7" s="3535"/>
      <c r="FJ7" s="3536" t="s">
        <v>60</v>
      </c>
      <c r="FK7" s="3535"/>
      <c r="FL7" s="3536" t="s">
        <v>60</v>
      </c>
      <c r="FM7" s="3533"/>
      <c r="FN7" s="3533"/>
      <c r="FO7" s="3534"/>
      <c r="FP7" s="3535"/>
      <c r="FQ7" s="3536" t="s">
        <v>60</v>
      </c>
      <c r="FR7" s="3535"/>
      <c r="FS7" s="3536" t="s">
        <v>60</v>
      </c>
      <c r="FT7" s="3533"/>
      <c r="FU7" s="3533"/>
      <c r="FV7" s="3534"/>
      <c r="FW7" s="3535"/>
      <c r="FX7" s="3536" t="s">
        <v>60</v>
      </c>
      <c r="FY7" s="3535"/>
      <c r="FZ7" s="3536" t="s">
        <v>60</v>
      </c>
      <c r="GA7" s="1468"/>
      <c r="GB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GC7" s="517">
        <f>STRCHECKDATE(V8:GA8)</f>
      </c>
      <c r="GD7" s="506"/>
      <c r="GE7" s="506" t="str">
        <f>IF(T7="","",T7)</f>
        <v/>
      </c>
      <c r="GF7" s="506"/>
      <c r="GG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3540"/>
      <c r="AK8" s="3540"/>
      <c r="AL8" s="3541" t="str">
        <f>AM7&amp;"-"&amp;AO7</f>
        <v>-</v>
      </c>
      <c r="AM8" s="3542"/>
      <c r="AN8" s="3536"/>
      <c r="AO8" s="3542"/>
      <c r="AP8" s="3536"/>
      <c r="AQ8" s="3540"/>
      <c r="AR8" s="3540"/>
      <c r="AS8" s="3541" t="str">
        <f>AT7&amp;"-"&amp;AV7</f>
        <v>-</v>
      </c>
      <c r="AT8" s="3542"/>
      <c r="AU8" s="3536"/>
      <c r="AV8" s="3542"/>
      <c r="AW8" s="3536"/>
      <c r="AX8" s="3540"/>
      <c r="AY8" s="3540"/>
      <c r="AZ8" s="3541" t="str">
        <f>BA7&amp;"-"&amp;BC7</f>
        <v>-</v>
      </c>
      <c r="BA8" s="3542"/>
      <c r="BB8" s="3536"/>
      <c r="BC8" s="3542"/>
      <c r="BD8" s="3536"/>
      <c r="BE8" s="3540"/>
      <c r="BF8" s="3540"/>
      <c r="BG8" s="3541" t="str">
        <f>BH7&amp;"-"&amp;BJ7</f>
        <v>-</v>
      </c>
      <c r="BH8" s="3542"/>
      <c r="BI8" s="3536"/>
      <c r="BJ8" s="3542"/>
      <c r="BK8" s="3536"/>
      <c r="BL8" s="3540"/>
      <c r="BM8" s="3540"/>
      <c r="BN8" s="3541" t="str">
        <f>BO7&amp;"-"&amp;BQ7</f>
        <v>-</v>
      </c>
      <c r="BO8" s="3542"/>
      <c r="BP8" s="3536"/>
      <c r="BQ8" s="3542"/>
      <c r="BR8" s="3536"/>
      <c r="BS8" s="3540"/>
      <c r="BT8" s="3540"/>
      <c r="BU8" s="3541" t="str">
        <f>BV7&amp;"-"&amp;BX7</f>
        <v>-</v>
      </c>
      <c r="BV8" s="3542"/>
      <c r="BW8" s="3536"/>
      <c r="BX8" s="3542"/>
      <c r="BY8" s="3536"/>
      <c r="BZ8" s="3540"/>
      <c r="CA8" s="3540"/>
      <c r="CB8" s="3541" t="str">
        <f>CC7&amp;"-"&amp;CE7</f>
        <v>-</v>
      </c>
      <c r="CC8" s="3542"/>
      <c r="CD8" s="3536"/>
      <c r="CE8" s="3542"/>
      <c r="CF8" s="3536"/>
      <c r="CG8" s="3540"/>
      <c r="CH8" s="3540"/>
      <c r="CI8" s="3541" t="str">
        <f>CJ7&amp;"-"&amp;CL7</f>
        <v>-</v>
      </c>
      <c r="CJ8" s="3542"/>
      <c r="CK8" s="3536"/>
      <c r="CL8" s="3542"/>
      <c r="CM8" s="3536"/>
      <c r="CN8" s="3540"/>
      <c r="CO8" s="3540"/>
      <c r="CP8" s="3541" t="str">
        <f>CQ7&amp;"-"&amp;CS7</f>
        <v>-</v>
      </c>
      <c r="CQ8" s="3542"/>
      <c r="CR8" s="3536"/>
      <c r="CS8" s="3542"/>
      <c r="CT8" s="3536"/>
      <c r="CU8" s="3540"/>
      <c r="CV8" s="3540"/>
      <c r="CW8" s="3541" t="str">
        <f>CX7&amp;"-"&amp;CZ7</f>
        <v>-</v>
      </c>
      <c r="CX8" s="3542"/>
      <c r="CY8" s="3536"/>
      <c r="CZ8" s="3542"/>
      <c r="DA8" s="3536"/>
      <c r="DB8" s="3540"/>
      <c r="DC8" s="3540"/>
      <c r="DD8" s="3541" t="str">
        <f>DE7&amp;"-"&amp;DG7</f>
        <v>-</v>
      </c>
      <c r="DE8" s="3542"/>
      <c r="DF8" s="3536"/>
      <c r="DG8" s="3542"/>
      <c r="DH8" s="3536"/>
      <c r="DI8" s="3540"/>
      <c r="DJ8" s="3540"/>
      <c r="DK8" s="3541" t="str">
        <f>DL7&amp;"-"&amp;DN7</f>
        <v>-</v>
      </c>
      <c r="DL8" s="3542"/>
      <c r="DM8" s="3536"/>
      <c r="DN8" s="3542"/>
      <c r="DO8" s="3536"/>
      <c r="DP8" s="3540"/>
      <c r="DQ8" s="3540"/>
      <c r="DR8" s="3541" t="str">
        <f>DS7&amp;"-"&amp;DU7</f>
        <v>-</v>
      </c>
      <c r="DS8" s="3542"/>
      <c r="DT8" s="3536"/>
      <c r="DU8" s="3542"/>
      <c r="DV8" s="3536"/>
      <c r="DW8" s="3540"/>
      <c r="DX8" s="3540"/>
      <c r="DY8" s="3541" t="str">
        <f>DZ7&amp;"-"&amp;EB7</f>
        <v>-</v>
      </c>
      <c r="DZ8" s="3542"/>
      <c r="EA8" s="3536"/>
      <c r="EB8" s="3542"/>
      <c r="EC8" s="3536"/>
      <c r="ED8" s="3540"/>
      <c r="EE8" s="3540"/>
      <c r="EF8" s="3541" t="str">
        <f>EG7&amp;"-"&amp;EI7</f>
        <v>-</v>
      </c>
      <c r="EG8" s="3542"/>
      <c r="EH8" s="3536"/>
      <c r="EI8" s="3542"/>
      <c r="EJ8" s="3536"/>
      <c r="EK8" s="3540"/>
      <c r="EL8" s="3540"/>
      <c r="EM8" s="3541" t="str">
        <f>EN7&amp;"-"&amp;EP7</f>
        <v>-</v>
      </c>
      <c r="EN8" s="3542"/>
      <c r="EO8" s="3536"/>
      <c r="EP8" s="3542"/>
      <c r="EQ8" s="3536"/>
      <c r="ER8" s="3540"/>
      <c r="ES8" s="3540"/>
      <c r="ET8" s="3541" t="str">
        <f>EU7&amp;"-"&amp;EW7</f>
        <v>-</v>
      </c>
      <c r="EU8" s="3542"/>
      <c r="EV8" s="3536"/>
      <c r="EW8" s="3542"/>
      <c r="EX8" s="3536"/>
      <c r="EY8" s="3540"/>
      <c r="EZ8" s="3540"/>
      <c r="FA8" s="3541" t="str">
        <f>FB7&amp;"-"&amp;FD7</f>
        <v>-</v>
      </c>
      <c r="FB8" s="3542"/>
      <c r="FC8" s="3536"/>
      <c r="FD8" s="3542"/>
      <c r="FE8" s="3536"/>
      <c r="FF8" s="3540"/>
      <c r="FG8" s="3540"/>
      <c r="FH8" s="3541" t="str">
        <f>FI7&amp;"-"&amp;FK7</f>
        <v>-</v>
      </c>
      <c r="FI8" s="3542"/>
      <c r="FJ8" s="3536"/>
      <c r="FK8" s="3542"/>
      <c r="FL8" s="3536"/>
      <c r="FM8" s="3540"/>
      <c r="FN8" s="3540"/>
      <c r="FO8" s="3541" t="str">
        <f>FP7&amp;"-"&amp;FR7</f>
        <v>-</v>
      </c>
      <c r="FP8" s="3542"/>
      <c r="FQ8" s="3536"/>
      <c r="FR8" s="3542"/>
      <c r="FS8" s="3536"/>
      <c r="FT8" s="3540"/>
      <c r="FU8" s="3540"/>
      <c r="FV8" s="3541" t="str">
        <f>FW7&amp;"-"&amp;FY7</f>
        <v>-</v>
      </c>
      <c r="FW8" s="3542"/>
      <c r="FX8" s="3536"/>
      <c r="FY8" s="3542"/>
      <c r="FZ8" s="3536"/>
      <c r="GA8" s="1469"/>
      <c r="GB8" s="2200"/>
      <c r="GD8" s="506"/>
      <c r="GE8" s="506" t="str">
        <f>IF(T8="","",T8)</f>
        <v/>
      </c>
      <c r="GF8" s="506"/>
      <c r="GG8" s="506"/>
    </row>
    <row customHeight="1" ht="21" hidden="1">
      <c r="A9" s="1393"/>
      <c r="B9" s="1393"/>
      <c r="C9" s="1393"/>
      <c r="D9" s="1393"/>
      <c r="E9" s="2108"/>
      <c r="F9" s="2108"/>
      <c r="G9" s="2108"/>
      <c r="H9" s="2108"/>
      <c r="I9" s="2110"/>
      <c r="J9" s="2109"/>
      <c r="K9" s="1393"/>
      <c r="L9" s="1394"/>
      <c r="P9" s="2111"/>
      <c r="Q9" s="2111"/>
      <c r="R9" s="352"/>
      <c r="S9" s="1308"/>
      <c r="T9" s="275" t="s">
        <v>473</v>
      </c>
      <c r="U9" s="367"/>
      <c r="V9" s="367"/>
      <c r="W9" s="367"/>
      <c r="X9" s="367"/>
      <c r="Y9" s="367"/>
      <c r="Z9" s="367"/>
      <c r="AA9" s="367"/>
      <c r="AB9" s="367"/>
      <c r="AC9" s="367"/>
      <c r="AD9" s="367"/>
      <c r="AE9" s="367"/>
      <c r="AF9" s="367"/>
      <c r="AG9" s="367"/>
      <c r="AH9" s="367"/>
      <c r="AI9" s="367"/>
      <c r="AJ9" s="3544"/>
      <c r="AK9" s="3545"/>
      <c r="AL9" s="3546"/>
      <c r="AM9" s="3547"/>
      <c r="AN9" s="3548"/>
      <c r="AO9" s="3549"/>
      <c r="AP9" s="3550"/>
      <c r="AQ9" s="3551"/>
      <c r="AR9" s="3552"/>
      <c r="AS9" s="3553"/>
      <c r="AT9" s="3554"/>
      <c r="AU9" s="3555"/>
      <c r="AV9" s="3556"/>
      <c r="AW9" s="3557"/>
      <c r="AX9" s="3558"/>
      <c r="AY9" s="3559"/>
      <c r="AZ9" s="3560"/>
      <c r="BA9" s="3561"/>
      <c r="BB9" s="3562"/>
      <c r="BC9" s="3563"/>
      <c r="BD9" s="3564"/>
      <c r="BE9" s="3565"/>
      <c r="BF9" s="3566"/>
      <c r="BG9" s="3567"/>
      <c r="BH9" s="3568"/>
      <c r="BI9" s="3569"/>
      <c r="BJ9" s="3570"/>
      <c r="BK9" s="3571"/>
      <c r="BL9" s="3572"/>
      <c r="BM9" s="3573"/>
      <c r="BN9" s="3574"/>
      <c r="BO9" s="3575"/>
      <c r="BP9" s="3576"/>
      <c r="BQ9" s="3577"/>
      <c r="BR9" s="3578"/>
      <c r="BS9" s="3579"/>
      <c r="BT9" s="3580"/>
      <c r="BU9" s="3581"/>
      <c r="BV9" s="3582"/>
      <c r="BW9" s="3583"/>
      <c r="BX9" s="3584"/>
      <c r="BY9" s="3585"/>
      <c r="BZ9" s="3586"/>
      <c r="CA9" s="3587"/>
      <c r="CB9" s="3588"/>
      <c r="CC9" s="3589"/>
      <c r="CD9" s="3590"/>
      <c r="CE9" s="3591"/>
      <c r="CF9" s="3592"/>
      <c r="CG9" s="3593"/>
      <c r="CH9" s="3594"/>
      <c r="CI9" s="3595"/>
      <c r="CJ9" s="3596"/>
      <c r="CK9" s="3597"/>
      <c r="CL9" s="3598"/>
      <c r="CM9" s="3599"/>
      <c r="CN9" s="3600"/>
      <c r="CO9" s="3601"/>
      <c r="CP9" s="3602"/>
      <c r="CQ9" s="3603"/>
      <c r="CR9" s="3604"/>
      <c r="CS9" s="3605"/>
      <c r="CT9" s="3606"/>
      <c r="CU9" s="3607"/>
      <c r="CV9" s="3608"/>
      <c r="CW9" s="3609"/>
      <c r="CX9" s="3610"/>
      <c r="CY9" s="3611"/>
      <c r="CZ9" s="3612"/>
      <c r="DA9" s="3613"/>
      <c r="DB9" s="3614"/>
      <c r="DC9" s="3615"/>
      <c r="DD9" s="3616"/>
      <c r="DE9" s="3617"/>
      <c r="DF9" s="3618"/>
      <c r="DG9" s="3619"/>
      <c r="DH9" s="3620"/>
      <c r="DI9" s="3621"/>
      <c r="DJ9" s="3622"/>
      <c r="DK9" s="3623"/>
      <c r="DL9" s="3624"/>
      <c r="DM9" s="3625"/>
      <c r="DN9" s="3626"/>
      <c r="DO9" s="3627"/>
      <c r="DP9" s="3628"/>
      <c r="DQ9" s="3629"/>
      <c r="DR9" s="3630"/>
      <c r="DS9" s="3631"/>
      <c r="DT9" s="3632"/>
      <c r="DU9" s="3633"/>
      <c r="DV9" s="3634"/>
      <c r="DW9" s="3635"/>
      <c r="DX9" s="3636"/>
      <c r="DY9" s="3637"/>
      <c r="DZ9" s="3638"/>
      <c r="EA9" s="3639"/>
      <c r="EB9" s="3640"/>
      <c r="EC9" s="3641"/>
      <c r="ED9" s="3642"/>
      <c r="EE9" s="3643"/>
      <c r="EF9" s="3644"/>
      <c r="EG9" s="3645"/>
      <c r="EH9" s="3646"/>
      <c r="EI9" s="3647"/>
      <c r="EJ9" s="3648"/>
      <c r="EK9" s="3649"/>
      <c r="EL9" s="3650"/>
      <c r="EM9" s="3651"/>
      <c r="EN9" s="3652"/>
      <c r="EO9" s="3653"/>
      <c r="EP9" s="3654"/>
      <c r="EQ9" s="3655"/>
      <c r="ER9" s="3656"/>
      <c r="ES9" s="3657"/>
      <c r="ET9" s="3658"/>
      <c r="EU9" s="3659"/>
      <c r="EV9" s="3660"/>
      <c r="EW9" s="3661"/>
      <c r="EX9" s="3662"/>
      <c r="EY9" s="3663"/>
      <c r="EZ9" s="3664"/>
      <c r="FA9" s="3665"/>
      <c r="FB9" s="3666"/>
      <c r="FC9" s="3667"/>
      <c r="FD9" s="3668"/>
      <c r="FE9" s="3669"/>
      <c r="FF9" s="3670"/>
      <c r="FG9" s="3671"/>
      <c r="FH9" s="3672"/>
      <c r="FI9" s="3673"/>
      <c r="FJ9" s="3674"/>
      <c r="FK9" s="3675"/>
      <c r="FL9" s="3676"/>
      <c r="FM9" s="3677"/>
      <c r="FN9" s="3678"/>
      <c r="FO9" s="3679"/>
      <c r="FP9" s="3680"/>
      <c r="FQ9" s="3681"/>
      <c r="FR9" s="3682"/>
      <c r="FS9" s="3683"/>
      <c r="FT9" s="3684"/>
      <c r="FU9" s="3685"/>
      <c r="FV9" s="3686"/>
      <c r="FW9" s="3687"/>
      <c r="FX9" s="3688"/>
      <c r="FY9" s="3689"/>
      <c r="FZ9" s="3690"/>
      <c r="GA9" s="367"/>
      <c r="GB9" s="1286" t="s">
        <v>474</v>
      </c>
      <c r="GD9" s="506"/>
      <c r="GE9" s="506" t="str">
        <f>IF(T9="","",T9)</f>
        <v>Добавить значение признака дифференциации</v>
      </c>
      <c r="GF9" s="506"/>
      <c r="GG9" s="506"/>
    </row>
    <row customHeight="1" ht="21" hidden="1">
      <c r="A10" s="1393"/>
      <c r="B10" s="1393"/>
      <c r="C10" s="1393"/>
      <c r="D10" s="1393"/>
      <c r="E10" s="2108"/>
      <c r="F10" s="2108"/>
      <c r="G10" s="2108"/>
      <c r="H10" s="2108"/>
      <c r="I10" s="2109"/>
      <c r="J10" s="1393"/>
      <c r="K10" s="1393"/>
      <c r="L10" s="1394"/>
      <c r="P10" s="2111"/>
      <c r="Q10" s="1452"/>
      <c r="R10" s="352"/>
      <c r="S10" s="1308"/>
      <c r="T10" s="364" t="s">
        <v>402</v>
      </c>
      <c r="U10" s="367"/>
      <c r="V10" s="367"/>
      <c r="W10" s="367"/>
      <c r="X10" s="367"/>
      <c r="Y10" s="367"/>
      <c r="Z10" s="367"/>
      <c r="AA10" s="367"/>
      <c r="AB10" s="366"/>
      <c r="AC10" s="367"/>
      <c r="AD10" s="367"/>
      <c r="AE10" s="367"/>
      <c r="AF10" s="367"/>
      <c r="AG10" s="367"/>
      <c r="AH10" s="367"/>
      <c r="AI10" s="366"/>
      <c r="AJ10" s="3691"/>
      <c r="AK10" s="3692"/>
      <c r="AL10" s="3693"/>
      <c r="AM10" s="3694"/>
      <c r="AN10" s="3695"/>
      <c r="AO10" s="3696"/>
      <c r="AP10" s="3697"/>
      <c r="AQ10" s="3698"/>
      <c r="AR10" s="3699"/>
      <c r="AS10" s="3700"/>
      <c r="AT10" s="3701"/>
      <c r="AU10" s="3702"/>
      <c r="AV10" s="3703"/>
      <c r="AW10" s="3704"/>
      <c r="AX10" s="3705"/>
      <c r="AY10" s="3706"/>
      <c r="AZ10" s="3707"/>
      <c r="BA10" s="3708"/>
      <c r="BB10" s="3709"/>
      <c r="BC10" s="3710"/>
      <c r="BD10" s="3711"/>
      <c r="BE10" s="3712"/>
      <c r="BF10" s="3713"/>
      <c r="BG10" s="3714"/>
      <c r="BH10" s="3715"/>
      <c r="BI10" s="3716"/>
      <c r="BJ10" s="3717"/>
      <c r="BK10" s="3718"/>
      <c r="BL10" s="3719"/>
      <c r="BM10" s="3720"/>
      <c r="BN10" s="3721"/>
      <c r="BO10" s="3722"/>
      <c r="BP10" s="3723"/>
      <c r="BQ10" s="3724"/>
      <c r="BR10" s="3725"/>
      <c r="BS10" s="3726"/>
      <c r="BT10" s="3727"/>
      <c r="BU10" s="3728"/>
      <c r="BV10" s="3729"/>
      <c r="BW10" s="3730"/>
      <c r="BX10" s="3731"/>
      <c r="BY10" s="3732"/>
      <c r="BZ10" s="3733"/>
      <c r="CA10" s="3734"/>
      <c r="CB10" s="3735"/>
      <c r="CC10" s="3736"/>
      <c r="CD10" s="3737"/>
      <c r="CE10" s="3738"/>
      <c r="CF10" s="3739"/>
      <c r="CG10" s="3740"/>
      <c r="CH10" s="3741"/>
      <c r="CI10" s="3742"/>
      <c r="CJ10" s="3743"/>
      <c r="CK10" s="3744"/>
      <c r="CL10" s="3745"/>
      <c r="CM10" s="3746"/>
      <c r="CN10" s="3747"/>
      <c r="CO10" s="3748"/>
      <c r="CP10" s="3749"/>
      <c r="CQ10" s="3750"/>
      <c r="CR10" s="3751"/>
      <c r="CS10" s="3752"/>
      <c r="CT10" s="3753"/>
      <c r="CU10" s="3754"/>
      <c r="CV10" s="3755"/>
      <c r="CW10" s="3756"/>
      <c r="CX10" s="3757"/>
      <c r="CY10" s="3758"/>
      <c r="CZ10" s="3759"/>
      <c r="DA10" s="3760"/>
      <c r="DB10" s="3761"/>
      <c r="DC10" s="3762"/>
      <c r="DD10" s="3763"/>
      <c r="DE10" s="3764"/>
      <c r="DF10" s="3765"/>
      <c r="DG10" s="3766"/>
      <c r="DH10" s="3767"/>
      <c r="DI10" s="3768"/>
      <c r="DJ10" s="3769"/>
      <c r="DK10" s="3770"/>
      <c r="DL10" s="3771"/>
      <c r="DM10" s="3772"/>
      <c r="DN10" s="3773"/>
      <c r="DO10" s="3774"/>
      <c r="DP10" s="3775"/>
      <c r="DQ10" s="3776"/>
      <c r="DR10" s="3777"/>
      <c r="DS10" s="3778"/>
      <c r="DT10" s="3779"/>
      <c r="DU10" s="3780"/>
      <c r="DV10" s="3781"/>
      <c r="DW10" s="3782"/>
      <c r="DX10" s="3783"/>
      <c r="DY10" s="3784"/>
      <c r="DZ10" s="3785"/>
      <c r="EA10" s="3786"/>
      <c r="EB10" s="3787"/>
      <c r="EC10" s="3788"/>
      <c r="ED10" s="3789"/>
      <c r="EE10" s="3790"/>
      <c r="EF10" s="3791"/>
      <c r="EG10" s="3792"/>
      <c r="EH10" s="3793"/>
      <c r="EI10" s="3794"/>
      <c r="EJ10" s="3795"/>
      <c r="EK10" s="3796"/>
      <c r="EL10" s="3797"/>
      <c r="EM10" s="3798"/>
      <c r="EN10" s="3799"/>
      <c r="EO10" s="3800"/>
      <c r="EP10" s="3801"/>
      <c r="EQ10" s="3802"/>
      <c r="ER10" s="3803"/>
      <c r="ES10" s="3804"/>
      <c r="ET10" s="3805"/>
      <c r="EU10" s="3806"/>
      <c r="EV10" s="3807"/>
      <c r="EW10" s="3808"/>
      <c r="EX10" s="3809"/>
      <c r="EY10" s="3810"/>
      <c r="EZ10" s="3811"/>
      <c r="FA10" s="3812"/>
      <c r="FB10" s="3813"/>
      <c r="FC10" s="3814"/>
      <c r="FD10" s="3815"/>
      <c r="FE10" s="3816"/>
      <c r="FF10" s="3817"/>
      <c r="FG10" s="3818"/>
      <c r="FH10" s="3819"/>
      <c r="FI10" s="3820"/>
      <c r="FJ10" s="3821"/>
      <c r="FK10" s="3822"/>
      <c r="FL10" s="3823"/>
      <c r="FM10" s="3824"/>
      <c r="FN10" s="3825"/>
      <c r="FO10" s="3826"/>
      <c r="FP10" s="3827"/>
      <c r="FQ10" s="3828"/>
      <c r="FR10" s="3829"/>
      <c r="FS10" s="3830"/>
      <c r="FT10" s="3831"/>
      <c r="FU10" s="3832"/>
      <c r="FV10" s="3833"/>
      <c r="FW10" s="3834"/>
      <c r="FX10" s="3835"/>
      <c r="FY10" s="3836"/>
      <c r="FZ10" s="3837"/>
      <c r="GA10" s="367"/>
      <c r="GB10" s="1470"/>
      <c r="GD10" s="506"/>
      <c r="GE10" s="506" t="str">
        <f>IF(T10="","",T10)</f>
        <v>Добавить группу потребителей</v>
      </c>
      <c r="GF10" s="506"/>
      <c r="GG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475</v>
      </c>
      <c r="U11" s="367"/>
      <c r="V11" s="367"/>
      <c r="W11" s="367"/>
      <c r="X11" s="367"/>
      <c r="Y11" s="367"/>
      <c r="Z11" s="367"/>
      <c r="AA11" s="367"/>
      <c r="AB11" s="366"/>
      <c r="AC11" s="367"/>
      <c r="AD11" s="367"/>
      <c r="AE11" s="367"/>
      <c r="AF11" s="367"/>
      <c r="AG11" s="367"/>
      <c r="AH11" s="367"/>
      <c r="AI11" s="366"/>
      <c r="AJ11" s="3840"/>
      <c r="AK11" s="3841"/>
      <c r="AL11" s="3842"/>
      <c r="AM11" s="3843"/>
      <c r="AN11" s="3844"/>
      <c r="AO11" s="3845"/>
      <c r="AP11" s="3846"/>
      <c r="AQ11" s="3847"/>
      <c r="AR11" s="3848"/>
      <c r="AS11" s="3849"/>
      <c r="AT11" s="3850"/>
      <c r="AU11" s="3851"/>
      <c r="AV11" s="3852"/>
      <c r="AW11" s="3853"/>
      <c r="AX11" s="3854"/>
      <c r="AY11" s="3855"/>
      <c r="AZ11" s="3856"/>
      <c r="BA11" s="3857"/>
      <c r="BB11" s="3858"/>
      <c r="BC11" s="3859"/>
      <c r="BD11" s="3860"/>
      <c r="BE11" s="3861"/>
      <c r="BF11" s="3862"/>
      <c r="BG11" s="3863"/>
      <c r="BH11" s="3864"/>
      <c r="BI11" s="3865"/>
      <c r="BJ11" s="3866"/>
      <c r="BK11" s="3867"/>
      <c r="BL11" s="3868"/>
      <c r="BM11" s="3869"/>
      <c r="BN11" s="3870"/>
      <c r="BO11" s="3871"/>
      <c r="BP11" s="3872"/>
      <c r="BQ11" s="3873"/>
      <c r="BR11" s="3874"/>
      <c r="BS11" s="3875"/>
      <c r="BT11" s="3876"/>
      <c r="BU11" s="3877"/>
      <c r="BV11" s="3878"/>
      <c r="BW11" s="3879"/>
      <c r="BX11" s="3880"/>
      <c r="BY11" s="3881"/>
      <c r="BZ11" s="3882"/>
      <c r="CA11" s="3883"/>
      <c r="CB11" s="3884"/>
      <c r="CC11" s="3885"/>
      <c r="CD11" s="3886"/>
      <c r="CE11" s="3887"/>
      <c r="CF11" s="3888"/>
      <c r="CG11" s="3889"/>
      <c r="CH11" s="3890"/>
      <c r="CI11" s="3891"/>
      <c r="CJ11" s="3892"/>
      <c r="CK11" s="3893"/>
      <c r="CL11" s="3894"/>
      <c r="CM11" s="3895"/>
      <c r="CN11" s="3896"/>
      <c r="CO11" s="3897"/>
      <c r="CP11" s="3898"/>
      <c r="CQ11" s="3899"/>
      <c r="CR11" s="3900"/>
      <c r="CS11" s="3901"/>
      <c r="CT11" s="3902"/>
      <c r="CU11" s="3903"/>
      <c r="CV11" s="3904"/>
      <c r="CW11" s="3905"/>
      <c r="CX11" s="3906"/>
      <c r="CY11" s="3907"/>
      <c r="CZ11" s="3908"/>
      <c r="DA11" s="3909"/>
      <c r="DB11" s="3910"/>
      <c r="DC11" s="3911"/>
      <c r="DD11" s="3912"/>
      <c r="DE11" s="3913"/>
      <c r="DF11" s="3914"/>
      <c r="DG11" s="3915"/>
      <c r="DH11" s="3916"/>
      <c r="DI11" s="3917"/>
      <c r="DJ11" s="3918"/>
      <c r="DK11" s="3919"/>
      <c r="DL11" s="3920"/>
      <c r="DM11" s="3921"/>
      <c r="DN11" s="3922"/>
      <c r="DO11" s="3923"/>
      <c r="DP11" s="3924"/>
      <c r="DQ11" s="3925"/>
      <c r="DR11" s="3926"/>
      <c r="DS11" s="3927"/>
      <c r="DT11" s="3928"/>
      <c r="DU11" s="3929"/>
      <c r="DV11" s="3930"/>
      <c r="DW11" s="3931"/>
      <c r="DX11" s="3932"/>
      <c r="DY11" s="3933"/>
      <c r="DZ11" s="3934"/>
      <c r="EA11" s="3935"/>
      <c r="EB11" s="3936"/>
      <c r="EC11" s="3937"/>
      <c r="ED11" s="3938"/>
      <c r="EE11" s="3939"/>
      <c r="EF11" s="3940"/>
      <c r="EG11" s="3941"/>
      <c r="EH11" s="3942"/>
      <c r="EI11" s="3943"/>
      <c r="EJ11" s="3944"/>
      <c r="EK11" s="3945"/>
      <c r="EL11" s="3946"/>
      <c r="EM11" s="3947"/>
      <c r="EN11" s="3948"/>
      <c r="EO11" s="3949"/>
      <c r="EP11" s="3950"/>
      <c r="EQ11" s="3951"/>
      <c r="ER11" s="3952"/>
      <c r="ES11" s="3953"/>
      <c r="ET11" s="3954"/>
      <c r="EU11" s="3955"/>
      <c r="EV11" s="3956"/>
      <c r="EW11" s="3957"/>
      <c r="EX11" s="3958"/>
      <c r="EY11" s="3959"/>
      <c r="EZ11" s="3960"/>
      <c r="FA11" s="3961"/>
      <c r="FB11" s="3962"/>
      <c r="FC11" s="3963"/>
      <c r="FD11" s="3964"/>
      <c r="FE11" s="3965"/>
      <c r="FF11" s="3966"/>
      <c r="FG11" s="3967"/>
      <c r="FH11" s="3968"/>
      <c r="FI11" s="3969"/>
      <c r="FJ11" s="3970"/>
      <c r="FK11" s="3971"/>
      <c r="FL11" s="3972"/>
      <c r="FM11" s="3973"/>
      <c r="FN11" s="3974"/>
      <c r="FO11" s="3975"/>
      <c r="FP11" s="3976"/>
      <c r="FQ11" s="3977"/>
      <c r="FR11" s="3978"/>
      <c r="FS11" s="3979"/>
      <c r="FT11" s="3980"/>
      <c r="FU11" s="3981"/>
      <c r="FV11" s="3982"/>
      <c r="FW11" s="3983"/>
      <c r="FX11" s="3984"/>
      <c r="FY11" s="3985"/>
      <c r="FZ11" s="3986"/>
      <c r="GA11" s="367"/>
      <c r="GB11" s="291"/>
      <c r="GD11" s="506"/>
      <c r="GE11" s="506" t="str">
        <f>IF(T11="","",T11)</f>
        <v>Добавить наименование признака дифференциации</v>
      </c>
      <c r="GF11" s="506"/>
      <c r="GG11" s="506"/>
    </row>
    <row s="3273"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214</v>
      </c>
      <c r="U12" s="1354"/>
      <c r="V12" s="1354"/>
      <c r="W12" s="1354"/>
      <c r="X12" s="1354"/>
      <c r="Y12" s="1354"/>
      <c r="Z12" s="1354"/>
      <c r="AA12" s="1354"/>
      <c r="AB12" s="1354"/>
      <c r="AC12" s="1354"/>
      <c r="AD12" s="1354"/>
      <c r="AE12" s="1354"/>
      <c r="AF12" s="1354"/>
      <c r="AG12" s="1354"/>
      <c r="AH12" s="1354"/>
      <c r="AI12" s="1354"/>
      <c r="AJ12" s="3988"/>
      <c r="AK12" s="3988"/>
      <c r="AL12" s="3988"/>
      <c r="AM12" s="3988"/>
      <c r="AN12" s="3988"/>
      <c r="AO12" s="3988"/>
      <c r="AP12" s="3988"/>
      <c r="AQ12" s="3988"/>
      <c r="AR12" s="3988"/>
      <c r="AS12" s="3988"/>
      <c r="AT12" s="3988"/>
      <c r="AU12" s="3988"/>
      <c r="AV12" s="3988"/>
      <c r="AW12" s="3988"/>
      <c r="AX12" s="3988"/>
      <c r="AY12" s="3988"/>
      <c r="AZ12" s="3988"/>
      <c r="BA12" s="3988"/>
      <c r="BB12" s="3988"/>
      <c r="BC12" s="3988"/>
      <c r="BD12" s="3988"/>
      <c r="BE12" s="3988"/>
      <c r="BF12" s="3988"/>
      <c r="BG12" s="3988"/>
      <c r="BH12" s="3988"/>
      <c r="BI12" s="3988"/>
      <c r="BJ12" s="3988"/>
      <c r="BK12" s="3988"/>
      <c r="BL12" s="3988"/>
      <c r="BM12" s="3988"/>
      <c r="BN12" s="3988"/>
      <c r="BO12" s="3988"/>
      <c r="BP12" s="3988"/>
      <c r="BQ12" s="3988"/>
      <c r="BR12" s="3988"/>
      <c r="BS12" s="3988"/>
      <c r="BT12" s="3988"/>
      <c r="BU12" s="3988"/>
      <c r="BV12" s="3988"/>
      <c r="BW12" s="3988"/>
      <c r="BX12" s="3988"/>
      <c r="BY12" s="3988"/>
      <c r="BZ12" s="3988"/>
      <c r="CA12" s="3988"/>
      <c r="CB12" s="3988"/>
      <c r="CC12" s="3988"/>
      <c r="CD12" s="3988"/>
      <c r="CE12" s="3988"/>
      <c r="CF12" s="3988"/>
      <c r="CG12" s="3988"/>
      <c r="CH12" s="3988"/>
      <c r="CI12" s="3988"/>
      <c r="CJ12" s="3988"/>
      <c r="CK12" s="3988"/>
      <c r="CL12" s="3988"/>
      <c r="CM12" s="3988"/>
      <c r="CN12" s="3988"/>
      <c r="CO12" s="3988"/>
      <c r="CP12" s="3988"/>
      <c r="CQ12" s="3988"/>
      <c r="CR12" s="3988"/>
      <c r="CS12" s="3988"/>
      <c r="CT12" s="3988"/>
      <c r="CU12" s="3988"/>
      <c r="CV12" s="3988"/>
      <c r="CW12" s="3988"/>
      <c r="CX12" s="3988"/>
      <c r="CY12" s="3988"/>
      <c r="CZ12" s="3988"/>
      <c r="DA12" s="3988"/>
      <c r="DB12" s="3988"/>
      <c r="DC12" s="3988"/>
      <c r="DD12" s="3988"/>
      <c r="DE12" s="3988"/>
      <c r="DF12" s="3988"/>
      <c r="DG12" s="3988"/>
      <c r="DH12" s="3988"/>
      <c r="DI12" s="3988"/>
      <c r="DJ12" s="3988"/>
      <c r="DK12" s="3988"/>
      <c r="DL12" s="3988"/>
      <c r="DM12" s="3988"/>
      <c r="DN12" s="3988"/>
      <c r="DO12" s="3988"/>
      <c r="DP12" s="3988"/>
      <c r="DQ12" s="3988"/>
      <c r="DR12" s="3988"/>
      <c r="DS12" s="3988"/>
      <c r="DT12" s="3988"/>
      <c r="DU12" s="3988"/>
      <c r="DV12" s="3988"/>
      <c r="DW12" s="3988"/>
      <c r="DX12" s="3988"/>
      <c r="DY12" s="3988"/>
      <c r="DZ12" s="3988"/>
      <c r="EA12" s="3988"/>
      <c r="EB12" s="3988"/>
      <c r="EC12" s="3988"/>
      <c r="ED12" s="3988"/>
      <c r="EE12" s="3988"/>
      <c r="EF12" s="3988"/>
      <c r="EG12" s="3988"/>
      <c r="EH12" s="3988"/>
      <c r="EI12" s="3988"/>
      <c r="EJ12" s="3988"/>
      <c r="EK12" s="3988"/>
      <c r="EL12" s="3988"/>
      <c r="EM12" s="3988"/>
      <c r="EN12" s="3988"/>
      <c r="EO12" s="3988"/>
      <c r="EP12" s="3988"/>
      <c r="EQ12" s="3988"/>
      <c r="ER12" s="3988"/>
      <c r="ES12" s="3988"/>
      <c r="ET12" s="3988"/>
      <c r="EU12" s="3988"/>
      <c r="EV12" s="3988"/>
      <c r="EW12" s="3988"/>
      <c r="EX12" s="3988"/>
      <c r="EY12" s="3988"/>
      <c r="EZ12" s="3988"/>
      <c r="FA12" s="3988"/>
      <c r="FB12" s="3988"/>
      <c r="FC12" s="3988"/>
      <c r="FD12" s="3988"/>
      <c r="FE12" s="3988"/>
      <c r="FF12" s="3988"/>
      <c r="FG12" s="3988"/>
      <c r="FH12" s="3988"/>
      <c r="FI12" s="3988"/>
      <c r="FJ12" s="3988"/>
      <c r="FK12" s="3988"/>
      <c r="FL12" s="3988"/>
      <c r="FM12" s="3988"/>
      <c r="FN12" s="3988"/>
      <c r="FO12" s="3988"/>
      <c r="FP12" s="3988"/>
      <c r="FQ12" s="3988"/>
      <c r="FR12" s="3988"/>
      <c r="FS12" s="3988"/>
      <c r="FT12" s="3988"/>
      <c r="FU12" s="3988"/>
      <c r="FV12" s="3988"/>
      <c r="FW12" s="3988"/>
      <c r="FX12" s="3988"/>
      <c r="FY12" s="3988"/>
      <c r="FZ12" s="3988"/>
      <c r="GA12" s="1354"/>
      <c r="GB12" s="1354"/>
      <c r="GD12" s="795"/>
      <c r="GE12" s="795" t="str">
        <f>IF(T12="","",T12)</f>
        <v>Добавить централизованную систему для дифференциации</v>
      </c>
      <c r="GF12" s="795"/>
      <c r="GG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215</v>
      </c>
      <c r="U13" s="1354"/>
      <c r="V13" s="1354"/>
      <c r="W13" s="1354"/>
      <c r="X13" s="1354"/>
      <c r="Y13" s="1354"/>
      <c r="Z13" s="1354"/>
      <c r="AA13" s="1354"/>
      <c r="AB13" s="1354"/>
      <c r="AC13" s="1354"/>
      <c r="AD13" s="1354"/>
      <c r="AE13" s="1354"/>
      <c r="AF13" s="1354"/>
      <c r="AG13" s="1354"/>
      <c r="AH13" s="1354"/>
      <c r="AI13" s="1354"/>
      <c r="AJ13" s="3988"/>
      <c r="AK13" s="3988"/>
      <c r="AL13" s="3988"/>
      <c r="AM13" s="3988"/>
      <c r="AN13" s="3988"/>
      <c r="AO13" s="3988"/>
      <c r="AP13" s="3988"/>
      <c r="AQ13" s="3988"/>
      <c r="AR13" s="3988"/>
      <c r="AS13" s="3988"/>
      <c r="AT13" s="3988"/>
      <c r="AU13" s="3988"/>
      <c r="AV13" s="3988"/>
      <c r="AW13" s="3988"/>
      <c r="AX13" s="3988"/>
      <c r="AY13" s="3988"/>
      <c r="AZ13" s="3988"/>
      <c r="BA13" s="3988"/>
      <c r="BB13" s="3988"/>
      <c r="BC13" s="3988"/>
      <c r="BD13" s="3988"/>
      <c r="BE13" s="3988"/>
      <c r="BF13" s="3988"/>
      <c r="BG13" s="3988"/>
      <c r="BH13" s="3988"/>
      <c r="BI13" s="3988"/>
      <c r="BJ13" s="3988"/>
      <c r="BK13" s="3988"/>
      <c r="BL13" s="3988"/>
      <c r="BM13" s="3988"/>
      <c r="BN13" s="3988"/>
      <c r="BO13" s="3988"/>
      <c r="BP13" s="3988"/>
      <c r="BQ13" s="3988"/>
      <c r="BR13" s="3988"/>
      <c r="BS13" s="3988"/>
      <c r="BT13" s="3988"/>
      <c r="BU13" s="3988"/>
      <c r="BV13" s="3988"/>
      <c r="BW13" s="3988"/>
      <c r="BX13" s="3988"/>
      <c r="BY13" s="3988"/>
      <c r="BZ13" s="3988"/>
      <c r="CA13" s="3988"/>
      <c r="CB13" s="3988"/>
      <c r="CC13" s="3988"/>
      <c r="CD13" s="3988"/>
      <c r="CE13" s="3988"/>
      <c r="CF13" s="3988"/>
      <c r="CG13" s="3988"/>
      <c r="CH13" s="3988"/>
      <c r="CI13" s="3988"/>
      <c r="CJ13" s="3988"/>
      <c r="CK13" s="3988"/>
      <c r="CL13" s="3988"/>
      <c r="CM13" s="3988"/>
      <c r="CN13" s="3988"/>
      <c r="CO13" s="3988"/>
      <c r="CP13" s="3988"/>
      <c r="CQ13" s="3988"/>
      <c r="CR13" s="3988"/>
      <c r="CS13" s="3988"/>
      <c r="CT13" s="3988"/>
      <c r="CU13" s="3988"/>
      <c r="CV13" s="3988"/>
      <c r="CW13" s="3988"/>
      <c r="CX13" s="3988"/>
      <c r="CY13" s="3988"/>
      <c r="CZ13" s="3988"/>
      <c r="DA13" s="3988"/>
      <c r="DB13" s="3988"/>
      <c r="DC13" s="3988"/>
      <c r="DD13" s="3988"/>
      <c r="DE13" s="3988"/>
      <c r="DF13" s="3988"/>
      <c r="DG13" s="3988"/>
      <c r="DH13" s="3988"/>
      <c r="DI13" s="3988"/>
      <c r="DJ13" s="3988"/>
      <c r="DK13" s="3988"/>
      <c r="DL13" s="3988"/>
      <c r="DM13" s="3988"/>
      <c r="DN13" s="3988"/>
      <c r="DO13" s="3988"/>
      <c r="DP13" s="3988"/>
      <c r="DQ13" s="3988"/>
      <c r="DR13" s="3988"/>
      <c r="DS13" s="3988"/>
      <c r="DT13" s="3988"/>
      <c r="DU13" s="3988"/>
      <c r="DV13" s="3988"/>
      <c r="DW13" s="3988"/>
      <c r="DX13" s="3988"/>
      <c r="DY13" s="3988"/>
      <c r="DZ13" s="3988"/>
      <c r="EA13" s="3988"/>
      <c r="EB13" s="3988"/>
      <c r="EC13" s="3988"/>
      <c r="ED13" s="3988"/>
      <c r="EE13" s="3988"/>
      <c r="EF13" s="3988"/>
      <c r="EG13" s="3988"/>
      <c r="EH13" s="3988"/>
      <c r="EI13" s="3988"/>
      <c r="EJ13" s="3988"/>
      <c r="EK13" s="3988"/>
      <c r="EL13" s="3988"/>
      <c r="EM13" s="3988"/>
      <c r="EN13" s="3988"/>
      <c r="EO13" s="3988"/>
      <c r="EP13" s="3988"/>
      <c r="EQ13" s="3988"/>
      <c r="ER13" s="3988"/>
      <c r="ES13" s="3988"/>
      <c r="ET13" s="3988"/>
      <c r="EU13" s="3988"/>
      <c r="EV13" s="3988"/>
      <c r="EW13" s="3988"/>
      <c r="EX13" s="3988"/>
      <c r="EY13" s="3988"/>
      <c r="EZ13" s="3988"/>
      <c r="FA13" s="3988"/>
      <c r="FB13" s="3988"/>
      <c r="FC13" s="3988"/>
      <c r="FD13" s="3988"/>
      <c r="FE13" s="3988"/>
      <c r="FF13" s="3988"/>
      <c r="FG13" s="3988"/>
      <c r="FH13" s="3988"/>
      <c r="FI13" s="3988"/>
      <c r="FJ13" s="3988"/>
      <c r="FK13" s="3988"/>
      <c r="FL13" s="3988"/>
      <c r="FM13" s="3988"/>
      <c r="FN13" s="3988"/>
      <c r="FO13" s="3988"/>
      <c r="FP13" s="3988"/>
      <c r="FQ13" s="3988"/>
      <c r="FR13" s="3988"/>
      <c r="FS13" s="3988"/>
      <c r="FT13" s="3988"/>
      <c r="FU13" s="3988"/>
      <c r="FV13" s="3988"/>
      <c r="FW13" s="3988"/>
      <c r="FX13" s="3988"/>
      <c r="FY13" s="3988"/>
      <c r="FZ13" s="3988"/>
      <c r="GA13" s="1354"/>
      <c r="GB13" s="1354"/>
      <c r="GD13" s="506"/>
      <c r="GE13" s="506" t="str">
        <f>IF(T13="","",T13)</f>
        <v>Добавить территорию для дифференциации</v>
      </c>
      <c r="GF13" s="506"/>
      <c r="GG13" s="506"/>
    </row>
    <row customHeight="1" ht="14.25" hidden="1">
      <c r="AB14" s="323"/>
      <c r="AI14" s="323"/>
      <c r="AJ14" s="3513"/>
      <c r="AK14" s="3513"/>
      <c r="AL14" s="3513"/>
      <c r="AM14" s="3513"/>
      <c r="AN14" s="3513"/>
      <c r="AO14" s="3513"/>
      <c r="AP14" s="3513"/>
      <c r="AQ14" s="3513"/>
      <c r="AR14" s="3513"/>
      <c r="AS14" s="3513"/>
      <c r="AT14" s="3513"/>
      <c r="AU14" s="3513"/>
      <c r="AV14" s="3513"/>
      <c r="AW14" s="3513"/>
      <c r="AX14" s="3513"/>
      <c r="AY14" s="3513"/>
      <c r="AZ14" s="3513"/>
      <c r="BA14" s="3513"/>
      <c r="BB14" s="3513"/>
      <c r="BC14" s="3513"/>
      <c r="BD14" s="3513"/>
      <c r="BE14" s="3513"/>
      <c r="BF14" s="3513"/>
      <c r="BG14" s="3513"/>
      <c r="BH14" s="3513"/>
      <c r="BI14" s="3513"/>
      <c r="BJ14" s="3513"/>
      <c r="BK14" s="3513"/>
      <c r="BL14" s="3513"/>
      <c r="BM14" s="3513"/>
      <c r="BN14" s="3513"/>
      <c r="BO14" s="3513"/>
      <c r="BP14" s="3513"/>
      <c r="BQ14" s="3513"/>
      <c r="BR14" s="3513"/>
      <c r="BS14" s="3513"/>
      <c r="BT14" s="3513"/>
      <c r="BU14" s="3513"/>
      <c r="BV14" s="3513"/>
      <c r="BW14" s="3513"/>
      <c r="BX14" s="3513"/>
      <c r="BY14" s="3513"/>
      <c r="BZ14" s="3513"/>
      <c r="CA14" s="3513"/>
      <c r="CB14" s="3513"/>
      <c r="CC14" s="3513"/>
      <c r="CD14" s="3513"/>
      <c r="CE14" s="3513"/>
      <c r="CF14" s="3513"/>
      <c r="CG14" s="3513"/>
      <c r="CH14" s="3513"/>
      <c r="CI14" s="3513"/>
      <c r="CJ14" s="3513"/>
      <c r="CK14" s="3513"/>
      <c r="CL14" s="3513"/>
      <c r="CM14" s="3513"/>
      <c r="CN14" s="3513"/>
      <c r="CO14" s="3513"/>
      <c r="CP14" s="3513"/>
      <c r="CQ14" s="3513"/>
      <c r="CR14" s="3513"/>
      <c r="CS14" s="3513"/>
      <c r="CT14" s="3513"/>
      <c r="CU14" s="3513"/>
      <c r="CV14" s="3513"/>
      <c r="CW14" s="3513"/>
      <c r="CX14" s="3513"/>
      <c r="CY14" s="3513"/>
      <c r="CZ14" s="3513"/>
      <c r="DA14" s="3513"/>
      <c r="DB14" s="3513"/>
      <c r="DC14" s="3513"/>
      <c r="DD14" s="3513"/>
      <c r="DE14" s="3513"/>
      <c r="DF14" s="3513"/>
      <c r="DG14" s="3513"/>
      <c r="DH14" s="3513"/>
      <c r="DI14" s="3513"/>
      <c r="DJ14" s="3513"/>
      <c r="DK14" s="3513"/>
      <c r="DL14" s="3513"/>
      <c r="DM14" s="3513"/>
      <c r="DN14" s="3513"/>
      <c r="DO14" s="3513"/>
      <c r="DP14" s="3513"/>
      <c r="DQ14" s="3513"/>
      <c r="DR14" s="3513"/>
      <c r="DS14" s="3513"/>
      <c r="DT14" s="3513"/>
      <c r="DU14" s="3513"/>
      <c r="DV14" s="3513"/>
      <c r="DW14" s="3513"/>
      <c r="DX14" s="3513"/>
      <c r="DY14" s="3513"/>
      <c r="DZ14" s="3513"/>
      <c r="EA14" s="3513"/>
      <c r="EB14" s="3513"/>
      <c r="EC14" s="3513"/>
      <c r="ED14" s="3513"/>
      <c r="EE14" s="3513"/>
      <c r="EF14" s="3513"/>
      <c r="EG14" s="3513"/>
      <c r="EH14" s="3513"/>
      <c r="EI14" s="3513"/>
      <c r="EJ14" s="3513"/>
      <c r="EK14" s="3513"/>
      <c r="EL14" s="3513"/>
      <c r="EM14" s="3513"/>
      <c r="EN14" s="3513"/>
      <c r="EO14" s="3513"/>
      <c r="EP14" s="3513"/>
      <c r="EQ14" s="3513"/>
      <c r="ER14" s="3513"/>
      <c r="ES14" s="3513"/>
      <c r="ET14" s="3513"/>
      <c r="EU14" s="3513"/>
      <c r="EV14" s="3513"/>
      <c r="EW14" s="3513"/>
      <c r="EX14" s="3513"/>
      <c r="EY14" s="3513"/>
      <c r="EZ14" s="3513"/>
      <c r="FA14" s="3513"/>
      <c r="FB14" s="3513"/>
      <c r="FC14" s="3513"/>
      <c r="FD14" s="3513"/>
      <c r="FE14" s="3513"/>
      <c r="FF14" s="3513"/>
      <c r="FG14" s="3513"/>
      <c r="FH14" s="3513"/>
      <c r="FI14" s="3513"/>
      <c r="FJ14" s="3513"/>
      <c r="FK14" s="3513"/>
      <c r="FL14" s="3513"/>
      <c r="FM14" s="3513"/>
      <c r="FN14" s="3513"/>
      <c r="FO14" s="3513"/>
      <c r="FP14" s="3513"/>
      <c r="FQ14" s="3513"/>
      <c r="FR14" s="3513"/>
      <c r="FS14" s="3513"/>
      <c r="FT14" s="3513"/>
      <c r="FU14" s="3513"/>
      <c r="FV14" s="3513"/>
      <c r="FW14" s="3513"/>
      <c r="FX14" s="3513"/>
      <c r="FY14" s="3513"/>
      <c r="FZ14" s="3513"/>
    </row>
    <row customHeight="1" ht="14.25" hidden="1">
      <c r="AC15" s="1390"/>
      <c r="AD15" s="1390"/>
      <c r="AE15" s="1391"/>
      <c r="AF15" s="2105"/>
      <c r="AG15" s="2104" t="s">
        <v>60</v>
      </c>
      <c r="AH15" s="2105"/>
      <c r="AI15" s="2104" t="s">
        <v>60</v>
      </c>
      <c r="AJ15" s="3513"/>
      <c r="AK15" s="3513"/>
      <c r="AL15" s="3513"/>
      <c r="AM15" s="3513"/>
      <c r="AN15" s="3513"/>
      <c r="AO15" s="3513"/>
      <c r="AP15" s="3513"/>
      <c r="AQ15" s="3513"/>
      <c r="AR15" s="3513"/>
      <c r="AS15" s="3513"/>
      <c r="AT15" s="3513"/>
      <c r="AU15" s="3513"/>
      <c r="AV15" s="3513"/>
      <c r="AW15" s="3513"/>
      <c r="AX15" s="3513"/>
      <c r="AY15" s="3513"/>
      <c r="AZ15" s="3513"/>
      <c r="BA15" s="3513"/>
      <c r="BB15" s="3513"/>
      <c r="BC15" s="3513"/>
      <c r="BD15" s="3513"/>
      <c r="BE15" s="3513"/>
      <c r="BF15" s="3513"/>
      <c r="BG15" s="3513"/>
      <c r="BH15" s="3513"/>
      <c r="BI15" s="3513"/>
      <c r="BJ15" s="3513"/>
      <c r="BK15" s="3513"/>
      <c r="BL15" s="3513"/>
      <c r="BM15" s="3513"/>
      <c r="BN15" s="3513"/>
      <c r="BO15" s="3513"/>
      <c r="BP15" s="3513"/>
      <c r="BQ15" s="3513"/>
      <c r="BR15" s="3513"/>
      <c r="BS15" s="3513"/>
      <c r="BT15" s="3513"/>
      <c r="BU15" s="3513"/>
      <c r="BV15" s="3513"/>
      <c r="BW15" s="3513"/>
      <c r="BX15" s="3513"/>
      <c r="BY15" s="3513"/>
      <c r="BZ15" s="3513"/>
      <c r="CA15" s="3513"/>
      <c r="CB15" s="3513"/>
      <c r="CC15" s="3513"/>
      <c r="CD15" s="3513"/>
      <c r="CE15" s="3513"/>
      <c r="CF15" s="3513"/>
      <c r="CG15" s="3513"/>
      <c r="CH15" s="3513"/>
      <c r="CI15" s="3513"/>
      <c r="CJ15" s="3513"/>
      <c r="CK15" s="3513"/>
      <c r="CL15" s="3513"/>
      <c r="CM15" s="3513"/>
      <c r="CN15" s="3513"/>
      <c r="CO15" s="3513"/>
      <c r="CP15" s="3513"/>
      <c r="CQ15" s="3513"/>
      <c r="CR15" s="3513"/>
      <c r="CS15" s="3513"/>
      <c r="CT15" s="3513"/>
      <c r="CU15" s="3513"/>
      <c r="CV15" s="3513"/>
      <c r="CW15" s="3513"/>
      <c r="CX15" s="3513"/>
      <c r="CY15" s="3513"/>
      <c r="CZ15" s="3513"/>
      <c r="DA15" s="3513"/>
      <c r="DB15" s="3513"/>
      <c r="DC15" s="3513"/>
      <c r="DD15" s="3513"/>
      <c r="DE15" s="3513"/>
      <c r="DF15" s="3513"/>
      <c r="DG15" s="3513"/>
      <c r="DH15" s="3513"/>
      <c r="DI15" s="3513"/>
      <c r="DJ15" s="3513"/>
      <c r="DK15" s="3513"/>
      <c r="DL15" s="3513"/>
      <c r="DM15" s="3513"/>
      <c r="DN15" s="3513"/>
      <c r="DO15" s="3513"/>
      <c r="DP15" s="3513"/>
      <c r="DQ15" s="3513"/>
      <c r="DR15" s="3513"/>
      <c r="DS15" s="3513"/>
      <c r="DT15" s="3513"/>
      <c r="DU15" s="3513"/>
      <c r="DV15" s="3513"/>
      <c r="DW15" s="3513"/>
      <c r="DX15" s="3513"/>
      <c r="DY15" s="3513"/>
      <c r="DZ15" s="3513"/>
      <c r="EA15" s="3513"/>
      <c r="EB15" s="3513"/>
      <c r="EC15" s="3513"/>
      <c r="ED15" s="3513"/>
      <c r="EE15" s="3513"/>
      <c r="EF15" s="3513"/>
      <c r="EG15" s="3513"/>
      <c r="EH15" s="3513"/>
      <c r="EI15" s="3513"/>
      <c r="EJ15" s="3513"/>
      <c r="EK15" s="3513"/>
      <c r="EL15" s="3513"/>
      <c r="EM15" s="3513"/>
      <c r="EN15" s="3513"/>
      <c r="EO15" s="3513"/>
      <c r="EP15" s="3513"/>
      <c r="EQ15" s="3513"/>
      <c r="ER15" s="3513"/>
      <c r="ES15" s="3513"/>
      <c r="ET15" s="3513"/>
      <c r="EU15" s="3513"/>
      <c r="EV15" s="3513"/>
      <c r="EW15" s="3513"/>
      <c r="EX15" s="3513"/>
      <c r="EY15" s="3513"/>
      <c r="EZ15" s="3513"/>
      <c r="FA15" s="3513"/>
      <c r="FB15" s="3513"/>
      <c r="FC15" s="3513"/>
      <c r="FD15" s="3513"/>
      <c r="FE15" s="3513"/>
      <c r="FF15" s="3513"/>
      <c r="FG15" s="3513"/>
      <c r="FH15" s="3513"/>
      <c r="FI15" s="3513"/>
      <c r="FJ15" s="3513"/>
      <c r="FK15" s="3513"/>
      <c r="FL15" s="3513"/>
      <c r="FM15" s="3513"/>
      <c r="FN15" s="3513"/>
      <c r="FO15" s="3513"/>
      <c r="FP15" s="3513"/>
      <c r="FQ15" s="3513"/>
      <c r="FR15" s="3513"/>
      <c r="FS15" s="3513"/>
      <c r="FT15" s="3513"/>
      <c r="FU15" s="3513"/>
      <c r="FV15" s="3513"/>
      <c r="FW15" s="3513"/>
      <c r="FX15" s="3513"/>
      <c r="FY15" s="3513"/>
      <c r="FZ15" s="3513"/>
    </row>
    <row customHeight="1" ht="14.25" hidden="1">
      <c r="AC16" s="1390"/>
      <c r="AD16" s="1390"/>
      <c r="AE16" s="324" t="str">
        <f>AF15&amp;"-"&amp;AH15</f>
        <v>-</v>
      </c>
      <c r="AF16" s="2104"/>
      <c r="AG16" s="2104"/>
      <c r="AH16" s="2104"/>
      <c r="AI16" s="2104"/>
      <c r="AJ16" s="3513"/>
      <c r="AK16" s="3513"/>
      <c r="AL16" s="3513"/>
      <c r="AM16" s="3513"/>
      <c r="AN16" s="3513"/>
      <c r="AO16" s="3513"/>
      <c r="AP16" s="3513"/>
      <c r="AQ16" s="3513"/>
      <c r="AR16" s="3513"/>
      <c r="AS16" s="3513"/>
      <c r="AT16" s="3513"/>
      <c r="AU16" s="3513"/>
      <c r="AV16" s="3513"/>
      <c r="AW16" s="3513"/>
      <c r="AX16" s="3513"/>
      <c r="AY16" s="3513"/>
      <c r="AZ16" s="3513"/>
      <c r="BA16" s="3513"/>
      <c r="BB16" s="3513"/>
      <c r="BC16" s="3513"/>
      <c r="BD16" s="3513"/>
      <c r="BE16" s="3513"/>
      <c r="BF16" s="3513"/>
      <c r="BG16" s="3513"/>
      <c r="BH16" s="3513"/>
      <c r="BI16" s="3513"/>
      <c r="BJ16" s="3513"/>
      <c r="BK16" s="3513"/>
      <c r="BL16" s="3513"/>
      <c r="BM16" s="3513"/>
      <c r="BN16" s="3513"/>
      <c r="BO16" s="3513"/>
      <c r="BP16" s="3513"/>
      <c r="BQ16" s="3513"/>
      <c r="BR16" s="3513"/>
      <c r="BS16" s="3513"/>
      <c r="BT16" s="3513"/>
      <c r="BU16" s="3513"/>
      <c r="BV16" s="3513"/>
      <c r="BW16" s="3513"/>
      <c r="BX16" s="3513"/>
      <c r="BY16" s="3513"/>
      <c r="BZ16" s="3513"/>
      <c r="CA16" s="3513"/>
      <c r="CB16" s="3513"/>
      <c r="CC16" s="3513"/>
      <c r="CD16" s="3513"/>
      <c r="CE16" s="3513"/>
      <c r="CF16" s="3513"/>
      <c r="CG16" s="3513"/>
      <c r="CH16" s="3513"/>
      <c r="CI16" s="3513"/>
      <c r="CJ16" s="3513"/>
      <c r="CK16" s="3513"/>
      <c r="CL16" s="3513"/>
      <c r="CM16" s="3513"/>
      <c r="CN16" s="3513"/>
      <c r="CO16" s="3513"/>
      <c r="CP16" s="3513"/>
      <c r="CQ16" s="3513"/>
      <c r="CR16" s="3513"/>
      <c r="CS16" s="3513"/>
      <c r="CT16" s="3513"/>
      <c r="CU16" s="3513"/>
      <c r="CV16" s="3513"/>
      <c r="CW16" s="3513"/>
      <c r="CX16" s="3513"/>
      <c r="CY16" s="3513"/>
      <c r="CZ16" s="3513"/>
      <c r="DA16" s="3513"/>
      <c r="DB16" s="3513"/>
      <c r="DC16" s="3513"/>
      <c r="DD16" s="3513"/>
      <c r="DE16" s="3513"/>
      <c r="DF16" s="3513"/>
      <c r="DG16" s="3513"/>
      <c r="DH16" s="3513"/>
      <c r="DI16" s="3513"/>
      <c r="DJ16" s="3513"/>
      <c r="DK16" s="3513"/>
      <c r="DL16" s="3513"/>
      <c r="DM16" s="3513"/>
      <c r="DN16" s="3513"/>
      <c r="DO16" s="3513"/>
      <c r="DP16" s="3513"/>
      <c r="DQ16" s="3513"/>
      <c r="DR16" s="3513"/>
      <c r="DS16" s="3513"/>
      <c r="DT16" s="3513"/>
      <c r="DU16" s="3513"/>
      <c r="DV16" s="3513"/>
      <c r="DW16" s="3513"/>
      <c r="DX16" s="3513"/>
      <c r="DY16" s="3513"/>
      <c r="DZ16" s="3513"/>
      <c r="EA16" s="3513"/>
      <c r="EB16" s="3513"/>
      <c r="EC16" s="3513"/>
      <c r="ED16" s="3513"/>
      <c r="EE16" s="3513"/>
      <c r="EF16" s="3513"/>
      <c r="EG16" s="3513"/>
      <c r="EH16" s="3513"/>
      <c r="EI16" s="3513"/>
      <c r="EJ16" s="3513"/>
      <c r="EK16" s="3513"/>
      <c r="EL16" s="3513"/>
      <c r="EM16" s="3513"/>
      <c r="EN16" s="3513"/>
      <c r="EO16" s="3513"/>
      <c r="EP16" s="3513"/>
      <c r="EQ16" s="3513"/>
      <c r="ER16" s="3513"/>
      <c r="ES16" s="3513"/>
      <c r="ET16" s="3513"/>
      <c r="EU16" s="3513"/>
      <c r="EV16" s="3513"/>
      <c r="EW16" s="3513"/>
      <c r="EX16" s="3513"/>
      <c r="EY16" s="3513"/>
      <c r="EZ16" s="3513"/>
      <c r="FA16" s="3513"/>
      <c r="FB16" s="3513"/>
      <c r="FC16" s="3513"/>
      <c r="FD16" s="3513"/>
      <c r="FE16" s="3513"/>
      <c r="FF16" s="3513"/>
      <c r="FG16" s="3513"/>
      <c r="FH16" s="3513"/>
      <c r="FI16" s="3513"/>
      <c r="FJ16" s="3513"/>
      <c r="FK16" s="3513"/>
      <c r="FL16" s="3513"/>
      <c r="FM16" s="3513"/>
      <c r="FN16" s="3513"/>
      <c r="FO16" s="3513"/>
      <c r="FP16" s="3513"/>
      <c r="FQ16" s="3513"/>
      <c r="FR16" s="3513"/>
      <c r="FS16" s="3513"/>
      <c r="FT16" s="3513"/>
      <c r="FU16" s="3513"/>
      <c r="FV16" s="3513"/>
      <c r="FW16" s="3513"/>
      <c r="FX16" s="3513"/>
      <c r="FY16" s="3513"/>
      <c r="FZ16" s="3513"/>
    </row>
    <row customHeight="1" ht="14.25" hidden="1">
      <c r="AI17" s="323"/>
      <c r="AJ17" s="3513"/>
      <c r="AK17" s="3513"/>
      <c r="AL17" s="3513"/>
      <c r="AM17" s="3513"/>
      <c r="AN17" s="3513"/>
      <c r="AO17" s="3513"/>
      <c r="AP17" s="3513"/>
      <c r="AQ17" s="3513"/>
      <c r="AR17" s="3513"/>
      <c r="AS17" s="3513"/>
      <c r="AT17" s="3513"/>
      <c r="AU17" s="3513"/>
      <c r="AV17" s="3513"/>
      <c r="AW17" s="3513"/>
      <c r="AX17" s="3513"/>
      <c r="AY17" s="3513"/>
      <c r="AZ17" s="3513"/>
      <c r="BA17" s="3513"/>
      <c r="BB17" s="3513"/>
      <c r="BC17" s="3513"/>
      <c r="BD17" s="3513"/>
      <c r="BE17" s="3513"/>
      <c r="BF17" s="3513"/>
      <c r="BG17" s="3513"/>
      <c r="BH17" s="3513"/>
      <c r="BI17" s="3513"/>
      <c r="BJ17" s="3513"/>
      <c r="BK17" s="3513"/>
      <c r="BL17" s="3513"/>
      <c r="BM17" s="3513"/>
      <c r="BN17" s="3513"/>
      <c r="BO17" s="3513"/>
      <c r="BP17" s="3513"/>
      <c r="BQ17" s="3513"/>
      <c r="BR17" s="3513"/>
      <c r="BS17" s="3513"/>
      <c r="BT17" s="3513"/>
      <c r="BU17" s="3513"/>
      <c r="BV17" s="3513"/>
      <c r="BW17" s="3513"/>
      <c r="BX17" s="3513"/>
      <c r="BY17" s="3513"/>
      <c r="BZ17" s="3513"/>
      <c r="CA17" s="3513"/>
      <c r="CB17" s="3513"/>
      <c r="CC17" s="3513"/>
      <c r="CD17" s="3513"/>
      <c r="CE17" s="3513"/>
      <c r="CF17" s="3513"/>
      <c r="CG17" s="3513"/>
      <c r="CH17" s="3513"/>
      <c r="CI17" s="3513"/>
      <c r="CJ17" s="3513"/>
      <c r="CK17" s="3513"/>
      <c r="CL17" s="3513"/>
      <c r="CM17" s="3513"/>
      <c r="CN17" s="3513"/>
      <c r="CO17" s="3513"/>
      <c r="CP17" s="3513"/>
      <c r="CQ17" s="3513"/>
      <c r="CR17" s="3513"/>
      <c r="CS17" s="3513"/>
      <c r="CT17" s="3513"/>
      <c r="CU17" s="3513"/>
      <c r="CV17" s="3513"/>
      <c r="CW17" s="3513"/>
      <c r="CX17" s="3513"/>
      <c r="CY17" s="3513"/>
      <c r="CZ17" s="3513"/>
      <c r="DA17" s="3513"/>
      <c r="DB17" s="3513"/>
      <c r="DC17" s="3513"/>
      <c r="DD17" s="3513"/>
      <c r="DE17" s="3513"/>
      <c r="DF17" s="3513"/>
      <c r="DG17" s="3513"/>
      <c r="DH17" s="3513"/>
      <c r="DI17" s="3513"/>
      <c r="DJ17" s="3513"/>
      <c r="DK17" s="3513"/>
      <c r="DL17" s="3513"/>
      <c r="DM17" s="3513"/>
      <c r="DN17" s="3513"/>
      <c r="DO17" s="3513"/>
      <c r="DP17" s="3513"/>
      <c r="DQ17" s="3513"/>
      <c r="DR17" s="3513"/>
      <c r="DS17" s="3513"/>
      <c r="DT17" s="3513"/>
      <c r="DU17" s="3513"/>
      <c r="DV17" s="3513"/>
      <c r="DW17" s="3513"/>
      <c r="DX17" s="3513"/>
      <c r="DY17" s="3513"/>
      <c r="DZ17" s="3513"/>
      <c r="EA17" s="3513"/>
      <c r="EB17" s="3513"/>
      <c r="EC17" s="3513"/>
      <c r="ED17" s="3513"/>
      <c r="EE17" s="3513"/>
      <c r="EF17" s="3513"/>
      <c r="EG17" s="3513"/>
      <c r="EH17" s="3513"/>
      <c r="EI17" s="3513"/>
      <c r="EJ17" s="3513"/>
      <c r="EK17" s="3513"/>
      <c r="EL17" s="3513"/>
      <c r="EM17" s="3513"/>
      <c r="EN17" s="3513"/>
      <c r="EO17" s="3513"/>
      <c r="EP17" s="3513"/>
      <c r="EQ17" s="3513"/>
      <c r="ER17" s="3513"/>
      <c r="ES17" s="3513"/>
      <c r="ET17" s="3513"/>
      <c r="EU17" s="3513"/>
      <c r="EV17" s="3513"/>
      <c r="EW17" s="3513"/>
      <c r="EX17" s="3513"/>
      <c r="EY17" s="3513"/>
      <c r="EZ17" s="3513"/>
      <c r="FA17" s="3513"/>
      <c r="FB17" s="3513"/>
      <c r="FC17" s="3513"/>
      <c r="FD17" s="3513"/>
      <c r="FE17" s="3513"/>
      <c r="FF17" s="3513"/>
      <c r="FG17" s="3513"/>
      <c r="FH17" s="3513"/>
      <c r="FI17" s="3513"/>
      <c r="FJ17" s="3513"/>
      <c r="FK17" s="3513"/>
      <c r="FL17" s="3513"/>
      <c r="FM17" s="3513"/>
      <c r="FN17" s="3513"/>
      <c r="FO17" s="3513"/>
      <c r="FP17" s="3513"/>
      <c r="FQ17" s="3513"/>
      <c r="FR17" s="3513"/>
      <c r="FS17" s="3513"/>
      <c r="FT17" s="3513"/>
      <c r="FU17" s="3513"/>
      <c r="FV17" s="3513"/>
      <c r="FW17" s="3513"/>
      <c r="FX17" s="3513"/>
      <c r="FY17" s="3513"/>
      <c r="FZ17" s="3513"/>
    </row>
    <row s="3292" customFormat="1" customHeight="1" ht="22.5" hidden="1">
      <c r="L18" s="1451"/>
      <c r="M18" s="1392"/>
      <c r="N18" s="1392"/>
      <c r="O18" s="1397" t="s">
        <v>405</v>
      </c>
      <c r="P18" s="1392"/>
      <c r="Q18" s="1401"/>
      <c r="R18" s="1401"/>
      <c r="S18" s="735"/>
      <c r="Y18" s="1397"/>
      <c r="AA18" s="1397"/>
      <c r="AB18" s="1396"/>
      <c r="AF18" s="1397"/>
      <c r="AH18" s="1397"/>
      <c r="AI18" s="1396"/>
      <c r="AJ18" s="3990"/>
      <c r="AK18" s="3990"/>
      <c r="AL18" s="3990"/>
      <c r="AM18" s="3991"/>
      <c r="AN18" s="3990"/>
      <c r="AO18" s="3991"/>
      <c r="AP18" s="3990"/>
      <c r="AQ18" s="3990"/>
      <c r="AR18" s="3990"/>
      <c r="AS18" s="3990"/>
      <c r="AT18" s="3991"/>
      <c r="AU18" s="3990"/>
      <c r="AV18" s="3991"/>
      <c r="AW18" s="3990"/>
      <c r="AX18" s="3990"/>
      <c r="AY18" s="3990"/>
      <c r="AZ18" s="3990"/>
      <c r="BA18" s="3991"/>
      <c r="BB18" s="3990"/>
      <c r="BC18" s="3991"/>
      <c r="BD18" s="3990"/>
      <c r="BE18" s="3990"/>
      <c r="BF18" s="3990"/>
      <c r="BG18" s="3990"/>
      <c r="BH18" s="3991"/>
      <c r="BI18" s="3990"/>
      <c r="BJ18" s="3991"/>
      <c r="BK18" s="3990"/>
      <c r="BL18" s="3990"/>
      <c r="BM18" s="3990"/>
      <c r="BN18" s="3990"/>
      <c r="BO18" s="3991"/>
      <c r="BP18" s="3990"/>
      <c r="BQ18" s="3991"/>
      <c r="BR18" s="3990"/>
      <c r="BS18" s="3990"/>
      <c r="BT18" s="3990"/>
      <c r="BU18" s="3990"/>
      <c r="BV18" s="3991"/>
      <c r="BW18" s="3990"/>
      <c r="BX18" s="3991"/>
      <c r="BY18" s="3990"/>
      <c r="BZ18" s="3990"/>
      <c r="CA18" s="3990"/>
      <c r="CB18" s="3990"/>
      <c r="CC18" s="3991"/>
      <c r="CD18" s="3990"/>
      <c r="CE18" s="3991"/>
      <c r="CF18" s="3990"/>
      <c r="CG18" s="3990"/>
      <c r="CH18" s="3990"/>
      <c r="CI18" s="3990"/>
      <c r="CJ18" s="3991"/>
      <c r="CK18" s="3990"/>
      <c r="CL18" s="3991"/>
      <c r="CM18" s="3990"/>
      <c r="CN18" s="3990"/>
      <c r="CO18" s="3990"/>
      <c r="CP18" s="3990"/>
      <c r="CQ18" s="3991"/>
      <c r="CR18" s="3990"/>
      <c r="CS18" s="3991"/>
      <c r="CT18" s="3990"/>
      <c r="CU18" s="3990"/>
      <c r="CV18" s="3990"/>
      <c r="CW18" s="3990"/>
      <c r="CX18" s="3991"/>
      <c r="CY18" s="3990"/>
      <c r="CZ18" s="3991"/>
      <c r="DA18" s="3990"/>
      <c r="DB18" s="3990"/>
      <c r="DC18" s="3990"/>
      <c r="DD18" s="3990"/>
      <c r="DE18" s="3991"/>
      <c r="DF18" s="3990"/>
      <c r="DG18" s="3991"/>
      <c r="DH18" s="3990"/>
      <c r="DI18" s="3990"/>
      <c r="DJ18" s="3990"/>
      <c r="DK18" s="3990"/>
      <c r="DL18" s="3991"/>
      <c r="DM18" s="3990"/>
      <c r="DN18" s="3991"/>
      <c r="DO18" s="3990"/>
      <c r="DP18" s="3990"/>
      <c r="DQ18" s="3990"/>
      <c r="DR18" s="3990"/>
      <c r="DS18" s="3991"/>
      <c r="DT18" s="3990"/>
      <c r="DU18" s="3991"/>
      <c r="DV18" s="3990"/>
      <c r="DW18" s="3990"/>
      <c r="DX18" s="3990"/>
      <c r="DY18" s="3990"/>
      <c r="DZ18" s="3991"/>
      <c r="EA18" s="3990"/>
      <c r="EB18" s="3991"/>
      <c r="EC18" s="3990"/>
      <c r="ED18" s="3990"/>
      <c r="EE18" s="3990"/>
      <c r="EF18" s="3990"/>
      <c r="EG18" s="3991"/>
      <c r="EH18" s="3990"/>
      <c r="EI18" s="3991"/>
      <c r="EJ18" s="3990"/>
      <c r="EK18" s="3990"/>
      <c r="EL18" s="3990"/>
      <c r="EM18" s="3990"/>
      <c r="EN18" s="3991"/>
      <c r="EO18" s="3990"/>
      <c r="EP18" s="3991"/>
      <c r="EQ18" s="3990"/>
      <c r="ER18" s="3990"/>
      <c r="ES18" s="3990"/>
      <c r="ET18" s="3990"/>
      <c r="EU18" s="3991"/>
      <c r="EV18" s="3990"/>
      <c r="EW18" s="3991"/>
      <c r="EX18" s="3990"/>
      <c r="EY18" s="3990"/>
      <c r="EZ18" s="3990"/>
      <c r="FA18" s="3990"/>
      <c r="FB18" s="3991"/>
      <c r="FC18" s="3990"/>
      <c r="FD18" s="3991"/>
      <c r="FE18" s="3990"/>
      <c r="FF18" s="3990"/>
      <c r="FG18" s="3990"/>
      <c r="FH18" s="3990"/>
      <c r="FI18" s="3991"/>
      <c r="FJ18" s="3990"/>
      <c r="FK18" s="3991"/>
      <c r="FL18" s="3990"/>
      <c r="FM18" s="3990"/>
      <c r="FN18" s="3990"/>
      <c r="FO18" s="3990"/>
      <c r="FP18" s="3991"/>
      <c r="FQ18" s="3990"/>
      <c r="FR18" s="3991"/>
      <c r="FS18" s="3990"/>
      <c r="FT18" s="3990"/>
      <c r="FU18" s="3990"/>
      <c r="FV18" s="3990"/>
      <c r="FW18" s="3991"/>
      <c r="FX18" s="3990"/>
      <c r="FY18" s="3991"/>
      <c r="FZ18" s="3990"/>
      <c r="GC18" s="517"/>
      <c r="GD18" s="517"/>
      <c r="GE18" s="517"/>
      <c r="GF18" s="517"/>
      <c r="GG18" s="517"/>
    </row>
    <row s="3292" customFormat="1" customHeight="1" ht="14.25" hidden="1">
      <c r="L19" s="1451"/>
      <c r="M19" s="1392"/>
      <c r="N19" s="1392"/>
      <c r="O19" s="1392"/>
      <c r="P19" s="1392"/>
      <c r="Q19" s="1401"/>
      <c r="R19" s="1401"/>
      <c r="S19" s="735"/>
      <c r="AB19" s="1396"/>
      <c r="AI19" s="1396"/>
      <c r="AJ19" s="3990"/>
      <c r="AK19" s="3990"/>
      <c r="AL19" s="3990"/>
      <c r="AM19" s="3990"/>
      <c r="AN19" s="3990"/>
      <c r="AO19" s="3990"/>
      <c r="AP19" s="3990"/>
      <c r="AQ19" s="3990"/>
      <c r="AR19" s="3990"/>
      <c r="AS19" s="3990"/>
      <c r="AT19" s="3990"/>
      <c r="AU19" s="3990"/>
      <c r="AV19" s="3990"/>
      <c r="AW19" s="3990"/>
      <c r="AX19" s="3990"/>
      <c r="AY19" s="3990"/>
      <c r="AZ19" s="3990"/>
      <c r="BA19" s="3990"/>
      <c r="BB19" s="3990"/>
      <c r="BC19" s="3990"/>
      <c r="BD19" s="3990"/>
      <c r="BE19" s="3990"/>
      <c r="BF19" s="3990"/>
      <c r="BG19" s="3990"/>
      <c r="BH19" s="3990"/>
      <c r="BI19" s="3990"/>
      <c r="BJ19" s="3990"/>
      <c r="BK19" s="3990"/>
      <c r="BL19" s="3990"/>
      <c r="BM19" s="3990"/>
      <c r="BN19" s="3990"/>
      <c r="BO19" s="3990"/>
      <c r="BP19" s="3990"/>
      <c r="BQ19" s="3990"/>
      <c r="BR19" s="3990"/>
      <c r="BS19" s="3990"/>
      <c r="BT19" s="3990"/>
      <c r="BU19" s="3990"/>
      <c r="BV19" s="3990"/>
      <c r="BW19" s="3990"/>
      <c r="BX19" s="3990"/>
      <c r="BY19" s="3990"/>
      <c r="BZ19" s="3990"/>
      <c r="CA19" s="3990"/>
      <c r="CB19" s="3990"/>
      <c r="CC19" s="3990"/>
      <c r="CD19" s="3990"/>
      <c r="CE19" s="3990"/>
      <c r="CF19" s="3990"/>
      <c r="CG19" s="3990"/>
      <c r="CH19" s="3990"/>
      <c r="CI19" s="3990"/>
      <c r="CJ19" s="3990"/>
      <c r="CK19" s="3990"/>
      <c r="CL19" s="3990"/>
      <c r="CM19" s="3990"/>
      <c r="CN19" s="3990"/>
      <c r="CO19" s="3990"/>
      <c r="CP19" s="3990"/>
      <c r="CQ19" s="3990"/>
      <c r="CR19" s="3990"/>
      <c r="CS19" s="3990"/>
      <c r="CT19" s="3990"/>
      <c r="CU19" s="3990"/>
      <c r="CV19" s="3990"/>
      <c r="CW19" s="3990"/>
      <c r="CX19" s="3990"/>
      <c r="CY19" s="3990"/>
      <c r="CZ19" s="3990"/>
      <c r="DA19" s="3990"/>
      <c r="DB19" s="3990"/>
      <c r="DC19" s="3990"/>
      <c r="DD19" s="3990"/>
      <c r="DE19" s="3990"/>
      <c r="DF19" s="3990"/>
      <c r="DG19" s="3990"/>
      <c r="DH19" s="3990"/>
      <c r="DI19" s="3990"/>
      <c r="DJ19" s="3990"/>
      <c r="DK19" s="3990"/>
      <c r="DL19" s="3990"/>
      <c r="DM19" s="3990"/>
      <c r="DN19" s="3990"/>
      <c r="DO19" s="3990"/>
      <c r="DP19" s="3990"/>
      <c r="DQ19" s="3990"/>
      <c r="DR19" s="3990"/>
      <c r="DS19" s="3990"/>
      <c r="DT19" s="3990"/>
      <c r="DU19" s="3990"/>
      <c r="DV19" s="3990"/>
      <c r="DW19" s="3990"/>
      <c r="DX19" s="3990"/>
      <c r="DY19" s="3990"/>
      <c r="DZ19" s="3990"/>
      <c r="EA19" s="3990"/>
      <c r="EB19" s="3990"/>
      <c r="EC19" s="3990"/>
      <c r="ED19" s="3990"/>
      <c r="EE19" s="3990"/>
      <c r="EF19" s="3990"/>
      <c r="EG19" s="3990"/>
      <c r="EH19" s="3990"/>
      <c r="EI19" s="3990"/>
      <c r="EJ19" s="3990"/>
      <c r="EK19" s="3990"/>
      <c r="EL19" s="3990"/>
      <c r="EM19" s="3990"/>
      <c r="EN19" s="3990"/>
      <c r="EO19" s="3990"/>
      <c r="EP19" s="3990"/>
      <c r="EQ19" s="3990"/>
      <c r="ER19" s="3990"/>
      <c r="ES19" s="3990"/>
      <c r="ET19" s="3990"/>
      <c r="EU19" s="3990"/>
      <c r="EV19" s="3990"/>
      <c r="EW19" s="3990"/>
      <c r="EX19" s="3990"/>
      <c r="EY19" s="3990"/>
      <c r="EZ19" s="3990"/>
      <c r="FA19" s="3990"/>
      <c r="FB19" s="3990"/>
      <c r="FC19" s="3990"/>
      <c r="FD19" s="3990"/>
      <c r="FE19" s="3990"/>
      <c r="FF19" s="3990"/>
      <c r="FG19" s="3990"/>
      <c r="FH19" s="3990"/>
      <c r="FI19" s="3990"/>
      <c r="FJ19" s="3990"/>
      <c r="FK19" s="3990"/>
      <c r="FL19" s="3990"/>
      <c r="FM19" s="3990"/>
      <c r="FN19" s="3990"/>
      <c r="FO19" s="3990"/>
      <c r="FP19" s="3990"/>
      <c r="FQ19" s="3990"/>
      <c r="FR19" s="3990"/>
      <c r="FS19" s="3990"/>
      <c r="FT19" s="3990"/>
      <c r="FU19" s="3990"/>
      <c r="FV19" s="3990"/>
      <c r="FW19" s="3990"/>
      <c r="FX19" s="3990"/>
      <c r="FY19" s="3990"/>
      <c r="FZ19" s="3990"/>
      <c r="GC19" s="517"/>
      <c r="GD19" s="517"/>
      <c r="GE19" s="517"/>
      <c r="GF19" s="517"/>
      <c r="GG19" s="517"/>
    </row>
    <row s="3292" customFormat="1" customHeight="1" ht="12" hidden="1">
      <c r="L20" s="1451"/>
      <c r="M20" s="1392"/>
      <c r="N20" s="1392"/>
      <c r="O20" s="1394" t="s">
        <v>406</v>
      </c>
      <c r="P20" s="1392"/>
      <c r="Q20" s="1472"/>
      <c r="R20" s="1472"/>
      <c r="S20" s="735"/>
      <c r="T20" s="1168" t="s">
        <v>407</v>
      </c>
      <c r="Z20" s="172" t="s">
        <v>408</v>
      </c>
      <c r="AB20" s="172" t="s">
        <v>409</v>
      </c>
      <c r="AC20" s="1168" t="s">
        <v>407</v>
      </c>
      <c r="AG20" s="172" t="s">
        <v>410</v>
      </c>
      <c r="AI20" s="172" t="s">
        <v>409</v>
      </c>
      <c r="AJ20" s="3990"/>
      <c r="AK20" s="3990"/>
      <c r="AL20" s="3990"/>
      <c r="AM20" s="3990"/>
      <c r="AN20" s="3993" t="s">
        <v>408</v>
      </c>
      <c r="AO20" s="3990"/>
      <c r="AP20" s="3993" t="s">
        <v>409</v>
      </c>
      <c r="AQ20" s="3990"/>
      <c r="AR20" s="3990"/>
      <c r="AS20" s="3990"/>
      <c r="AT20" s="3990"/>
      <c r="AU20" s="3993" t="s">
        <v>408</v>
      </c>
      <c r="AV20" s="3990"/>
      <c r="AW20" s="3993" t="s">
        <v>409</v>
      </c>
      <c r="AX20" s="3990"/>
      <c r="AY20" s="3990"/>
      <c r="AZ20" s="3990"/>
      <c r="BA20" s="3990"/>
      <c r="BB20" s="3993" t="s">
        <v>408</v>
      </c>
      <c r="BC20" s="3990"/>
      <c r="BD20" s="3993" t="s">
        <v>409</v>
      </c>
      <c r="BE20" s="3990"/>
      <c r="BF20" s="3990"/>
      <c r="BG20" s="3990"/>
      <c r="BH20" s="3990"/>
      <c r="BI20" s="3993" t="s">
        <v>408</v>
      </c>
      <c r="BJ20" s="3990"/>
      <c r="BK20" s="3993" t="s">
        <v>409</v>
      </c>
      <c r="BL20" s="3990"/>
      <c r="BM20" s="3990"/>
      <c r="BN20" s="3990"/>
      <c r="BO20" s="3990"/>
      <c r="BP20" s="3993" t="s">
        <v>408</v>
      </c>
      <c r="BQ20" s="3990"/>
      <c r="BR20" s="3993" t="s">
        <v>409</v>
      </c>
      <c r="BS20" s="3990"/>
      <c r="BT20" s="3990"/>
      <c r="BU20" s="3990"/>
      <c r="BV20" s="3990"/>
      <c r="BW20" s="3993" t="s">
        <v>408</v>
      </c>
      <c r="BX20" s="3990"/>
      <c r="BY20" s="3993" t="s">
        <v>409</v>
      </c>
      <c r="BZ20" s="3990"/>
      <c r="CA20" s="3990"/>
      <c r="CB20" s="3990"/>
      <c r="CC20" s="3990"/>
      <c r="CD20" s="3993" t="s">
        <v>408</v>
      </c>
      <c r="CE20" s="3990"/>
      <c r="CF20" s="3993" t="s">
        <v>409</v>
      </c>
      <c r="CG20" s="3990"/>
      <c r="CH20" s="3990"/>
      <c r="CI20" s="3990"/>
      <c r="CJ20" s="3990"/>
      <c r="CK20" s="3993" t="s">
        <v>408</v>
      </c>
      <c r="CL20" s="3990"/>
      <c r="CM20" s="3993" t="s">
        <v>409</v>
      </c>
      <c r="CN20" s="3990"/>
      <c r="CO20" s="3990"/>
      <c r="CP20" s="3990"/>
      <c r="CQ20" s="3990"/>
      <c r="CR20" s="3993" t="s">
        <v>408</v>
      </c>
      <c r="CS20" s="3990"/>
      <c r="CT20" s="3993" t="s">
        <v>409</v>
      </c>
      <c r="CU20" s="3990"/>
      <c r="CV20" s="3990"/>
      <c r="CW20" s="3990"/>
      <c r="CX20" s="3990"/>
      <c r="CY20" s="3993" t="s">
        <v>408</v>
      </c>
      <c r="CZ20" s="3990"/>
      <c r="DA20" s="3993" t="s">
        <v>409</v>
      </c>
      <c r="DB20" s="3990"/>
      <c r="DC20" s="3990"/>
      <c r="DD20" s="3990"/>
      <c r="DE20" s="3990"/>
      <c r="DF20" s="3993" t="s">
        <v>408</v>
      </c>
      <c r="DG20" s="3990"/>
      <c r="DH20" s="3993" t="s">
        <v>409</v>
      </c>
      <c r="DI20" s="3990"/>
      <c r="DJ20" s="3990"/>
      <c r="DK20" s="3990"/>
      <c r="DL20" s="3990"/>
      <c r="DM20" s="3993" t="s">
        <v>408</v>
      </c>
      <c r="DN20" s="3990"/>
      <c r="DO20" s="3993" t="s">
        <v>409</v>
      </c>
      <c r="DP20" s="3990"/>
      <c r="DQ20" s="3990"/>
      <c r="DR20" s="3990"/>
      <c r="DS20" s="3990"/>
      <c r="DT20" s="3993" t="s">
        <v>408</v>
      </c>
      <c r="DU20" s="3990"/>
      <c r="DV20" s="3993" t="s">
        <v>409</v>
      </c>
      <c r="DW20" s="3990"/>
      <c r="DX20" s="3990"/>
      <c r="DY20" s="3990"/>
      <c r="DZ20" s="3990"/>
      <c r="EA20" s="3993" t="s">
        <v>408</v>
      </c>
      <c r="EB20" s="3990"/>
      <c r="EC20" s="3993" t="s">
        <v>409</v>
      </c>
      <c r="ED20" s="3990"/>
      <c r="EE20" s="3990"/>
      <c r="EF20" s="3990"/>
      <c r="EG20" s="3990"/>
      <c r="EH20" s="3993" t="s">
        <v>408</v>
      </c>
      <c r="EI20" s="3990"/>
      <c r="EJ20" s="3993" t="s">
        <v>409</v>
      </c>
      <c r="EK20" s="3990"/>
      <c r="EL20" s="3990"/>
      <c r="EM20" s="3990"/>
      <c r="EN20" s="3990"/>
      <c r="EO20" s="3993" t="s">
        <v>408</v>
      </c>
      <c r="EP20" s="3990"/>
      <c r="EQ20" s="3993" t="s">
        <v>409</v>
      </c>
      <c r="ER20" s="3990"/>
      <c r="ES20" s="3990"/>
      <c r="ET20" s="3990"/>
      <c r="EU20" s="3990"/>
      <c r="EV20" s="3993" t="s">
        <v>408</v>
      </c>
      <c r="EW20" s="3990"/>
      <c r="EX20" s="3993" t="s">
        <v>409</v>
      </c>
      <c r="EY20" s="3990"/>
      <c r="EZ20" s="3990"/>
      <c r="FA20" s="3990"/>
      <c r="FB20" s="3990"/>
      <c r="FC20" s="3993" t="s">
        <v>408</v>
      </c>
      <c r="FD20" s="3990"/>
      <c r="FE20" s="3993" t="s">
        <v>409</v>
      </c>
      <c r="FF20" s="3990"/>
      <c r="FG20" s="3990"/>
      <c r="FH20" s="3990"/>
      <c r="FI20" s="3990"/>
      <c r="FJ20" s="3993" t="s">
        <v>408</v>
      </c>
      <c r="FK20" s="3990"/>
      <c r="FL20" s="3993" t="s">
        <v>409</v>
      </c>
      <c r="FM20" s="3990"/>
      <c r="FN20" s="3990"/>
      <c r="FO20" s="3990"/>
      <c r="FP20" s="3990"/>
      <c r="FQ20" s="3993" t="s">
        <v>408</v>
      </c>
      <c r="FR20" s="3990"/>
      <c r="FS20" s="3993" t="s">
        <v>409</v>
      </c>
      <c r="FT20" s="3990"/>
      <c r="FU20" s="3990"/>
      <c r="FV20" s="3990"/>
      <c r="FW20" s="3990"/>
      <c r="FX20" s="3993" t="s">
        <v>408</v>
      </c>
      <c r="FY20" s="3990"/>
      <c r="FZ20" s="3993" t="s">
        <v>409</v>
      </c>
    </row>
    <row customHeight="1" ht="14.25" hidden="1">
      <c r="O21" s="1394"/>
      <c r="AJ21" s="3513"/>
      <c r="AK21" s="3513"/>
      <c r="AL21" s="3513"/>
      <c r="AM21" s="3513"/>
      <c r="AN21" s="3513"/>
      <c r="AO21" s="3513"/>
      <c r="AP21" s="3513"/>
      <c r="AQ21" s="3513"/>
      <c r="AR21" s="3513"/>
      <c r="AS21" s="3513"/>
      <c r="AT21" s="3513"/>
      <c r="AU21" s="3513"/>
      <c r="AV21" s="3513"/>
      <c r="AW21" s="3513"/>
      <c r="AX21" s="3513"/>
      <c r="AY21" s="3513"/>
      <c r="AZ21" s="3513"/>
      <c r="BA21" s="3513"/>
      <c r="BB21" s="3513"/>
      <c r="BC21" s="3513"/>
      <c r="BD21" s="3513"/>
      <c r="BE21" s="3513"/>
      <c r="BF21" s="3513"/>
      <c r="BG21" s="3513"/>
      <c r="BH21" s="3513"/>
      <c r="BI21" s="3513"/>
      <c r="BJ21" s="3513"/>
      <c r="BK21" s="3513"/>
      <c r="BL21" s="3513"/>
      <c r="BM21" s="3513"/>
      <c r="BN21" s="3513"/>
      <c r="BO21" s="3513"/>
      <c r="BP21" s="3513"/>
      <c r="BQ21" s="3513"/>
      <c r="BR21" s="3513"/>
      <c r="BS21" s="3513"/>
      <c r="BT21" s="3513"/>
      <c r="BU21" s="3513"/>
      <c r="BV21" s="3513"/>
      <c r="BW21" s="3513"/>
      <c r="BX21" s="3513"/>
      <c r="BY21" s="3513"/>
      <c r="BZ21" s="3513"/>
      <c r="CA21" s="3513"/>
      <c r="CB21" s="3513"/>
      <c r="CC21" s="3513"/>
      <c r="CD21" s="3513"/>
      <c r="CE21" s="3513"/>
      <c r="CF21" s="3513"/>
      <c r="CG21" s="3513"/>
      <c r="CH21" s="3513"/>
      <c r="CI21" s="3513"/>
      <c r="CJ21" s="3513"/>
      <c r="CK21" s="3513"/>
      <c r="CL21" s="3513"/>
      <c r="CM21" s="3513"/>
      <c r="CN21" s="3513"/>
      <c r="CO21" s="3513"/>
      <c r="CP21" s="3513"/>
      <c r="CQ21" s="3513"/>
      <c r="CR21" s="3513"/>
      <c r="CS21" s="3513"/>
      <c r="CT21" s="3513"/>
      <c r="CU21" s="3513"/>
      <c r="CV21" s="3513"/>
      <c r="CW21" s="3513"/>
      <c r="CX21" s="3513"/>
      <c r="CY21" s="3513"/>
      <c r="CZ21" s="3513"/>
      <c r="DA21" s="3513"/>
      <c r="DB21" s="3513"/>
      <c r="DC21" s="3513"/>
      <c r="DD21" s="3513"/>
      <c r="DE21" s="3513"/>
      <c r="DF21" s="3513"/>
      <c r="DG21" s="3513"/>
      <c r="DH21" s="3513"/>
      <c r="DI21" s="3513"/>
      <c r="DJ21" s="3513"/>
      <c r="DK21" s="3513"/>
      <c r="DL21" s="3513"/>
      <c r="DM21" s="3513"/>
      <c r="DN21" s="3513"/>
      <c r="DO21" s="3513"/>
      <c r="DP21" s="3513"/>
      <c r="DQ21" s="3513"/>
      <c r="DR21" s="3513"/>
      <c r="DS21" s="3513"/>
      <c r="DT21" s="3513"/>
      <c r="DU21" s="3513"/>
      <c r="DV21" s="3513"/>
      <c r="DW21" s="3513"/>
      <c r="DX21" s="3513"/>
      <c r="DY21" s="3513"/>
      <c r="DZ21" s="3513"/>
      <c r="EA21" s="3513"/>
      <c r="EB21" s="3513"/>
      <c r="EC21" s="3513"/>
      <c r="ED21" s="3513"/>
      <c r="EE21" s="3513"/>
      <c r="EF21" s="3513"/>
      <c r="EG21" s="3513"/>
      <c r="EH21" s="3513"/>
      <c r="EI21" s="3513"/>
      <c r="EJ21" s="3513"/>
      <c r="EK21" s="3513"/>
      <c r="EL21" s="3513"/>
      <c r="EM21" s="3513"/>
      <c r="EN21" s="3513"/>
      <c r="EO21" s="3513"/>
      <c r="EP21" s="3513"/>
      <c r="EQ21" s="3513"/>
      <c r="ER21" s="3513"/>
      <c r="ES21" s="3513"/>
      <c r="ET21" s="3513"/>
      <c r="EU21" s="3513"/>
      <c r="EV21" s="3513"/>
      <c r="EW21" s="3513"/>
      <c r="EX21" s="3513"/>
      <c r="EY21" s="3513"/>
      <c r="EZ21" s="3513"/>
      <c r="FA21" s="3513"/>
      <c r="FB21" s="3513"/>
      <c r="FC21" s="3513"/>
      <c r="FD21" s="3513"/>
      <c r="FE21" s="3513"/>
      <c r="FF21" s="3513"/>
      <c r="FG21" s="3513"/>
      <c r="FH21" s="3513"/>
      <c r="FI21" s="3513"/>
      <c r="FJ21" s="3513"/>
      <c r="FK21" s="3513"/>
      <c r="FL21" s="3513"/>
      <c r="FM21" s="3513"/>
      <c r="FN21" s="3513"/>
      <c r="FO21" s="3513"/>
      <c r="FP21" s="3513"/>
      <c r="FQ21" s="3513"/>
      <c r="FR21" s="3513"/>
      <c r="FS21" s="3513"/>
      <c r="FT21" s="3513"/>
      <c r="FU21" s="3513"/>
      <c r="FV21" s="3513"/>
      <c r="FW21" s="3513"/>
      <c r="FX21" s="3513"/>
      <c r="FY21" s="3513"/>
      <c r="FZ21" s="3513"/>
    </row>
    <row customHeight="1" ht="14.25" hidden="1">
      <c r="O22" s="1394"/>
      <c r="AJ22" s="3513"/>
      <c r="AK22" s="3513"/>
      <c r="AL22" s="3513"/>
      <c r="AM22" s="3513"/>
      <c r="AN22" s="3513"/>
      <c r="AO22" s="3513"/>
      <c r="AP22" s="3513"/>
      <c r="AQ22" s="3513"/>
      <c r="AR22" s="3513"/>
      <c r="AS22" s="3513"/>
      <c r="AT22" s="3513"/>
      <c r="AU22" s="3513"/>
      <c r="AV22" s="3513"/>
      <c r="AW22" s="3513"/>
      <c r="AX22" s="3513"/>
      <c r="AY22" s="3513"/>
      <c r="AZ22" s="3513"/>
      <c r="BA22" s="3513"/>
      <c r="BB22" s="3513"/>
      <c r="BC22" s="3513"/>
      <c r="BD22" s="3513"/>
      <c r="BE22" s="3513"/>
      <c r="BF22" s="3513"/>
      <c r="BG22" s="3513"/>
      <c r="BH22" s="3513"/>
      <c r="BI22" s="3513"/>
      <c r="BJ22" s="3513"/>
      <c r="BK22" s="3513"/>
      <c r="BL22" s="3513"/>
      <c r="BM22" s="3513"/>
      <c r="BN22" s="3513"/>
      <c r="BO22" s="3513"/>
      <c r="BP22" s="3513"/>
      <c r="BQ22" s="3513"/>
      <c r="BR22" s="3513"/>
      <c r="BS22" s="3513"/>
      <c r="BT22" s="3513"/>
      <c r="BU22" s="3513"/>
      <c r="BV22" s="3513"/>
      <c r="BW22" s="3513"/>
      <c r="BX22" s="3513"/>
      <c r="BY22" s="3513"/>
      <c r="BZ22" s="3513"/>
      <c r="CA22" s="3513"/>
      <c r="CB22" s="3513"/>
      <c r="CC22" s="3513"/>
      <c r="CD22" s="3513"/>
      <c r="CE22" s="3513"/>
      <c r="CF22" s="3513"/>
      <c r="CG22" s="3513"/>
      <c r="CH22" s="3513"/>
      <c r="CI22" s="3513"/>
      <c r="CJ22" s="3513"/>
      <c r="CK22" s="3513"/>
      <c r="CL22" s="3513"/>
      <c r="CM22" s="3513"/>
      <c r="CN22" s="3513"/>
      <c r="CO22" s="3513"/>
      <c r="CP22" s="3513"/>
      <c r="CQ22" s="3513"/>
      <c r="CR22" s="3513"/>
      <c r="CS22" s="3513"/>
      <c r="CT22" s="3513"/>
      <c r="CU22" s="3513"/>
      <c r="CV22" s="3513"/>
      <c r="CW22" s="3513"/>
      <c r="CX22" s="3513"/>
      <c r="CY22" s="3513"/>
      <c r="CZ22" s="3513"/>
      <c r="DA22" s="3513"/>
      <c r="DB22" s="3513"/>
      <c r="DC22" s="3513"/>
      <c r="DD22" s="3513"/>
      <c r="DE22" s="3513"/>
      <c r="DF22" s="3513"/>
      <c r="DG22" s="3513"/>
      <c r="DH22" s="3513"/>
      <c r="DI22" s="3513"/>
      <c r="DJ22" s="3513"/>
      <c r="DK22" s="3513"/>
      <c r="DL22" s="3513"/>
      <c r="DM22" s="3513"/>
      <c r="DN22" s="3513"/>
      <c r="DO22" s="3513"/>
      <c r="DP22" s="3513"/>
      <c r="DQ22" s="3513"/>
      <c r="DR22" s="3513"/>
      <c r="DS22" s="3513"/>
      <c r="DT22" s="3513"/>
      <c r="DU22" s="3513"/>
      <c r="DV22" s="3513"/>
      <c r="DW22" s="3513"/>
      <c r="DX22" s="3513"/>
      <c r="DY22" s="3513"/>
      <c r="DZ22" s="3513"/>
      <c r="EA22" s="3513"/>
      <c r="EB22" s="3513"/>
      <c r="EC22" s="3513"/>
      <c r="ED22" s="3513"/>
      <c r="EE22" s="3513"/>
      <c r="EF22" s="3513"/>
      <c r="EG22" s="3513"/>
      <c r="EH22" s="3513"/>
      <c r="EI22" s="3513"/>
      <c r="EJ22" s="3513"/>
      <c r="EK22" s="3513"/>
      <c r="EL22" s="3513"/>
      <c r="EM22" s="3513"/>
      <c r="EN22" s="3513"/>
      <c r="EO22" s="3513"/>
      <c r="EP22" s="3513"/>
      <c r="EQ22" s="3513"/>
      <c r="ER22" s="3513"/>
      <c r="ES22" s="3513"/>
      <c r="ET22" s="3513"/>
      <c r="EU22" s="3513"/>
      <c r="EV22" s="3513"/>
      <c r="EW22" s="3513"/>
      <c r="EX22" s="3513"/>
      <c r="EY22" s="3513"/>
      <c r="EZ22" s="3513"/>
      <c r="FA22" s="3513"/>
      <c r="FB22" s="3513"/>
      <c r="FC22" s="3513"/>
      <c r="FD22" s="3513"/>
      <c r="FE22" s="3513"/>
      <c r="FF22" s="3513"/>
      <c r="FG22" s="3513"/>
      <c r="FH22" s="3513"/>
      <c r="FI22" s="3513"/>
      <c r="FJ22" s="3513"/>
      <c r="FK22" s="3513"/>
      <c r="FL22" s="3513"/>
      <c r="FM22" s="3513"/>
      <c r="FN22" s="3513"/>
      <c r="FO22" s="3513"/>
      <c r="FP22" s="3513"/>
      <c r="FQ22" s="3513"/>
      <c r="FR22" s="3513"/>
      <c r="FS22" s="3513"/>
      <c r="FT22" s="3513"/>
      <c r="FU22" s="3513"/>
      <c r="FV22" s="3513"/>
      <c r="FW22" s="3513"/>
      <c r="FX22" s="3513"/>
      <c r="FY22" s="3513"/>
      <c r="FZ22" s="3513"/>
    </row>
    <row customHeight="1" ht="14.25">
      <c r="Q23" s="377"/>
      <c r="R23" s="377"/>
      <c r="S23" s="1305"/>
      <c r="T23" s="361"/>
      <c r="U23" s="361"/>
      <c r="V23" s="515"/>
      <c r="W23" s="515"/>
      <c r="X23" s="515"/>
      <c r="Y23" s="515"/>
      <c r="Z23" s="515"/>
      <c r="AA23" s="515"/>
      <c r="AB23" s="515"/>
      <c r="AC23" s="515"/>
      <c r="AD23" s="515"/>
      <c r="AE23" s="515"/>
      <c r="AF23" s="515"/>
      <c r="AG23" s="515"/>
      <c r="AH23" s="515"/>
      <c r="AI23" s="515"/>
      <c r="AJ23" s="3513"/>
      <c r="AK23" s="3513"/>
      <c r="AL23" s="3513"/>
      <c r="AM23" s="3513"/>
      <c r="AN23" s="3513"/>
      <c r="AO23" s="3513"/>
      <c r="AP23" s="3513"/>
      <c r="AQ23" s="3513"/>
      <c r="AR23" s="3513"/>
      <c r="AS23" s="3513"/>
      <c r="AT23" s="3513"/>
      <c r="AU23" s="3513"/>
      <c r="AV23" s="3513"/>
      <c r="AW23" s="3513"/>
      <c r="AX23" s="3513"/>
      <c r="AY23" s="3513"/>
      <c r="AZ23" s="3513"/>
      <c r="BA23" s="3513"/>
      <c r="BB23" s="3513"/>
      <c r="BC23" s="3513"/>
      <c r="BD23" s="3513"/>
      <c r="BE23" s="3513"/>
      <c r="BF23" s="3513"/>
      <c r="BG23" s="3513"/>
      <c r="BH23" s="3513"/>
      <c r="BI23" s="3513"/>
      <c r="BJ23" s="3513"/>
      <c r="BK23" s="3513"/>
      <c r="BL23" s="3513"/>
      <c r="BM23" s="3513"/>
      <c r="BN23" s="3513"/>
      <c r="BO23" s="3513"/>
      <c r="BP23" s="3513"/>
      <c r="BQ23" s="3513"/>
      <c r="BR23" s="3513"/>
      <c r="BS23" s="3513"/>
      <c r="BT23" s="3513"/>
      <c r="BU23" s="3513"/>
      <c r="BV23" s="3513"/>
      <c r="BW23" s="3513"/>
      <c r="BX23" s="3513"/>
      <c r="BY23" s="3513"/>
      <c r="BZ23" s="3513"/>
      <c r="CA23" s="3513"/>
      <c r="CB23" s="3513"/>
      <c r="CC23" s="3513"/>
      <c r="CD23" s="3513"/>
      <c r="CE23" s="3513"/>
      <c r="CF23" s="3513"/>
      <c r="CG23" s="3513"/>
      <c r="CH23" s="3513"/>
      <c r="CI23" s="3513"/>
      <c r="CJ23" s="3513"/>
      <c r="CK23" s="3513"/>
      <c r="CL23" s="3513"/>
      <c r="CM23" s="3513"/>
      <c r="CN23" s="3513"/>
      <c r="CO23" s="3513"/>
      <c r="CP23" s="3513"/>
      <c r="CQ23" s="3513"/>
      <c r="CR23" s="3513"/>
      <c r="CS23" s="3513"/>
      <c r="CT23" s="3513"/>
      <c r="CU23" s="3513"/>
      <c r="CV23" s="3513"/>
      <c r="CW23" s="3513"/>
      <c r="CX23" s="3513"/>
      <c r="CY23" s="3513"/>
      <c r="CZ23" s="3513"/>
      <c r="DA23" s="3513"/>
      <c r="DB23" s="3513"/>
      <c r="DC23" s="3513"/>
      <c r="DD23" s="3513"/>
      <c r="DE23" s="3513"/>
      <c r="DF23" s="3513"/>
      <c r="DG23" s="3513"/>
      <c r="DH23" s="3513"/>
      <c r="DI23" s="3513"/>
      <c r="DJ23" s="3513"/>
      <c r="DK23" s="3513"/>
      <c r="DL23" s="3513"/>
      <c r="DM23" s="3513"/>
      <c r="DN23" s="3513"/>
      <c r="DO23" s="3513"/>
      <c r="DP23" s="3513"/>
      <c r="DQ23" s="3513"/>
      <c r="DR23" s="3513"/>
      <c r="DS23" s="3513"/>
      <c r="DT23" s="3513"/>
      <c r="DU23" s="3513"/>
      <c r="DV23" s="3513"/>
      <c r="DW23" s="3513"/>
      <c r="DX23" s="3513"/>
      <c r="DY23" s="3513"/>
      <c r="DZ23" s="3513"/>
      <c r="EA23" s="3513"/>
      <c r="EB23" s="3513"/>
      <c r="EC23" s="3513"/>
      <c r="ED23" s="3513"/>
      <c r="EE23" s="3513"/>
      <c r="EF23" s="3513"/>
      <c r="EG23" s="3513"/>
      <c r="EH23" s="3513"/>
      <c r="EI23" s="3513"/>
      <c r="EJ23" s="3513"/>
      <c r="EK23" s="3513"/>
      <c r="EL23" s="3513"/>
      <c r="EM23" s="3513"/>
      <c r="EN23" s="3513"/>
      <c r="EO23" s="3513"/>
      <c r="EP23" s="3513"/>
      <c r="EQ23" s="3513"/>
      <c r="ER23" s="3513"/>
      <c r="ES23" s="3513"/>
      <c r="ET23" s="3513"/>
      <c r="EU23" s="3513"/>
      <c r="EV23" s="3513"/>
      <c r="EW23" s="3513"/>
      <c r="EX23" s="3513"/>
      <c r="EY23" s="3513"/>
      <c r="EZ23" s="3513"/>
      <c r="FA23" s="3513"/>
      <c r="FB23" s="3513"/>
      <c r="FC23" s="3513"/>
      <c r="FD23" s="3513"/>
      <c r="FE23" s="3513"/>
      <c r="FF23" s="3513"/>
      <c r="FG23" s="3513"/>
      <c r="FH23" s="3513"/>
      <c r="FI23" s="3513"/>
      <c r="FJ23" s="3513"/>
      <c r="FK23" s="3513"/>
      <c r="FL23" s="3513"/>
      <c r="FM23" s="3513"/>
      <c r="FN23" s="3513"/>
      <c r="FO23" s="3513"/>
      <c r="FP23" s="3513"/>
      <c r="FQ23" s="3513"/>
      <c r="FR23" s="3513"/>
      <c r="FS23" s="3513"/>
      <c r="FT23" s="3513"/>
      <c r="FU23" s="3513"/>
      <c r="FV23" s="3513"/>
      <c r="FW23" s="3513"/>
      <c r="FX23" s="3513"/>
      <c r="FY23" s="3513"/>
      <c r="FZ23" s="3513"/>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c r="AJ24" s="3994"/>
      <c r="AK24" s="3994"/>
      <c r="AL24" s="3994"/>
      <c r="AM24" s="3994"/>
      <c r="AN24" s="3994"/>
      <c r="AO24" s="3994"/>
      <c r="AP24" s="3994"/>
      <c r="AQ24" s="3994"/>
      <c r="AR24" s="3994"/>
      <c r="AS24" s="3994"/>
      <c r="AT24" s="3994"/>
      <c r="AU24" s="3994"/>
      <c r="AV24" s="3994"/>
      <c r="AW24" s="3994"/>
      <c r="AX24" s="3994"/>
      <c r="AY24" s="3994"/>
      <c r="AZ24" s="3994"/>
      <c r="BA24" s="3994"/>
      <c r="BB24" s="3994"/>
      <c r="BC24" s="3994"/>
      <c r="BD24" s="3994"/>
      <c r="BE24" s="3994"/>
      <c r="BF24" s="3994"/>
      <c r="BG24" s="3994"/>
      <c r="BH24" s="3994"/>
      <c r="BI24" s="3994"/>
      <c r="BJ24" s="3994"/>
      <c r="BK24" s="3994"/>
      <c r="BL24" s="3994"/>
      <c r="BM24" s="3994"/>
      <c r="BN24" s="3994"/>
      <c r="BO24" s="3994"/>
      <c r="BP24" s="3994"/>
      <c r="BQ24" s="3994"/>
      <c r="BR24" s="3994"/>
      <c r="BS24" s="3994"/>
      <c r="BT24" s="3994"/>
      <c r="BU24" s="3994"/>
      <c r="BV24" s="3994"/>
      <c r="BW24" s="3994"/>
      <c r="BX24" s="3994"/>
      <c r="BY24" s="3994"/>
      <c r="BZ24" s="3994"/>
      <c r="CA24" s="3994"/>
      <c r="CB24" s="3994"/>
      <c r="CC24" s="3994"/>
      <c r="CD24" s="3994"/>
      <c r="CE24" s="3994"/>
      <c r="CF24" s="3994"/>
      <c r="CG24" s="3994"/>
      <c r="CH24" s="3994"/>
      <c r="CI24" s="3994"/>
      <c r="CJ24" s="3994"/>
      <c r="CK24" s="3994"/>
      <c r="CL24" s="3994"/>
      <c r="CM24" s="3994"/>
      <c r="CN24" s="3994"/>
      <c r="CO24" s="3994"/>
      <c r="CP24" s="3994"/>
      <c r="CQ24" s="3994"/>
      <c r="CR24" s="3994"/>
      <c r="CS24" s="3994"/>
      <c r="CT24" s="3994"/>
      <c r="CU24" s="3994"/>
      <c r="CV24" s="3994"/>
      <c r="CW24" s="3994"/>
      <c r="CX24" s="3994"/>
      <c r="CY24" s="3994"/>
      <c r="CZ24" s="3994"/>
      <c r="DA24" s="3994"/>
      <c r="DB24" s="3994"/>
      <c r="DC24" s="3994"/>
      <c r="DD24" s="3994"/>
      <c r="DE24" s="3994"/>
      <c r="DF24" s="3994"/>
      <c r="DG24" s="3994"/>
      <c r="DH24" s="3994"/>
      <c r="DI24" s="3994"/>
      <c r="DJ24" s="3994"/>
      <c r="DK24" s="3994"/>
      <c r="DL24" s="3994"/>
      <c r="DM24" s="3994"/>
      <c r="DN24" s="3994"/>
      <c r="DO24" s="3994"/>
      <c r="DP24" s="3994"/>
      <c r="DQ24" s="3994"/>
      <c r="DR24" s="3994"/>
      <c r="DS24" s="3994"/>
      <c r="DT24" s="3994"/>
      <c r="DU24" s="3994"/>
      <c r="DV24" s="3994"/>
      <c r="DW24" s="3994"/>
      <c r="DX24" s="3994"/>
      <c r="DY24" s="3994"/>
      <c r="DZ24" s="3994"/>
      <c r="EA24" s="3994"/>
      <c r="EB24" s="3994"/>
      <c r="EC24" s="3994"/>
      <c r="ED24" s="3994"/>
      <c r="EE24" s="3994"/>
      <c r="EF24" s="3994"/>
      <c r="EG24" s="3994"/>
      <c r="EH24" s="3994"/>
      <c r="EI24" s="3994"/>
      <c r="EJ24" s="3994"/>
      <c r="EK24" s="3994"/>
      <c r="EL24" s="3994"/>
      <c r="EM24" s="3994"/>
      <c r="EN24" s="3994"/>
      <c r="EO24" s="3994"/>
      <c r="EP24" s="3994"/>
      <c r="EQ24" s="3994"/>
      <c r="ER24" s="3994"/>
      <c r="ES24" s="3994"/>
      <c r="ET24" s="3994"/>
      <c r="EU24" s="3994"/>
      <c r="EV24" s="3994"/>
      <c r="EW24" s="3994"/>
      <c r="EX24" s="3994"/>
      <c r="EY24" s="3994"/>
      <c r="EZ24" s="3994"/>
      <c r="FA24" s="3994"/>
      <c r="FB24" s="3994"/>
      <c r="FC24" s="3994"/>
      <c r="FD24" s="3994"/>
      <c r="FE24" s="3994"/>
      <c r="FF24" s="3994"/>
      <c r="FG24" s="3994"/>
      <c r="FH24" s="3994"/>
      <c r="FI24" s="3994"/>
      <c r="FJ24" s="3994"/>
      <c r="FK24" s="3994"/>
      <c r="FL24" s="3994"/>
      <c r="FM24" s="3994"/>
      <c r="FN24" s="3994"/>
      <c r="FO24" s="3994"/>
      <c r="FP24" s="3994"/>
      <c r="FQ24" s="3994"/>
      <c r="FR24" s="3994"/>
      <c r="FS24" s="3994"/>
      <c r="FT24" s="3994"/>
      <c r="FU24" s="3994"/>
      <c r="FV24" s="3994"/>
      <c r="FW24" s="3994"/>
      <c r="FX24" s="3994"/>
      <c r="FY24" s="3994"/>
      <c r="FZ24" s="3994"/>
    </row>
    <row customHeight="1" ht="14.25">
      <c r="Q25" s="377"/>
      <c r="R25" s="377"/>
      <c r="S25" s="2141" t="str">
        <f>IF(org=0,"Не определено",org)</f>
        <v>АО "РИР" (филиал в г. Глазове)</v>
      </c>
      <c r="T25" s="2141"/>
      <c r="U25" s="2141"/>
      <c r="V25" s="2141"/>
      <c r="W25" s="2141"/>
      <c r="X25" s="2141"/>
      <c r="Y25" s="2141"/>
      <c r="Z25" s="2141"/>
      <c r="AA25" s="2141"/>
      <c r="AB25" s="2141"/>
      <c r="AC25" s="2141"/>
      <c r="AD25" s="2141"/>
      <c r="AE25" s="2141"/>
      <c r="AF25" s="2141"/>
      <c r="AG25" s="2141"/>
      <c r="AH25" s="2141"/>
      <c r="AI25" s="1261"/>
      <c r="AJ25" s="3995"/>
      <c r="AK25" s="3995"/>
      <c r="AL25" s="3995"/>
      <c r="AM25" s="3995"/>
      <c r="AN25" s="3995"/>
      <c r="AO25" s="3995"/>
      <c r="AP25" s="3995"/>
      <c r="AQ25" s="3995"/>
      <c r="AR25" s="3995"/>
      <c r="AS25" s="3995"/>
      <c r="AT25" s="3995"/>
      <c r="AU25" s="3995"/>
      <c r="AV25" s="3995"/>
      <c r="AW25" s="3995"/>
      <c r="AX25" s="3995"/>
      <c r="AY25" s="3995"/>
      <c r="AZ25" s="3995"/>
      <c r="BA25" s="3995"/>
      <c r="BB25" s="3995"/>
      <c r="BC25" s="3995"/>
      <c r="BD25" s="3995"/>
      <c r="BE25" s="3995"/>
      <c r="BF25" s="3995"/>
      <c r="BG25" s="3995"/>
      <c r="BH25" s="3995"/>
      <c r="BI25" s="3995"/>
      <c r="BJ25" s="3995"/>
      <c r="BK25" s="3995"/>
      <c r="BL25" s="3995"/>
      <c r="BM25" s="3995"/>
      <c r="BN25" s="3995"/>
      <c r="BO25" s="3995"/>
      <c r="BP25" s="3995"/>
      <c r="BQ25" s="3995"/>
      <c r="BR25" s="3995"/>
      <c r="BS25" s="3995"/>
      <c r="BT25" s="3995"/>
      <c r="BU25" s="3995"/>
      <c r="BV25" s="3995"/>
      <c r="BW25" s="3995"/>
      <c r="BX25" s="3995"/>
      <c r="BY25" s="3995"/>
      <c r="BZ25" s="3995"/>
      <c r="CA25" s="3995"/>
      <c r="CB25" s="3995"/>
      <c r="CC25" s="3995"/>
      <c r="CD25" s="3995"/>
      <c r="CE25" s="3995"/>
      <c r="CF25" s="3995"/>
      <c r="CG25" s="3995"/>
      <c r="CH25" s="3995"/>
      <c r="CI25" s="3995"/>
      <c r="CJ25" s="3995"/>
      <c r="CK25" s="3995"/>
      <c r="CL25" s="3995"/>
      <c r="CM25" s="3995"/>
      <c r="CN25" s="3995"/>
      <c r="CO25" s="3995"/>
      <c r="CP25" s="3995"/>
      <c r="CQ25" s="3995"/>
      <c r="CR25" s="3995"/>
      <c r="CS25" s="3995"/>
      <c r="CT25" s="3995"/>
      <c r="CU25" s="3995"/>
      <c r="CV25" s="3995"/>
      <c r="CW25" s="3995"/>
      <c r="CX25" s="3995"/>
      <c r="CY25" s="3995"/>
      <c r="CZ25" s="3995"/>
      <c r="DA25" s="3995"/>
      <c r="DB25" s="3995"/>
      <c r="DC25" s="3995"/>
      <c r="DD25" s="3995"/>
      <c r="DE25" s="3995"/>
      <c r="DF25" s="3995"/>
      <c r="DG25" s="3995"/>
      <c r="DH25" s="3995"/>
      <c r="DI25" s="3995"/>
      <c r="DJ25" s="3995"/>
      <c r="DK25" s="3995"/>
      <c r="DL25" s="3995"/>
      <c r="DM25" s="3995"/>
      <c r="DN25" s="3995"/>
      <c r="DO25" s="3995"/>
      <c r="DP25" s="3995"/>
      <c r="DQ25" s="3995"/>
      <c r="DR25" s="3995"/>
      <c r="DS25" s="3995"/>
      <c r="DT25" s="3995"/>
      <c r="DU25" s="3995"/>
      <c r="DV25" s="3995"/>
      <c r="DW25" s="3995"/>
      <c r="DX25" s="3995"/>
      <c r="DY25" s="3995"/>
      <c r="DZ25" s="3995"/>
      <c r="EA25" s="3995"/>
      <c r="EB25" s="3995"/>
      <c r="EC25" s="3995"/>
      <c r="ED25" s="3995"/>
      <c r="EE25" s="3995"/>
      <c r="EF25" s="3995"/>
      <c r="EG25" s="3995"/>
      <c r="EH25" s="3995"/>
      <c r="EI25" s="3995"/>
      <c r="EJ25" s="3995"/>
      <c r="EK25" s="3995"/>
      <c r="EL25" s="3995"/>
      <c r="EM25" s="3995"/>
      <c r="EN25" s="3995"/>
      <c r="EO25" s="3995"/>
      <c r="EP25" s="3995"/>
      <c r="EQ25" s="3995"/>
      <c r="ER25" s="3995"/>
      <c r="ES25" s="3995"/>
      <c r="ET25" s="3995"/>
      <c r="EU25" s="3995"/>
      <c r="EV25" s="3995"/>
      <c r="EW25" s="3995"/>
      <c r="EX25" s="3995"/>
      <c r="EY25" s="3995"/>
      <c r="EZ25" s="3995"/>
      <c r="FA25" s="3995"/>
      <c r="FB25" s="3995"/>
      <c r="FC25" s="3995"/>
      <c r="FD25" s="3995"/>
      <c r="FE25" s="3995"/>
      <c r="FF25" s="3995"/>
      <c r="FG25" s="3995"/>
      <c r="FH25" s="3995"/>
      <c r="FI25" s="3995"/>
      <c r="FJ25" s="3995"/>
      <c r="FK25" s="3995"/>
      <c r="FL25" s="3995"/>
      <c r="FM25" s="3995"/>
      <c r="FN25" s="3995"/>
      <c r="FO25" s="3995"/>
      <c r="FP25" s="3995"/>
      <c r="FQ25" s="3995"/>
      <c r="FR25" s="3995"/>
      <c r="FS25" s="3995"/>
      <c r="FT25" s="3995"/>
      <c r="FU25" s="3995"/>
      <c r="FV25" s="3995"/>
      <c r="FW25" s="3995"/>
      <c r="FX25" s="3995"/>
      <c r="FY25" s="3995"/>
      <c r="FZ25" s="3995"/>
    </row>
    <row customHeight="1" ht="14.25">
      <c r="Q26" s="377"/>
      <c r="R26" s="377"/>
      <c r="S26" s="1305"/>
      <c r="T26" s="361"/>
      <c r="U26" s="361"/>
      <c r="V26" s="316"/>
      <c r="W26" s="316"/>
      <c r="X26" s="316"/>
      <c r="Y26" s="316"/>
      <c r="Z26" s="316"/>
      <c r="AA26" s="316"/>
      <c r="AB26" s="316"/>
      <c r="AC26" s="316"/>
      <c r="AD26" s="316"/>
      <c r="AE26" s="316"/>
      <c r="AF26" s="316"/>
      <c r="AG26" s="316"/>
      <c r="AH26" s="316"/>
      <c r="AI26" s="316"/>
      <c r="AJ26" s="3996"/>
      <c r="AK26" s="3996"/>
      <c r="AL26" s="3996"/>
      <c r="AM26" s="3996"/>
      <c r="AN26" s="3996"/>
      <c r="AO26" s="3996"/>
      <c r="AP26" s="3996"/>
      <c r="AQ26" s="3996"/>
      <c r="AR26" s="3996"/>
      <c r="AS26" s="3996"/>
      <c r="AT26" s="3996"/>
      <c r="AU26" s="3996"/>
      <c r="AV26" s="3996"/>
      <c r="AW26" s="3996"/>
      <c r="AX26" s="3996"/>
      <c r="AY26" s="3996"/>
      <c r="AZ26" s="3996"/>
      <c r="BA26" s="3996"/>
      <c r="BB26" s="3996"/>
      <c r="BC26" s="3996"/>
      <c r="BD26" s="3996"/>
      <c r="BE26" s="3996"/>
      <c r="BF26" s="3996"/>
      <c r="BG26" s="3996"/>
      <c r="BH26" s="3996"/>
      <c r="BI26" s="3996"/>
      <c r="BJ26" s="3996"/>
      <c r="BK26" s="3996"/>
      <c r="BL26" s="3996"/>
      <c r="BM26" s="3996"/>
      <c r="BN26" s="3996"/>
      <c r="BO26" s="3996"/>
      <c r="BP26" s="3996"/>
      <c r="BQ26" s="3996"/>
      <c r="BR26" s="3996"/>
      <c r="BS26" s="3996"/>
      <c r="BT26" s="3996"/>
      <c r="BU26" s="3996"/>
      <c r="BV26" s="3996"/>
      <c r="BW26" s="3996"/>
      <c r="BX26" s="3996"/>
      <c r="BY26" s="3996"/>
      <c r="BZ26" s="3996"/>
      <c r="CA26" s="3996"/>
      <c r="CB26" s="3996"/>
      <c r="CC26" s="3996"/>
      <c r="CD26" s="3996"/>
      <c r="CE26" s="3996"/>
      <c r="CF26" s="3996"/>
      <c r="CG26" s="3996"/>
      <c r="CH26" s="3996"/>
      <c r="CI26" s="3996"/>
      <c r="CJ26" s="3996"/>
      <c r="CK26" s="3996"/>
      <c r="CL26" s="3996"/>
      <c r="CM26" s="3996"/>
      <c r="CN26" s="3996"/>
      <c r="CO26" s="3996"/>
      <c r="CP26" s="3996"/>
      <c r="CQ26" s="3996"/>
      <c r="CR26" s="3996"/>
      <c r="CS26" s="3996"/>
      <c r="CT26" s="3996"/>
      <c r="CU26" s="3996"/>
      <c r="CV26" s="3996"/>
      <c r="CW26" s="3996"/>
      <c r="CX26" s="3996"/>
      <c r="CY26" s="3996"/>
      <c r="CZ26" s="3996"/>
      <c r="DA26" s="3996"/>
      <c r="DB26" s="3996"/>
      <c r="DC26" s="3996"/>
      <c r="DD26" s="3996"/>
      <c r="DE26" s="3996"/>
      <c r="DF26" s="3996"/>
      <c r="DG26" s="3996"/>
      <c r="DH26" s="3996"/>
      <c r="DI26" s="3996"/>
      <c r="DJ26" s="3996"/>
      <c r="DK26" s="3996"/>
      <c r="DL26" s="3996"/>
      <c r="DM26" s="3996"/>
      <c r="DN26" s="3996"/>
      <c r="DO26" s="3996"/>
      <c r="DP26" s="3996"/>
      <c r="DQ26" s="3996"/>
      <c r="DR26" s="3996"/>
      <c r="DS26" s="3996"/>
      <c r="DT26" s="3996"/>
      <c r="DU26" s="3996"/>
      <c r="DV26" s="3996"/>
      <c r="DW26" s="3996"/>
      <c r="DX26" s="3996"/>
      <c r="DY26" s="3996"/>
      <c r="DZ26" s="3996"/>
      <c r="EA26" s="3996"/>
      <c r="EB26" s="3996"/>
      <c r="EC26" s="3996"/>
      <c r="ED26" s="3996"/>
      <c r="EE26" s="3996"/>
      <c r="EF26" s="3996"/>
      <c r="EG26" s="3996"/>
      <c r="EH26" s="3996"/>
      <c r="EI26" s="3996"/>
      <c r="EJ26" s="3996"/>
      <c r="EK26" s="3996"/>
      <c r="EL26" s="3996"/>
      <c r="EM26" s="3996"/>
      <c r="EN26" s="3996"/>
      <c r="EO26" s="3996"/>
      <c r="EP26" s="3996"/>
      <c r="EQ26" s="3996"/>
      <c r="ER26" s="3996"/>
      <c r="ES26" s="3996"/>
      <c r="ET26" s="3996"/>
      <c r="EU26" s="3996"/>
      <c r="EV26" s="3996"/>
      <c r="EW26" s="3996"/>
      <c r="EX26" s="3996"/>
      <c r="EY26" s="3996"/>
      <c r="EZ26" s="3996"/>
      <c r="FA26" s="3996"/>
      <c r="FB26" s="3996"/>
      <c r="FC26" s="3996"/>
      <c r="FD26" s="3996"/>
      <c r="FE26" s="3996"/>
      <c r="FF26" s="3996"/>
      <c r="FG26" s="3996"/>
      <c r="FH26" s="3996"/>
      <c r="FI26" s="3996"/>
      <c r="FJ26" s="3996"/>
      <c r="FK26" s="3996"/>
      <c r="FL26" s="3996"/>
      <c r="FM26" s="3996"/>
      <c r="FN26" s="3996"/>
      <c r="FO26" s="3996"/>
      <c r="FP26" s="3996"/>
      <c r="FQ26" s="3996"/>
      <c r="FR26" s="3996"/>
      <c r="FS26" s="3996"/>
      <c r="FT26" s="3996"/>
      <c r="FU26" s="3996"/>
      <c r="FV26" s="3996"/>
      <c r="FW26" s="3996"/>
      <c r="FX26" s="3996"/>
      <c r="FY26" s="3996"/>
      <c r="FZ26" s="3996"/>
      <c r="GA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строительства, жилищно-коммунального хозяйства и энергетики УР</v>
      </c>
      <c r="W27" s="2100"/>
      <c r="X27" s="2100"/>
      <c r="Y27" s="2100"/>
      <c r="Z27" s="2100"/>
      <c r="AA27" s="2100"/>
      <c r="AB27" s="322"/>
      <c r="AC27" s="2100" t="str">
        <f>IF(TITLE_NAME_OR_PR_CHANGE="",IF(TITLE_NAME_OR_PR="","",TITLE_NAME_OR_PR),TITLE_NAME_OR_PR_CHANGE)</f>
        <v>Министерство строительства, жилищно-коммунального хозяйства и энергетики УР</v>
      </c>
      <c r="AD27" s="2100"/>
      <c r="AE27" s="2100"/>
      <c r="AF27" s="2100"/>
      <c r="AG27" s="2100"/>
      <c r="AH27" s="2100"/>
      <c r="AI27" s="322"/>
      <c r="AJ27" s="3997" t="str">
        <f>IF(TITLE_NAME_OR_PR_CHANGE="",IF(TITLE_NAME_OR_PR="","",TITLE_NAME_OR_PR),TITLE_NAME_OR_PR_CHANGE)</f>
        <v>Министерство строительства, жилищно-коммунального хозяйства и энергетики УР</v>
      </c>
      <c r="AK27" s="3997"/>
      <c r="AL27" s="3997"/>
      <c r="AM27" s="3997"/>
      <c r="AN27" s="3997"/>
      <c r="AO27" s="3997"/>
      <c r="AP27" s="3513"/>
      <c r="AQ27" s="3997" t="str">
        <f>IF(TITLE_NAME_OR_PR_CHANGE="",IF(TITLE_NAME_OR_PR="","",TITLE_NAME_OR_PR),TITLE_NAME_OR_PR_CHANGE)</f>
        <v>Министерство строительства, жилищно-коммунального хозяйства и энергетики УР</v>
      </c>
      <c r="AR27" s="3997"/>
      <c r="AS27" s="3997"/>
      <c r="AT27" s="3997"/>
      <c r="AU27" s="3997"/>
      <c r="AV27" s="3997"/>
      <c r="AW27" s="3513"/>
      <c r="AX27" s="3997" t="str">
        <f>IF(TITLE_NAME_OR_PR_CHANGE="",IF(TITLE_NAME_OR_PR="","",TITLE_NAME_OR_PR),TITLE_NAME_OR_PR_CHANGE)</f>
        <v>Министерство строительства, жилищно-коммунального хозяйства и энергетики УР</v>
      </c>
      <c r="AY27" s="3997"/>
      <c r="AZ27" s="3997"/>
      <c r="BA27" s="3997"/>
      <c r="BB27" s="3997"/>
      <c r="BC27" s="3997"/>
      <c r="BD27" s="3513"/>
      <c r="BE27" s="3997" t="str">
        <f>IF(TITLE_NAME_OR_PR_CHANGE="",IF(TITLE_NAME_OR_PR="","",TITLE_NAME_OR_PR),TITLE_NAME_OR_PR_CHANGE)</f>
        <v>Министерство строительства, жилищно-коммунального хозяйства и энергетики УР</v>
      </c>
      <c r="BF27" s="3997"/>
      <c r="BG27" s="3997"/>
      <c r="BH27" s="3997"/>
      <c r="BI27" s="3997"/>
      <c r="BJ27" s="3997"/>
      <c r="BK27" s="3513"/>
      <c r="BL27" s="3997" t="str">
        <f>IF(TITLE_NAME_OR_PR_CHANGE="",IF(TITLE_NAME_OR_PR="","",TITLE_NAME_OR_PR),TITLE_NAME_OR_PR_CHANGE)</f>
        <v>Министерство строительства, жилищно-коммунального хозяйства и энергетики УР</v>
      </c>
      <c r="BM27" s="3997"/>
      <c r="BN27" s="3997"/>
      <c r="BO27" s="3997"/>
      <c r="BP27" s="3997"/>
      <c r="BQ27" s="3997"/>
      <c r="BR27" s="3513"/>
      <c r="BS27" s="3997" t="str">
        <f>IF(TITLE_NAME_OR_PR_CHANGE="",IF(TITLE_NAME_OR_PR="","",TITLE_NAME_OR_PR),TITLE_NAME_OR_PR_CHANGE)</f>
        <v>Министерство строительства, жилищно-коммунального хозяйства и энергетики УР</v>
      </c>
      <c r="BT27" s="3997"/>
      <c r="BU27" s="3997"/>
      <c r="BV27" s="3997"/>
      <c r="BW27" s="3997"/>
      <c r="BX27" s="3997"/>
      <c r="BY27" s="3513"/>
      <c r="BZ27" s="3997" t="str">
        <f>IF(TITLE_NAME_OR_PR_CHANGE="",IF(TITLE_NAME_OR_PR="","",TITLE_NAME_OR_PR),TITLE_NAME_OR_PR_CHANGE)</f>
        <v>Министерство строительства, жилищно-коммунального хозяйства и энергетики УР</v>
      </c>
      <c r="CA27" s="3997"/>
      <c r="CB27" s="3997"/>
      <c r="CC27" s="3997"/>
      <c r="CD27" s="3997"/>
      <c r="CE27" s="3997"/>
      <c r="CF27" s="3513"/>
      <c r="CG27" s="3997" t="str">
        <f>IF(TITLE_NAME_OR_PR_CHANGE="",IF(TITLE_NAME_OR_PR="","",TITLE_NAME_OR_PR),TITLE_NAME_OR_PR_CHANGE)</f>
        <v>Министерство строительства, жилищно-коммунального хозяйства и энергетики УР</v>
      </c>
      <c r="CH27" s="3997"/>
      <c r="CI27" s="3997"/>
      <c r="CJ27" s="3997"/>
      <c r="CK27" s="3997"/>
      <c r="CL27" s="3997"/>
      <c r="CM27" s="3513"/>
      <c r="CN27" s="3997" t="str">
        <f>IF(TITLE_NAME_OR_PR_CHANGE="",IF(TITLE_NAME_OR_PR="","",TITLE_NAME_OR_PR),TITLE_NAME_OR_PR_CHANGE)</f>
        <v>Министерство строительства, жилищно-коммунального хозяйства и энергетики УР</v>
      </c>
      <c r="CO27" s="3997"/>
      <c r="CP27" s="3997"/>
      <c r="CQ27" s="3997"/>
      <c r="CR27" s="3997"/>
      <c r="CS27" s="3997"/>
      <c r="CT27" s="3513"/>
      <c r="CU27" s="3997" t="str">
        <f>IF(TITLE_NAME_OR_PR_CHANGE="",IF(TITLE_NAME_OR_PR="","",TITLE_NAME_OR_PR),TITLE_NAME_OR_PR_CHANGE)</f>
        <v>Министерство строительства, жилищно-коммунального хозяйства и энергетики УР</v>
      </c>
      <c r="CV27" s="3997"/>
      <c r="CW27" s="3997"/>
      <c r="CX27" s="3997"/>
      <c r="CY27" s="3997"/>
      <c r="CZ27" s="3997"/>
      <c r="DA27" s="3513"/>
      <c r="DB27" s="3997" t="str">
        <f>IF(TITLE_NAME_OR_PR_CHANGE="",IF(TITLE_NAME_OR_PR="","",TITLE_NAME_OR_PR),TITLE_NAME_OR_PR_CHANGE)</f>
        <v>Министерство строительства, жилищно-коммунального хозяйства и энергетики УР</v>
      </c>
      <c r="DC27" s="3997"/>
      <c r="DD27" s="3997"/>
      <c r="DE27" s="3997"/>
      <c r="DF27" s="3997"/>
      <c r="DG27" s="3997"/>
      <c r="DH27" s="3513"/>
      <c r="DI27" s="3997" t="str">
        <f>IF(TITLE_NAME_OR_PR_CHANGE="",IF(TITLE_NAME_OR_PR="","",TITLE_NAME_OR_PR),TITLE_NAME_OR_PR_CHANGE)</f>
        <v>Министерство строительства, жилищно-коммунального хозяйства и энергетики УР</v>
      </c>
      <c r="DJ27" s="3997"/>
      <c r="DK27" s="3997"/>
      <c r="DL27" s="3997"/>
      <c r="DM27" s="3997"/>
      <c r="DN27" s="3997"/>
      <c r="DO27" s="3513"/>
      <c r="DP27" s="3997" t="str">
        <f>IF(TITLE_NAME_OR_PR_CHANGE="",IF(TITLE_NAME_OR_PR="","",TITLE_NAME_OR_PR),TITLE_NAME_OR_PR_CHANGE)</f>
        <v>Министерство строительства, жилищно-коммунального хозяйства и энергетики УР</v>
      </c>
      <c r="DQ27" s="3997"/>
      <c r="DR27" s="3997"/>
      <c r="DS27" s="3997"/>
      <c r="DT27" s="3997"/>
      <c r="DU27" s="3997"/>
      <c r="DV27" s="3513"/>
      <c r="DW27" s="3997" t="str">
        <f>IF(TITLE_NAME_OR_PR_CHANGE="",IF(TITLE_NAME_OR_PR="","",TITLE_NAME_OR_PR),TITLE_NAME_OR_PR_CHANGE)</f>
        <v>Министерство строительства, жилищно-коммунального хозяйства и энергетики УР</v>
      </c>
      <c r="DX27" s="3997"/>
      <c r="DY27" s="3997"/>
      <c r="DZ27" s="3997"/>
      <c r="EA27" s="3997"/>
      <c r="EB27" s="3997"/>
      <c r="EC27" s="3513"/>
      <c r="ED27" s="3997" t="str">
        <f>IF(TITLE_NAME_OR_PR_CHANGE="",IF(TITLE_NAME_OR_PR="","",TITLE_NAME_OR_PR),TITLE_NAME_OR_PR_CHANGE)</f>
        <v>Министерство строительства, жилищно-коммунального хозяйства и энергетики УР</v>
      </c>
      <c r="EE27" s="3997"/>
      <c r="EF27" s="3997"/>
      <c r="EG27" s="3997"/>
      <c r="EH27" s="3997"/>
      <c r="EI27" s="3997"/>
      <c r="EJ27" s="3513"/>
      <c r="EK27" s="3997" t="str">
        <f>IF(TITLE_NAME_OR_PR_CHANGE="",IF(TITLE_NAME_OR_PR="","",TITLE_NAME_OR_PR),TITLE_NAME_OR_PR_CHANGE)</f>
        <v>Министерство строительства, жилищно-коммунального хозяйства и энергетики УР</v>
      </c>
      <c r="EL27" s="3997"/>
      <c r="EM27" s="3997"/>
      <c r="EN27" s="3997"/>
      <c r="EO27" s="3997"/>
      <c r="EP27" s="3997"/>
      <c r="EQ27" s="3513"/>
      <c r="ER27" s="3997" t="str">
        <f>IF(TITLE_NAME_OR_PR_CHANGE="",IF(TITLE_NAME_OR_PR="","",TITLE_NAME_OR_PR),TITLE_NAME_OR_PR_CHANGE)</f>
        <v>Министерство строительства, жилищно-коммунального хозяйства и энергетики УР</v>
      </c>
      <c r="ES27" s="3997"/>
      <c r="ET27" s="3997"/>
      <c r="EU27" s="3997"/>
      <c r="EV27" s="3997"/>
      <c r="EW27" s="3997"/>
      <c r="EX27" s="3513"/>
      <c r="EY27" s="3997" t="str">
        <f>IF(TITLE_NAME_OR_PR_CHANGE="",IF(TITLE_NAME_OR_PR="","",TITLE_NAME_OR_PR),TITLE_NAME_OR_PR_CHANGE)</f>
        <v>Министерство строительства, жилищно-коммунального хозяйства и энергетики УР</v>
      </c>
      <c r="EZ27" s="3997"/>
      <c r="FA27" s="3997"/>
      <c r="FB27" s="3997"/>
      <c r="FC27" s="3997"/>
      <c r="FD27" s="3997"/>
      <c r="FE27" s="3513"/>
      <c r="FF27" s="3997" t="str">
        <f>IF(TITLE_NAME_OR_PR_CHANGE="",IF(TITLE_NAME_OR_PR="","",TITLE_NAME_OR_PR),TITLE_NAME_OR_PR_CHANGE)</f>
        <v>Министерство строительства, жилищно-коммунального хозяйства и энергетики УР</v>
      </c>
      <c r="FG27" s="3997"/>
      <c r="FH27" s="3997"/>
      <c r="FI27" s="3997"/>
      <c r="FJ27" s="3997"/>
      <c r="FK27" s="3997"/>
      <c r="FL27" s="3513"/>
      <c r="FM27" s="3997" t="str">
        <f>IF(TITLE_NAME_OR_PR_CHANGE="",IF(TITLE_NAME_OR_PR="","",TITLE_NAME_OR_PR),TITLE_NAME_OR_PR_CHANGE)</f>
        <v>Министерство строительства, жилищно-коммунального хозяйства и энергетики УР</v>
      </c>
      <c r="FN27" s="3997"/>
      <c r="FO27" s="3997"/>
      <c r="FP27" s="3997"/>
      <c r="FQ27" s="3997"/>
      <c r="FR27" s="3997"/>
      <c r="FS27" s="3513"/>
      <c r="FT27" s="3997" t="str">
        <f>IF(TITLE_NAME_OR_PR_CHANGE="",IF(TITLE_NAME_OR_PR="","",TITLE_NAME_OR_PR),TITLE_NAME_OR_PR_CHANGE)</f>
        <v>Министерство строительства, жилищно-коммунального хозяйства и энергетики УР</v>
      </c>
      <c r="FU27" s="3997"/>
      <c r="FV27" s="3997"/>
      <c r="FW27" s="3997"/>
      <c r="FX27" s="3997"/>
      <c r="FY27" s="3997"/>
      <c r="FZ27" s="3513"/>
      <c r="GA27" s="322"/>
      <c r="GB27" s="268"/>
      <c r="GC27" s="368"/>
      <c r="GD27" s="368"/>
      <c r="GE27" s="368"/>
      <c r="GF27" s="368"/>
      <c r="GG27" s="368"/>
    </row>
    <row s="3305" customFormat="1" customHeight="1" ht="18.75">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45272.383726851855</v>
      </c>
      <c r="W28" s="2099"/>
      <c r="X28" s="2099"/>
      <c r="Y28" s="2099"/>
      <c r="Z28" s="2099"/>
      <c r="AA28" s="2099"/>
      <c r="AB28" s="322"/>
      <c r="AC28" s="2099" t="str">
        <f>IF(TITLE_DATE_PR_CHANGE="",IF(TITLE_DATE_PR="","",TITLE_DATE_PR),TITLE_DATE_PR_CHANGE)</f>
        <v>45272.383726851855</v>
      </c>
      <c r="AD28" s="2099"/>
      <c r="AE28" s="2099"/>
      <c r="AF28" s="2099"/>
      <c r="AG28" s="2099"/>
      <c r="AH28" s="2099"/>
      <c r="AI28" s="322"/>
      <c r="AJ28" s="3998" t="str">
        <f>IF(TITLE_DATE_PR_CHANGE="",IF(TITLE_DATE_PR="","",TITLE_DATE_PR),TITLE_DATE_PR_CHANGE)</f>
        <v>45272.383726851855</v>
      </c>
      <c r="AK28" s="3998"/>
      <c r="AL28" s="3998"/>
      <c r="AM28" s="3998"/>
      <c r="AN28" s="3998"/>
      <c r="AO28" s="3998"/>
      <c r="AP28" s="3513"/>
      <c r="AQ28" s="3998" t="str">
        <f>IF(TITLE_DATE_PR_CHANGE="",IF(TITLE_DATE_PR="","",TITLE_DATE_PR),TITLE_DATE_PR_CHANGE)</f>
        <v>45272.383726851855</v>
      </c>
      <c r="AR28" s="3998"/>
      <c r="AS28" s="3998"/>
      <c r="AT28" s="3998"/>
      <c r="AU28" s="3998"/>
      <c r="AV28" s="3998"/>
      <c r="AW28" s="3513"/>
      <c r="AX28" s="3998" t="str">
        <f>IF(TITLE_DATE_PR_CHANGE="",IF(TITLE_DATE_PR="","",TITLE_DATE_PR),TITLE_DATE_PR_CHANGE)</f>
        <v>45272.383726851855</v>
      </c>
      <c r="AY28" s="3998"/>
      <c r="AZ28" s="3998"/>
      <c r="BA28" s="3998"/>
      <c r="BB28" s="3998"/>
      <c r="BC28" s="3998"/>
      <c r="BD28" s="3513"/>
      <c r="BE28" s="3998" t="str">
        <f>IF(TITLE_DATE_PR_CHANGE="",IF(TITLE_DATE_PR="","",TITLE_DATE_PR),TITLE_DATE_PR_CHANGE)</f>
        <v>45272.383726851855</v>
      </c>
      <c r="BF28" s="3998"/>
      <c r="BG28" s="3998"/>
      <c r="BH28" s="3998"/>
      <c r="BI28" s="3998"/>
      <c r="BJ28" s="3998"/>
      <c r="BK28" s="3513"/>
      <c r="BL28" s="3998" t="str">
        <f>IF(TITLE_DATE_PR_CHANGE="",IF(TITLE_DATE_PR="","",TITLE_DATE_PR),TITLE_DATE_PR_CHANGE)</f>
        <v>45272.383726851855</v>
      </c>
      <c r="BM28" s="3998"/>
      <c r="BN28" s="3998"/>
      <c r="BO28" s="3998"/>
      <c r="BP28" s="3998"/>
      <c r="BQ28" s="3998"/>
      <c r="BR28" s="3513"/>
      <c r="BS28" s="3998" t="str">
        <f>IF(TITLE_DATE_PR_CHANGE="",IF(TITLE_DATE_PR="","",TITLE_DATE_PR),TITLE_DATE_PR_CHANGE)</f>
        <v>45272.383726851855</v>
      </c>
      <c r="BT28" s="3998"/>
      <c r="BU28" s="3998"/>
      <c r="BV28" s="3998"/>
      <c r="BW28" s="3998"/>
      <c r="BX28" s="3998"/>
      <c r="BY28" s="3513"/>
      <c r="BZ28" s="3998" t="str">
        <f>IF(TITLE_DATE_PR_CHANGE="",IF(TITLE_DATE_PR="","",TITLE_DATE_PR),TITLE_DATE_PR_CHANGE)</f>
        <v>45272.383726851855</v>
      </c>
      <c r="CA28" s="3998"/>
      <c r="CB28" s="3998"/>
      <c r="CC28" s="3998"/>
      <c r="CD28" s="3998"/>
      <c r="CE28" s="3998"/>
      <c r="CF28" s="3513"/>
      <c r="CG28" s="3998" t="str">
        <f>IF(TITLE_DATE_PR_CHANGE="",IF(TITLE_DATE_PR="","",TITLE_DATE_PR),TITLE_DATE_PR_CHANGE)</f>
        <v>45272.383726851855</v>
      </c>
      <c r="CH28" s="3998"/>
      <c r="CI28" s="3998"/>
      <c r="CJ28" s="3998"/>
      <c r="CK28" s="3998"/>
      <c r="CL28" s="3998"/>
      <c r="CM28" s="3513"/>
      <c r="CN28" s="3998" t="str">
        <f>IF(TITLE_DATE_PR_CHANGE="",IF(TITLE_DATE_PR="","",TITLE_DATE_PR),TITLE_DATE_PR_CHANGE)</f>
        <v>45272.383726851855</v>
      </c>
      <c r="CO28" s="3998"/>
      <c r="CP28" s="3998"/>
      <c r="CQ28" s="3998"/>
      <c r="CR28" s="3998"/>
      <c r="CS28" s="3998"/>
      <c r="CT28" s="3513"/>
      <c r="CU28" s="3998" t="str">
        <f>IF(TITLE_DATE_PR_CHANGE="",IF(TITLE_DATE_PR="","",TITLE_DATE_PR),TITLE_DATE_PR_CHANGE)</f>
        <v>45272.383726851855</v>
      </c>
      <c r="CV28" s="3998"/>
      <c r="CW28" s="3998"/>
      <c r="CX28" s="3998"/>
      <c r="CY28" s="3998"/>
      <c r="CZ28" s="3998"/>
      <c r="DA28" s="3513"/>
      <c r="DB28" s="3998" t="str">
        <f>IF(TITLE_DATE_PR_CHANGE="",IF(TITLE_DATE_PR="","",TITLE_DATE_PR),TITLE_DATE_PR_CHANGE)</f>
        <v>45272.383726851855</v>
      </c>
      <c r="DC28" s="3998"/>
      <c r="DD28" s="3998"/>
      <c r="DE28" s="3998"/>
      <c r="DF28" s="3998"/>
      <c r="DG28" s="3998"/>
      <c r="DH28" s="3513"/>
      <c r="DI28" s="3998" t="str">
        <f>IF(TITLE_DATE_PR_CHANGE="",IF(TITLE_DATE_PR="","",TITLE_DATE_PR),TITLE_DATE_PR_CHANGE)</f>
        <v>45272.383726851855</v>
      </c>
      <c r="DJ28" s="3998"/>
      <c r="DK28" s="3998"/>
      <c r="DL28" s="3998"/>
      <c r="DM28" s="3998"/>
      <c r="DN28" s="3998"/>
      <c r="DO28" s="3513"/>
      <c r="DP28" s="3998" t="str">
        <f>IF(TITLE_DATE_PR_CHANGE="",IF(TITLE_DATE_PR="","",TITLE_DATE_PR),TITLE_DATE_PR_CHANGE)</f>
        <v>45272.383726851855</v>
      </c>
      <c r="DQ28" s="3998"/>
      <c r="DR28" s="3998"/>
      <c r="DS28" s="3998"/>
      <c r="DT28" s="3998"/>
      <c r="DU28" s="3998"/>
      <c r="DV28" s="3513"/>
      <c r="DW28" s="3998" t="str">
        <f>IF(TITLE_DATE_PR_CHANGE="",IF(TITLE_DATE_PR="","",TITLE_DATE_PR),TITLE_DATE_PR_CHANGE)</f>
        <v>45272.383726851855</v>
      </c>
      <c r="DX28" s="3998"/>
      <c r="DY28" s="3998"/>
      <c r="DZ28" s="3998"/>
      <c r="EA28" s="3998"/>
      <c r="EB28" s="3998"/>
      <c r="EC28" s="3513"/>
      <c r="ED28" s="3998" t="str">
        <f>IF(TITLE_DATE_PR_CHANGE="",IF(TITLE_DATE_PR="","",TITLE_DATE_PR),TITLE_DATE_PR_CHANGE)</f>
        <v>45272.383726851855</v>
      </c>
      <c r="EE28" s="3998"/>
      <c r="EF28" s="3998"/>
      <c r="EG28" s="3998"/>
      <c r="EH28" s="3998"/>
      <c r="EI28" s="3998"/>
      <c r="EJ28" s="3513"/>
      <c r="EK28" s="3998" t="str">
        <f>IF(TITLE_DATE_PR_CHANGE="",IF(TITLE_DATE_PR="","",TITLE_DATE_PR),TITLE_DATE_PR_CHANGE)</f>
        <v>45272.383726851855</v>
      </c>
      <c r="EL28" s="3998"/>
      <c r="EM28" s="3998"/>
      <c r="EN28" s="3998"/>
      <c r="EO28" s="3998"/>
      <c r="EP28" s="3998"/>
      <c r="EQ28" s="3513"/>
      <c r="ER28" s="3998" t="str">
        <f>IF(TITLE_DATE_PR_CHANGE="",IF(TITLE_DATE_PR="","",TITLE_DATE_PR),TITLE_DATE_PR_CHANGE)</f>
        <v>45272.383726851855</v>
      </c>
      <c r="ES28" s="3998"/>
      <c r="ET28" s="3998"/>
      <c r="EU28" s="3998"/>
      <c r="EV28" s="3998"/>
      <c r="EW28" s="3998"/>
      <c r="EX28" s="3513"/>
      <c r="EY28" s="3998" t="str">
        <f>IF(TITLE_DATE_PR_CHANGE="",IF(TITLE_DATE_PR="","",TITLE_DATE_PR),TITLE_DATE_PR_CHANGE)</f>
        <v>45272.383726851855</v>
      </c>
      <c r="EZ28" s="3998"/>
      <c r="FA28" s="3998"/>
      <c r="FB28" s="3998"/>
      <c r="FC28" s="3998"/>
      <c r="FD28" s="3998"/>
      <c r="FE28" s="3513"/>
      <c r="FF28" s="3998" t="str">
        <f>IF(TITLE_DATE_PR_CHANGE="",IF(TITLE_DATE_PR="","",TITLE_DATE_PR),TITLE_DATE_PR_CHANGE)</f>
        <v>45272.383726851855</v>
      </c>
      <c r="FG28" s="3998"/>
      <c r="FH28" s="3998"/>
      <c r="FI28" s="3998"/>
      <c r="FJ28" s="3998"/>
      <c r="FK28" s="3998"/>
      <c r="FL28" s="3513"/>
      <c r="FM28" s="3998" t="str">
        <f>IF(TITLE_DATE_PR_CHANGE="",IF(TITLE_DATE_PR="","",TITLE_DATE_PR),TITLE_DATE_PR_CHANGE)</f>
        <v>45272.383726851855</v>
      </c>
      <c r="FN28" s="3998"/>
      <c r="FO28" s="3998"/>
      <c r="FP28" s="3998"/>
      <c r="FQ28" s="3998"/>
      <c r="FR28" s="3998"/>
      <c r="FS28" s="3513"/>
      <c r="FT28" s="3998" t="str">
        <f>IF(TITLE_DATE_PR_CHANGE="",IF(TITLE_DATE_PR="","",TITLE_DATE_PR),TITLE_DATE_PR_CHANGE)</f>
        <v>45272.383726851855</v>
      </c>
      <c r="FU28" s="3998"/>
      <c r="FV28" s="3998"/>
      <c r="FW28" s="3998"/>
      <c r="FX28" s="3998"/>
      <c r="FY28" s="3998"/>
      <c r="FZ28" s="3513"/>
      <c r="GA28" s="322"/>
      <c r="GB28" s="268"/>
      <c r="GC28" s="368"/>
      <c r="GD28" s="368"/>
      <c r="GE28" s="368"/>
      <c r="GF28" s="368"/>
      <c r="GG28" s="368"/>
    </row>
    <row s="3305" customFormat="1" customHeight="1" ht="18.75">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30/68</v>
      </c>
      <c r="W29" s="2100"/>
      <c r="X29" s="2100"/>
      <c r="Y29" s="2100"/>
      <c r="Z29" s="2100"/>
      <c r="AA29" s="2100"/>
      <c r="AB29" s="322"/>
      <c r="AC29" s="2100" t="str">
        <f>IF(TITLE_NUMBER_PR_CHANGE="",IF(TITLE_NUMBER_PR="","",TITLE_NUMBER_PR),TITLE_NUMBER_PR_CHANGE)</f>
        <v>30/68</v>
      </c>
      <c r="AD29" s="2100"/>
      <c r="AE29" s="2100"/>
      <c r="AF29" s="2100"/>
      <c r="AG29" s="2100"/>
      <c r="AH29" s="2100"/>
      <c r="AI29" s="322"/>
      <c r="AJ29" s="3997" t="str">
        <f>IF(TITLE_NUMBER_PR_CHANGE="",IF(TITLE_NUMBER_PR="","",TITLE_NUMBER_PR),TITLE_NUMBER_PR_CHANGE)</f>
        <v>30/68</v>
      </c>
      <c r="AK29" s="3997"/>
      <c r="AL29" s="3997"/>
      <c r="AM29" s="3997"/>
      <c r="AN29" s="3997"/>
      <c r="AO29" s="3997"/>
      <c r="AP29" s="3513"/>
      <c r="AQ29" s="3997" t="str">
        <f>IF(TITLE_NUMBER_PR_CHANGE="",IF(TITLE_NUMBER_PR="","",TITLE_NUMBER_PR),TITLE_NUMBER_PR_CHANGE)</f>
        <v>30/68</v>
      </c>
      <c r="AR29" s="3997"/>
      <c r="AS29" s="3997"/>
      <c r="AT29" s="3997"/>
      <c r="AU29" s="3997"/>
      <c r="AV29" s="3997"/>
      <c r="AW29" s="3513"/>
      <c r="AX29" s="3997" t="str">
        <f>IF(TITLE_NUMBER_PR_CHANGE="",IF(TITLE_NUMBER_PR="","",TITLE_NUMBER_PR),TITLE_NUMBER_PR_CHANGE)</f>
        <v>30/68</v>
      </c>
      <c r="AY29" s="3997"/>
      <c r="AZ29" s="3997"/>
      <c r="BA29" s="3997"/>
      <c r="BB29" s="3997"/>
      <c r="BC29" s="3997"/>
      <c r="BD29" s="3513"/>
      <c r="BE29" s="3997" t="str">
        <f>IF(TITLE_NUMBER_PR_CHANGE="",IF(TITLE_NUMBER_PR="","",TITLE_NUMBER_PR),TITLE_NUMBER_PR_CHANGE)</f>
        <v>30/68</v>
      </c>
      <c r="BF29" s="3997"/>
      <c r="BG29" s="3997"/>
      <c r="BH29" s="3997"/>
      <c r="BI29" s="3997"/>
      <c r="BJ29" s="3997"/>
      <c r="BK29" s="3513"/>
      <c r="BL29" s="3997" t="str">
        <f>IF(TITLE_NUMBER_PR_CHANGE="",IF(TITLE_NUMBER_PR="","",TITLE_NUMBER_PR),TITLE_NUMBER_PR_CHANGE)</f>
        <v>30/68</v>
      </c>
      <c r="BM29" s="3997"/>
      <c r="BN29" s="3997"/>
      <c r="BO29" s="3997"/>
      <c r="BP29" s="3997"/>
      <c r="BQ29" s="3997"/>
      <c r="BR29" s="3513"/>
      <c r="BS29" s="3997" t="str">
        <f>IF(TITLE_NUMBER_PR_CHANGE="",IF(TITLE_NUMBER_PR="","",TITLE_NUMBER_PR),TITLE_NUMBER_PR_CHANGE)</f>
        <v>30/68</v>
      </c>
      <c r="BT29" s="3997"/>
      <c r="BU29" s="3997"/>
      <c r="BV29" s="3997"/>
      <c r="BW29" s="3997"/>
      <c r="BX29" s="3997"/>
      <c r="BY29" s="3513"/>
      <c r="BZ29" s="3997" t="str">
        <f>IF(TITLE_NUMBER_PR_CHANGE="",IF(TITLE_NUMBER_PR="","",TITLE_NUMBER_PR),TITLE_NUMBER_PR_CHANGE)</f>
        <v>30/68</v>
      </c>
      <c r="CA29" s="3997"/>
      <c r="CB29" s="3997"/>
      <c r="CC29" s="3997"/>
      <c r="CD29" s="3997"/>
      <c r="CE29" s="3997"/>
      <c r="CF29" s="3513"/>
      <c r="CG29" s="3997" t="str">
        <f>IF(TITLE_NUMBER_PR_CHANGE="",IF(TITLE_NUMBER_PR="","",TITLE_NUMBER_PR),TITLE_NUMBER_PR_CHANGE)</f>
        <v>30/68</v>
      </c>
      <c r="CH29" s="3997"/>
      <c r="CI29" s="3997"/>
      <c r="CJ29" s="3997"/>
      <c r="CK29" s="3997"/>
      <c r="CL29" s="3997"/>
      <c r="CM29" s="3513"/>
      <c r="CN29" s="3997" t="str">
        <f>IF(TITLE_NUMBER_PR_CHANGE="",IF(TITLE_NUMBER_PR="","",TITLE_NUMBER_PR),TITLE_NUMBER_PR_CHANGE)</f>
        <v>30/68</v>
      </c>
      <c r="CO29" s="3997"/>
      <c r="CP29" s="3997"/>
      <c r="CQ29" s="3997"/>
      <c r="CR29" s="3997"/>
      <c r="CS29" s="3997"/>
      <c r="CT29" s="3513"/>
      <c r="CU29" s="3997" t="str">
        <f>IF(TITLE_NUMBER_PR_CHANGE="",IF(TITLE_NUMBER_PR="","",TITLE_NUMBER_PR),TITLE_NUMBER_PR_CHANGE)</f>
        <v>30/68</v>
      </c>
      <c r="CV29" s="3997"/>
      <c r="CW29" s="3997"/>
      <c r="CX29" s="3997"/>
      <c r="CY29" s="3997"/>
      <c r="CZ29" s="3997"/>
      <c r="DA29" s="3513"/>
      <c r="DB29" s="3997" t="str">
        <f>IF(TITLE_NUMBER_PR_CHANGE="",IF(TITLE_NUMBER_PR="","",TITLE_NUMBER_PR),TITLE_NUMBER_PR_CHANGE)</f>
        <v>30/68</v>
      </c>
      <c r="DC29" s="3997"/>
      <c r="DD29" s="3997"/>
      <c r="DE29" s="3997"/>
      <c r="DF29" s="3997"/>
      <c r="DG29" s="3997"/>
      <c r="DH29" s="3513"/>
      <c r="DI29" s="3997" t="str">
        <f>IF(TITLE_NUMBER_PR_CHANGE="",IF(TITLE_NUMBER_PR="","",TITLE_NUMBER_PR),TITLE_NUMBER_PR_CHANGE)</f>
        <v>30/68</v>
      </c>
      <c r="DJ29" s="3997"/>
      <c r="DK29" s="3997"/>
      <c r="DL29" s="3997"/>
      <c r="DM29" s="3997"/>
      <c r="DN29" s="3997"/>
      <c r="DO29" s="3513"/>
      <c r="DP29" s="3997" t="str">
        <f>IF(TITLE_NUMBER_PR_CHANGE="",IF(TITLE_NUMBER_PR="","",TITLE_NUMBER_PR),TITLE_NUMBER_PR_CHANGE)</f>
        <v>30/68</v>
      </c>
      <c r="DQ29" s="3997"/>
      <c r="DR29" s="3997"/>
      <c r="DS29" s="3997"/>
      <c r="DT29" s="3997"/>
      <c r="DU29" s="3997"/>
      <c r="DV29" s="3513"/>
      <c r="DW29" s="3997" t="str">
        <f>IF(TITLE_NUMBER_PR_CHANGE="",IF(TITLE_NUMBER_PR="","",TITLE_NUMBER_PR),TITLE_NUMBER_PR_CHANGE)</f>
        <v>30/68</v>
      </c>
      <c r="DX29" s="3997"/>
      <c r="DY29" s="3997"/>
      <c r="DZ29" s="3997"/>
      <c r="EA29" s="3997"/>
      <c r="EB29" s="3997"/>
      <c r="EC29" s="3513"/>
      <c r="ED29" s="3997" t="str">
        <f>IF(TITLE_NUMBER_PR_CHANGE="",IF(TITLE_NUMBER_PR="","",TITLE_NUMBER_PR),TITLE_NUMBER_PR_CHANGE)</f>
        <v>30/68</v>
      </c>
      <c r="EE29" s="3997"/>
      <c r="EF29" s="3997"/>
      <c r="EG29" s="3997"/>
      <c r="EH29" s="3997"/>
      <c r="EI29" s="3997"/>
      <c r="EJ29" s="3513"/>
      <c r="EK29" s="3997" t="str">
        <f>IF(TITLE_NUMBER_PR_CHANGE="",IF(TITLE_NUMBER_PR="","",TITLE_NUMBER_PR),TITLE_NUMBER_PR_CHANGE)</f>
        <v>30/68</v>
      </c>
      <c r="EL29" s="3997"/>
      <c r="EM29" s="3997"/>
      <c r="EN29" s="3997"/>
      <c r="EO29" s="3997"/>
      <c r="EP29" s="3997"/>
      <c r="EQ29" s="3513"/>
      <c r="ER29" s="3997" t="str">
        <f>IF(TITLE_NUMBER_PR_CHANGE="",IF(TITLE_NUMBER_PR="","",TITLE_NUMBER_PR),TITLE_NUMBER_PR_CHANGE)</f>
        <v>30/68</v>
      </c>
      <c r="ES29" s="3997"/>
      <c r="ET29" s="3997"/>
      <c r="EU29" s="3997"/>
      <c r="EV29" s="3997"/>
      <c r="EW29" s="3997"/>
      <c r="EX29" s="3513"/>
      <c r="EY29" s="3997" t="str">
        <f>IF(TITLE_NUMBER_PR_CHANGE="",IF(TITLE_NUMBER_PR="","",TITLE_NUMBER_PR),TITLE_NUMBER_PR_CHANGE)</f>
        <v>30/68</v>
      </c>
      <c r="EZ29" s="3997"/>
      <c r="FA29" s="3997"/>
      <c r="FB29" s="3997"/>
      <c r="FC29" s="3997"/>
      <c r="FD29" s="3997"/>
      <c r="FE29" s="3513"/>
      <c r="FF29" s="3997" t="str">
        <f>IF(TITLE_NUMBER_PR_CHANGE="",IF(TITLE_NUMBER_PR="","",TITLE_NUMBER_PR),TITLE_NUMBER_PR_CHANGE)</f>
        <v>30/68</v>
      </c>
      <c r="FG29" s="3997"/>
      <c r="FH29" s="3997"/>
      <c r="FI29" s="3997"/>
      <c r="FJ29" s="3997"/>
      <c r="FK29" s="3997"/>
      <c r="FL29" s="3513"/>
      <c r="FM29" s="3997" t="str">
        <f>IF(TITLE_NUMBER_PR_CHANGE="",IF(TITLE_NUMBER_PR="","",TITLE_NUMBER_PR),TITLE_NUMBER_PR_CHANGE)</f>
        <v>30/68</v>
      </c>
      <c r="FN29" s="3997"/>
      <c r="FO29" s="3997"/>
      <c r="FP29" s="3997"/>
      <c r="FQ29" s="3997"/>
      <c r="FR29" s="3997"/>
      <c r="FS29" s="3513"/>
      <c r="FT29" s="3997" t="str">
        <f>IF(TITLE_NUMBER_PR_CHANGE="",IF(TITLE_NUMBER_PR="","",TITLE_NUMBER_PR),TITLE_NUMBER_PR_CHANGE)</f>
        <v>30/68</v>
      </c>
      <c r="FU29" s="3997"/>
      <c r="FV29" s="3997"/>
      <c r="FW29" s="3997"/>
      <c r="FX29" s="3997"/>
      <c r="FY29" s="3997"/>
      <c r="FZ29" s="3513"/>
      <c r="GA29" s="322"/>
      <c r="GB29" s="268"/>
      <c r="GC29" s="368"/>
      <c r="GD29" s="368"/>
      <c r="GE29" s="368"/>
      <c r="GF29" s="368"/>
      <c r="GG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www.udmurt.ru</v>
      </c>
      <c r="W30" s="2100"/>
      <c r="X30" s="2100"/>
      <c r="Y30" s="2100"/>
      <c r="Z30" s="2100"/>
      <c r="AA30" s="2100"/>
      <c r="AB30" s="322"/>
      <c r="AC30" s="2100" t="str">
        <f>IF(TITLE_IST_PUB_CHANGE="",IF(TITLE_IST_PUB="","",TITLE_IST_PUB),TITLE_IST_PUB_CHANGE)</f>
        <v>www.udmurt.ru</v>
      </c>
      <c r="AD30" s="2100"/>
      <c r="AE30" s="2100"/>
      <c r="AF30" s="2100"/>
      <c r="AG30" s="2100"/>
      <c r="AH30" s="2100"/>
      <c r="AI30" s="322"/>
      <c r="AJ30" s="3997" t="str">
        <f>IF(TITLE_IST_PUB_CHANGE="",IF(TITLE_IST_PUB="","",TITLE_IST_PUB),TITLE_IST_PUB_CHANGE)</f>
        <v>www.udmurt.ru</v>
      </c>
      <c r="AK30" s="3997"/>
      <c r="AL30" s="3997"/>
      <c r="AM30" s="3997"/>
      <c r="AN30" s="3997"/>
      <c r="AO30" s="3997"/>
      <c r="AP30" s="3513"/>
      <c r="AQ30" s="3997" t="str">
        <f>IF(TITLE_IST_PUB_CHANGE="",IF(TITLE_IST_PUB="","",TITLE_IST_PUB),TITLE_IST_PUB_CHANGE)</f>
        <v>www.udmurt.ru</v>
      </c>
      <c r="AR30" s="3997"/>
      <c r="AS30" s="3997"/>
      <c r="AT30" s="3997"/>
      <c r="AU30" s="3997"/>
      <c r="AV30" s="3997"/>
      <c r="AW30" s="3513"/>
      <c r="AX30" s="3997" t="str">
        <f>IF(TITLE_IST_PUB_CHANGE="",IF(TITLE_IST_PUB="","",TITLE_IST_PUB),TITLE_IST_PUB_CHANGE)</f>
        <v>www.udmurt.ru</v>
      </c>
      <c r="AY30" s="3997"/>
      <c r="AZ30" s="3997"/>
      <c r="BA30" s="3997"/>
      <c r="BB30" s="3997"/>
      <c r="BC30" s="3997"/>
      <c r="BD30" s="3513"/>
      <c r="BE30" s="3997" t="str">
        <f>IF(TITLE_IST_PUB_CHANGE="",IF(TITLE_IST_PUB="","",TITLE_IST_PUB),TITLE_IST_PUB_CHANGE)</f>
        <v>www.udmurt.ru</v>
      </c>
      <c r="BF30" s="3997"/>
      <c r="BG30" s="3997"/>
      <c r="BH30" s="3997"/>
      <c r="BI30" s="3997"/>
      <c r="BJ30" s="3997"/>
      <c r="BK30" s="3513"/>
      <c r="BL30" s="3997" t="str">
        <f>IF(TITLE_IST_PUB_CHANGE="",IF(TITLE_IST_PUB="","",TITLE_IST_PUB),TITLE_IST_PUB_CHANGE)</f>
        <v>www.udmurt.ru</v>
      </c>
      <c r="BM30" s="3997"/>
      <c r="BN30" s="3997"/>
      <c r="BO30" s="3997"/>
      <c r="BP30" s="3997"/>
      <c r="BQ30" s="3997"/>
      <c r="BR30" s="3513"/>
      <c r="BS30" s="3997" t="str">
        <f>IF(TITLE_IST_PUB_CHANGE="",IF(TITLE_IST_PUB="","",TITLE_IST_PUB),TITLE_IST_PUB_CHANGE)</f>
        <v>www.udmurt.ru</v>
      </c>
      <c r="BT30" s="3997"/>
      <c r="BU30" s="3997"/>
      <c r="BV30" s="3997"/>
      <c r="BW30" s="3997"/>
      <c r="BX30" s="3997"/>
      <c r="BY30" s="3513"/>
      <c r="BZ30" s="3997" t="str">
        <f>IF(TITLE_IST_PUB_CHANGE="",IF(TITLE_IST_PUB="","",TITLE_IST_PUB),TITLE_IST_PUB_CHANGE)</f>
        <v>www.udmurt.ru</v>
      </c>
      <c r="CA30" s="3997"/>
      <c r="CB30" s="3997"/>
      <c r="CC30" s="3997"/>
      <c r="CD30" s="3997"/>
      <c r="CE30" s="3997"/>
      <c r="CF30" s="3513"/>
      <c r="CG30" s="3997" t="str">
        <f>IF(TITLE_IST_PUB_CHANGE="",IF(TITLE_IST_PUB="","",TITLE_IST_PUB),TITLE_IST_PUB_CHANGE)</f>
        <v>www.udmurt.ru</v>
      </c>
      <c r="CH30" s="3997"/>
      <c r="CI30" s="3997"/>
      <c r="CJ30" s="3997"/>
      <c r="CK30" s="3997"/>
      <c r="CL30" s="3997"/>
      <c r="CM30" s="3513"/>
      <c r="CN30" s="3997" t="str">
        <f>IF(TITLE_IST_PUB_CHANGE="",IF(TITLE_IST_PUB="","",TITLE_IST_PUB),TITLE_IST_PUB_CHANGE)</f>
        <v>www.udmurt.ru</v>
      </c>
      <c r="CO30" s="3997"/>
      <c r="CP30" s="3997"/>
      <c r="CQ30" s="3997"/>
      <c r="CR30" s="3997"/>
      <c r="CS30" s="3997"/>
      <c r="CT30" s="3513"/>
      <c r="CU30" s="3997" t="str">
        <f>IF(TITLE_IST_PUB_CHANGE="",IF(TITLE_IST_PUB="","",TITLE_IST_PUB),TITLE_IST_PUB_CHANGE)</f>
        <v>www.udmurt.ru</v>
      </c>
      <c r="CV30" s="3997"/>
      <c r="CW30" s="3997"/>
      <c r="CX30" s="3997"/>
      <c r="CY30" s="3997"/>
      <c r="CZ30" s="3997"/>
      <c r="DA30" s="3513"/>
      <c r="DB30" s="3997" t="str">
        <f>IF(TITLE_IST_PUB_CHANGE="",IF(TITLE_IST_PUB="","",TITLE_IST_PUB),TITLE_IST_PUB_CHANGE)</f>
        <v>www.udmurt.ru</v>
      </c>
      <c r="DC30" s="3997"/>
      <c r="DD30" s="3997"/>
      <c r="DE30" s="3997"/>
      <c r="DF30" s="3997"/>
      <c r="DG30" s="3997"/>
      <c r="DH30" s="3513"/>
      <c r="DI30" s="3997" t="str">
        <f>IF(TITLE_IST_PUB_CHANGE="",IF(TITLE_IST_PUB="","",TITLE_IST_PUB),TITLE_IST_PUB_CHANGE)</f>
        <v>www.udmurt.ru</v>
      </c>
      <c r="DJ30" s="3997"/>
      <c r="DK30" s="3997"/>
      <c r="DL30" s="3997"/>
      <c r="DM30" s="3997"/>
      <c r="DN30" s="3997"/>
      <c r="DO30" s="3513"/>
      <c r="DP30" s="3997" t="str">
        <f>IF(TITLE_IST_PUB_CHANGE="",IF(TITLE_IST_PUB="","",TITLE_IST_PUB),TITLE_IST_PUB_CHANGE)</f>
        <v>www.udmurt.ru</v>
      </c>
      <c r="DQ30" s="3997"/>
      <c r="DR30" s="3997"/>
      <c r="DS30" s="3997"/>
      <c r="DT30" s="3997"/>
      <c r="DU30" s="3997"/>
      <c r="DV30" s="3513"/>
      <c r="DW30" s="3997" t="str">
        <f>IF(TITLE_IST_PUB_CHANGE="",IF(TITLE_IST_PUB="","",TITLE_IST_PUB),TITLE_IST_PUB_CHANGE)</f>
        <v>www.udmurt.ru</v>
      </c>
      <c r="DX30" s="3997"/>
      <c r="DY30" s="3997"/>
      <c r="DZ30" s="3997"/>
      <c r="EA30" s="3997"/>
      <c r="EB30" s="3997"/>
      <c r="EC30" s="3513"/>
      <c r="ED30" s="3997" t="str">
        <f>IF(TITLE_IST_PUB_CHANGE="",IF(TITLE_IST_PUB="","",TITLE_IST_PUB),TITLE_IST_PUB_CHANGE)</f>
        <v>www.udmurt.ru</v>
      </c>
      <c r="EE30" s="3997"/>
      <c r="EF30" s="3997"/>
      <c r="EG30" s="3997"/>
      <c r="EH30" s="3997"/>
      <c r="EI30" s="3997"/>
      <c r="EJ30" s="3513"/>
      <c r="EK30" s="3997" t="str">
        <f>IF(TITLE_IST_PUB_CHANGE="",IF(TITLE_IST_PUB="","",TITLE_IST_PUB),TITLE_IST_PUB_CHANGE)</f>
        <v>www.udmurt.ru</v>
      </c>
      <c r="EL30" s="3997"/>
      <c r="EM30" s="3997"/>
      <c r="EN30" s="3997"/>
      <c r="EO30" s="3997"/>
      <c r="EP30" s="3997"/>
      <c r="EQ30" s="3513"/>
      <c r="ER30" s="3997" t="str">
        <f>IF(TITLE_IST_PUB_CHANGE="",IF(TITLE_IST_PUB="","",TITLE_IST_PUB),TITLE_IST_PUB_CHANGE)</f>
        <v>www.udmurt.ru</v>
      </c>
      <c r="ES30" s="3997"/>
      <c r="ET30" s="3997"/>
      <c r="EU30" s="3997"/>
      <c r="EV30" s="3997"/>
      <c r="EW30" s="3997"/>
      <c r="EX30" s="3513"/>
      <c r="EY30" s="3997" t="str">
        <f>IF(TITLE_IST_PUB_CHANGE="",IF(TITLE_IST_PUB="","",TITLE_IST_PUB),TITLE_IST_PUB_CHANGE)</f>
        <v>www.udmurt.ru</v>
      </c>
      <c r="EZ30" s="3997"/>
      <c r="FA30" s="3997"/>
      <c r="FB30" s="3997"/>
      <c r="FC30" s="3997"/>
      <c r="FD30" s="3997"/>
      <c r="FE30" s="3513"/>
      <c r="FF30" s="3997" t="str">
        <f>IF(TITLE_IST_PUB_CHANGE="",IF(TITLE_IST_PUB="","",TITLE_IST_PUB),TITLE_IST_PUB_CHANGE)</f>
        <v>www.udmurt.ru</v>
      </c>
      <c r="FG30" s="3997"/>
      <c r="FH30" s="3997"/>
      <c r="FI30" s="3997"/>
      <c r="FJ30" s="3997"/>
      <c r="FK30" s="3997"/>
      <c r="FL30" s="3513"/>
      <c r="FM30" s="3997" t="str">
        <f>IF(TITLE_IST_PUB_CHANGE="",IF(TITLE_IST_PUB="","",TITLE_IST_PUB),TITLE_IST_PUB_CHANGE)</f>
        <v>www.udmurt.ru</v>
      </c>
      <c r="FN30" s="3997"/>
      <c r="FO30" s="3997"/>
      <c r="FP30" s="3997"/>
      <c r="FQ30" s="3997"/>
      <c r="FR30" s="3997"/>
      <c r="FS30" s="3513"/>
      <c r="FT30" s="3997" t="str">
        <f>IF(TITLE_IST_PUB_CHANGE="",IF(TITLE_IST_PUB="","",TITLE_IST_PUB),TITLE_IST_PUB_CHANGE)</f>
        <v>www.udmurt.ru</v>
      </c>
      <c r="FU30" s="3997"/>
      <c r="FV30" s="3997"/>
      <c r="FW30" s="3997"/>
      <c r="FX30" s="3997"/>
      <c r="FY30" s="3997"/>
      <c r="FZ30" s="3513"/>
      <c r="GA30" s="322"/>
      <c r="GB30" s="268"/>
      <c r="GC30" s="368"/>
      <c r="GD30" s="368"/>
      <c r="GE30" s="368"/>
      <c r="GF30" s="368"/>
      <c r="GG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3996"/>
      <c r="AK31" s="3996"/>
      <c r="AL31" s="3996"/>
      <c r="AM31" s="3996"/>
      <c r="AN31" s="3996"/>
      <c r="AO31" s="3996"/>
      <c r="AP31" s="3996"/>
      <c r="AQ31" s="3996"/>
      <c r="AR31" s="3996"/>
      <c r="AS31" s="3996"/>
      <c r="AT31" s="3996"/>
      <c r="AU31" s="3996"/>
      <c r="AV31" s="3996"/>
      <c r="AW31" s="3996"/>
      <c r="AX31" s="3996"/>
      <c r="AY31" s="3996"/>
      <c r="AZ31" s="3996"/>
      <c r="BA31" s="3996"/>
      <c r="BB31" s="3996"/>
      <c r="BC31" s="3996"/>
      <c r="BD31" s="3996"/>
      <c r="BE31" s="3996"/>
      <c r="BF31" s="3996"/>
      <c r="BG31" s="3996"/>
      <c r="BH31" s="3996"/>
      <c r="BI31" s="3996"/>
      <c r="BJ31" s="3996"/>
      <c r="BK31" s="3996"/>
      <c r="BL31" s="3996"/>
      <c r="BM31" s="3996"/>
      <c r="BN31" s="3996"/>
      <c r="BO31" s="3996"/>
      <c r="BP31" s="3996"/>
      <c r="BQ31" s="3996"/>
      <c r="BR31" s="3996"/>
      <c r="BS31" s="3996"/>
      <c r="BT31" s="3996"/>
      <c r="BU31" s="3996"/>
      <c r="BV31" s="3996"/>
      <c r="BW31" s="3996"/>
      <c r="BX31" s="3996"/>
      <c r="BY31" s="3996"/>
      <c r="BZ31" s="3996"/>
      <c r="CA31" s="3996"/>
      <c r="CB31" s="3996"/>
      <c r="CC31" s="3996"/>
      <c r="CD31" s="3996"/>
      <c r="CE31" s="3996"/>
      <c r="CF31" s="3996"/>
      <c r="CG31" s="3996"/>
      <c r="CH31" s="3996"/>
      <c r="CI31" s="3996"/>
      <c r="CJ31" s="3996"/>
      <c r="CK31" s="3996"/>
      <c r="CL31" s="3996"/>
      <c r="CM31" s="3996"/>
      <c r="CN31" s="3996"/>
      <c r="CO31" s="3996"/>
      <c r="CP31" s="3996"/>
      <c r="CQ31" s="3996"/>
      <c r="CR31" s="3996"/>
      <c r="CS31" s="3996"/>
      <c r="CT31" s="3996"/>
      <c r="CU31" s="3996"/>
      <c r="CV31" s="3996"/>
      <c r="CW31" s="3996"/>
      <c r="CX31" s="3996"/>
      <c r="CY31" s="3996"/>
      <c r="CZ31" s="3996"/>
      <c r="DA31" s="3996"/>
      <c r="DB31" s="3996"/>
      <c r="DC31" s="3996"/>
      <c r="DD31" s="3996"/>
      <c r="DE31" s="3996"/>
      <c r="DF31" s="3996"/>
      <c r="DG31" s="3996"/>
      <c r="DH31" s="3996"/>
      <c r="DI31" s="3996"/>
      <c r="DJ31" s="3996"/>
      <c r="DK31" s="3996"/>
      <c r="DL31" s="3996"/>
      <c r="DM31" s="3996"/>
      <c r="DN31" s="3996"/>
      <c r="DO31" s="3996"/>
      <c r="DP31" s="3996"/>
      <c r="DQ31" s="3996"/>
      <c r="DR31" s="3996"/>
      <c r="DS31" s="3996"/>
      <c r="DT31" s="3996"/>
      <c r="DU31" s="3996"/>
      <c r="DV31" s="3996"/>
      <c r="DW31" s="3996"/>
      <c r="DX31" s="3996"/>
      <c r="DY31" s="3996"/>
      <c r="DZ31" s="3996"/>
      <c r="EA31" s="3996"/>
      <c r="EB31" s="3996"/>
      <c r="EC31" s="3996"/>
      <c r="ED31" s="3996"/>
      <c r="EE31" s="3996"/>
      <c r="EF31" s="3996"/>
      <c r="EG31" s="3996"/>
      <c r="EH31" s="3996"/>
      <c r="EI31" s="3996"/>
      <c r="EJ31" s="3996"/>
      <c r="EK31" s="3996"/>
      <c r="EL31" s="3996"/>
      <c r="EM31" s="3996"/>
      <c r="EN31" s="3996"/>
      <c r="EO31" s="3996"/>
      <c r="EP31" s="3996"/>
      <c r="EQ31" s="3996"/>
      <c r="ER31" s="3996"/>
      <c r="ES31" s="3996"/>
      <c r="ET31" s="3996"/>
      <c r="EU31" s="3996"/>
      <c r="EV31" s="3996"/>
      <c r="EW31" s="3996"/>
      <c r="EX31" s="3996"/>
      <c r="EY31" s="3996"/>
      <c r="EZ31" s="3996"/>
      <c r="FA31" s="3996"/>
      <c r="FB31" s="3996"/>
      <c r="FC31" s="3996"/>
      <c r="FD31" s="3996"/>
      <c r="FE31" s="3996"/>
      <c r="FF31" s="3996"/>
      <c r="FG31" s="3996"/>
      <c r="FH31" s="3996"/>
      <c r="FI31" s="3996"/>
      <c r="FJ31" s="3996"/>
      <c r="FK31" s="3996"/>
      <c r="FL31" s="3996"/>
      <c r="FM31" s="3996"/>
      <c r="FN31" s="3996"/>
      <c r="FO31" s="3996"/>
      <c r="FP31" s="3996"/>
      <c r="FQ31" s="3996"/>
      <c r="FR31" s="3996"/>
      <c r="FS31" s="3996"/>
      <c r="FT31" s="3996"/>
      <c r="FU31" s="3996"/>
      <c r="FV31" s="3996"/>
      <c r="FW31" s="3996"/>
      <c r="FX31" s="3996"/>
      <c r="FY31" s="3996"/>
      <c r="FZ31" s="3996"/>
      <c r="GA31" s="515"/>
    </row>
    <row s="3305" customFormat="1" customHeight="1" ht="18.75" hidden="1">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45272.383726851855</v>
      </c>
      <c r="W32" s="2099"/>
      <c r="X32" s="2099"/>
      <c r="Y32" s="2099"/>
      <c r="Z32" s="2099"/>
      <c r="AA32" s="2099"/>
      <c r="AB32" s="322"/>
      <c r="AC32" s="2099" t="str">
        <f>IF(TITLE_DATE_PR_CHANGE="",IF(TITLE_DATE_PR="","",TITLE_DATE_PR),TITLE_DATE_PR_CHANGE)</f>
        <v>45272.383726851855</v>
      </c>
      <c r="AD32" s="2099"/>
      <c r="AE32" s="2099"/>
      <c r="AF32" s="2099"/>
      <c r="AG32" s="2099"/>
      <c r="AH32" s="2099"/>
      <c r="AI32" s="322"/>
      <c r="AJ32" s="3998" t="str">
        <f>IF(TITLE_DATE_PR_CHANGE="",IF(TITLE_DATE_PR="","",TITLE_DATE_PR),TITLE_DATE_PR_CHANGE)</f>
        <v>45272.383726851855</v>
      </c>
      <c r="AK32" s="3998"/>
      <c r="AL32" s="3998"/>
      <c r="AM32" s="3998"/>
      <c r="AN32" s="3998"/>
      <c r="AO32" s="3998"/>
      <c r="AP32" s="3513"/>
      <c r="AQ32" s="3998" t="str">
        <f>IF(TITLE_DATE_PR_CHANGE="",IF(TITLE_DATE_PR="","",TITLE_DATE_PR),TITLE_DATE_PR_CHANGE)</f>
        <v>45272.383726851855</v>
      </c>
      <c r="AR32" s="3998"/>
      <c r="AS32" s="3998"/>
      <c r="AT32" s="3998"/>
      <c r="AU32" s="3998"/>
      <c r="AV32" s="3998"/>
      <c r="AW32" s="3513"/>
      <c r="AX32" s="3998" t="str">
        <f>IF(TITLE_DATE_PR_CHANGE="",IF(TITLE_DATE_PR="","",TITLE_DATE_PR),TITLE_DATE_PR_CHANGE)</f>
        <v>45272.383726851855</v>
      </c>
      <c r="AY32" s="3998"/>
      <c r="AZ32" s="3998"/>
      <c r="BA32" s="3998"/>
      <c r="BB32" s="3998"/>
      <c r="BC32" s="3998"/>
      <c r="BD32" s="3513"/>
      <c r="BE32" s="3998" t="str">
        <f>IF(TITLE_DATE_PR_CHANGE="",IF(TITLE_DATE_PR="","",TITLE_DATE_PR),TITLE_DATE_PR_CHANGE)</f>
        <v>45272.383726851855</v>
      </c>
      <c r="BF32" s="3998"/>
      <c r="BG32" s="3998"/>
      <c r="BH32" s="3998"/>
      <c r="BI32" s="3998"/>
      <c r="BJ32" s="3998"/>
      <c r="BK32" s="3513"/>
      <c r="BL32" s="3998" t="str">
        <f>IF(TITLE_DATE_PR_CHANGE="",IF(TITLE_DATE_PR="","",TITLE_DATE_PR),TITLE_DATE_PR_CHANGE)</f>
        <v>45272.383726851855</v>
      </c>
      <c r="BM32" s="3998"/>
      <c r="BN32" s="3998"/>
      <c r="BO32" s="3998"/>
      <c r="BP32" s="3998"/>
      <c r="BQ32" s="3998"/>
      <c r="BR32" s="3513"/>
      <c r="BS32" s="3998" t="str">
        <f>IF(TITLE_DATE_PR_CHANGE="",IF(TITLE_DATE_PR="","",TITLE_DATE_PR),TITLE_DATE_PR_CHANGE)</f>
        <v>45272.383726851855</v>
      </c>
      <c r="BT32" s="3998"/>
      <c r="BU32" s="3998"/>
      <c r="BV32" s="3998"/>
      <c r="BW32" s="3998"/>
      <c r="BX32" s="3998"/>
      <c r="BY32" s="3513"/>
      <c r="BZ32" s="3998" t="str">
        <f>IF(TITLE_DATE_PR_CHANGE="",IF(TITLE_DATE_PR="","",TITLE_DATE_PR),TITLE_DATE_PR_CHANGE)</f>
        <v>45272.383726851855</v>
      </c>
      <c r="CA32" s="3998"/>
      <c r="CB32" s="3998"/>
      <c r="CC32" s="3998"/>
      <c r="CD32" s="3998"/>
      <c r="CE32" s="3998"/>
      <c r="CF32" s="3513"/>
      <c r="CG32" s="3998" t="str">
        <f>IF(TITLE_DATE_PR_CHANGE="",IF(TITLE_DATE_PR="","",TITLE_DATE_PR),TITLE_DATE_PR_CHANGE)</f>
        <v>45272.383726851855</v>
      </c>
      <c r="CH32" s="3998"/>
      <c r="CI32" s="3998"/>
      <c r="CJ32" s="3998"/>
      <c r="CK32" s="3998"/>
      <c r="CL32" s="3998"/>
      <c r="CM32" s="3513"/>
      <c r="CN32" s="3998" t="str">
        <f>IF(TITLE_DATE_PR_CHANGE="",IF(TITLE_DATE_PR="","",TITLE_DATE_PR),TITLE_DATE_PR_CHANGE)</f>
        <v>45272.383726851855</v>
      </c>
      <c r="CO32" s="3998"/>
      <c r="CP32" s="3998"/>
      <c r="CQ32" s="3998"/>
      <c r="CR32" s="3998"/>
      <c r="CS32" s="3998"/>
      <c r="CT32" s="3513"/>
      <c r="CU32" s="3998" t="str">
        <f>IF(TITLE_DATE_PR_CHANGE="",IF(TITLE_DATE_PR="","",TITLE_DATE_PR),TITLE_DATE_PR_CHANGE)</f>
        <v>45272.383726851855</v>
      </c>
      <c r="CV32" s="3998"/>
      <c r="CW32" s="3998"/>
      <c r="CX32" s="3998"/>
      <c r="CY32" s="3998"/>
      <c r="CZ32" s="3998"/>
      <c r="DA32" s="3513"/>
      <c r="DB32" s="3998" t="str">
        <f>IF(TITLE_DATE_PR_CHANGE="",IF(TITLE_DATE_PR="","",TITLE_DATE_PR),TITLE_DATE_PR_CHANGE)</f>
        <v>45272.383726851855</v>
      </c>
      <c r="DC32" s="3998"/>
      <c r="DD32" s="3998"/>
      <c r="DE32" s="3998"/>
      <c r="DF32" s="3998"/>
      <c r="DG32" s="3998"/>
      <c r="DH32" s="3513"/>
      <c r="DI32" s="3998" t="str">
        <f>IF(TITLE_DATE_PR_CHANGE="",IF(TITLE_DATE_PR="","",TITLE_DATE_PR),TITLE_DATE_PR_CHANGE)</f>
        <v>45272.383726851855</v>
      </c>
      <c r="DJ32" s="3998"/>
      <c r="DK32" s="3998"/>
      <c r="DL32" s="3998"/>
      <c r="DM32" s="3998"/>
      <c r="DN32" s="3998"/>
      <c r="DO32" s="3513"/>
      <c r="DP32" s="3998" t="str">
        <f>IF(TITLE_DATE_PR_CHANGE="",IF(TITLE_DATE_PR="","",TITLE_DATE_PR),TITLE_DATE_PR_CHANGE)</f>
        <v>45272.383726851855</v>
      </c>
      <c r="DQ32" s="3998"/>
      <c r="DR32" s="3998"/>
      <c r="DS32" s="3998"/>
      <c r="DT32" s="3998"/>
      <c r="DU32" s="3998"/>
      <c r="DV32" s="3513"/>
      <c r="DW32" s="3998" t="str">
        <f>IF(TITLE_DATE_PR_CHANGE="",IF(TITLE_DATE_PR="","",TITLE_DATE_PR),TITLE_DATE_PR_CHANGE)</f>
        <v>45272.383726851855</v>
      </c>
      <c r="DX32" s="3998"/>
      <c r="DY32" s="3998"/>
      <c r="DZ32" s="3998"/>
      <c r="EA32" s="3998"/>
      <c r="EB32" s="3998"/>
      <c r="EC32" s="3513"/>
      <c r="ED32" s="3998" t="str">
        <f>IF(TITLE_DATE_PR_CHANGE="",IF(TITLE_DATE_PR="","",TITLE_DATE_PR),TITLE_DATE_PR_CHANGE)</f>
        <v>45272.383726851855</v>
      </c>
      <c r="EE32" s="3998"/>
      <c r="EF32" s="3998"/>
      <c r="EG32" s="3998"/>
      <c r="EH32" s="3998"/>
      <c r="EI32" s="3998"/>
      <c r="EJ32" s="3513"/>
      <c r="EK32" s="3998" t="str">
        <f>IF(TITLE_DATE_PR_CHANGE="",IF(TITLE_DATE_PR="","",TITLE_DATE_PR),TITLE_DATE_PR_CHANGE)</f>
        <v>45272.383726851855</v>
      </c>
      <c r="EL32" s="3998"/>
      <c r="EM32" s="3998"/>
      <c r="EN32" s="3998"/>
      <c r="EO32" s="3998"/>
      <c r="EP32" s="3998"/>
      <c r="EQ32" s="3513"/>
      <c r="ER32" s="3998" t="str">
        <f>IF(TITLE_DATE_PR_CHANGE="",IF(TITLE_DATE_PR="","",TITLE_DATE_PR),TITLE_DATE_PR_CHANGE)</f>
        <v>45272.383726851855</v>
      </c>
      <c r="ES32" s="3998"/>
      <c r="ET32" s="3998"/>
      <c r="EU32" s="3998"/>
      <c r="EV32" s="3998"/>
      <c r="EW32" s="3998"/>
      <c r="EX32" s="3513"/>
      <c r="EY32" s="3998" t="str">
        <f>IF(TITLE_DATE_PR_CHANGE="",IF(TITLE_DATE_PR="","",TITLE_DATE_PR),TITLE_DATE_PR_CHANGE)</f>
        <v>45272.383726851855</v>
      </c>
      <c r="EZ32" s="3998"/>
      <c r="FA32" s="3998"/>
      <c r="FB32" s="3998"/>
      <c r="FC32" s="3998"/>
      <c r="FD32" s="3998"/>
      <c r="FE32" s="3513"/>
      <c r="FF32" s="3998" t="str">
        <f>IF(TITLE_DATE_PR_CHANGE="",IF(TITLE_DATE_PR="","",TITLE_DATE_PR),TITLE_DATE_PR_CHANGE)</f>
        <v>45272.383726851855</v>
      </c>
      <c r="FG32" s="3998"/>
      <c r="FH32" s="3998"/>
      <c r="FI32" s="3998"/>
      <c r="FJ32" s="3998"/>
      <c r="FK32" s="3998"/>
      <c r="FL32" s="3513"/>
      <c r="FM32" s="3998" t="str">
        <f>IF(TITLE_DATE_PR_CHANGE="",IF(TITLE_DATE_PR="","",TITLE_DATE_PR),TITLE_DATE_PR_CHANGE)</f>
        <v>45272.383726851855</v>
      </c>
      <c r="FN32" s="3998"/>
      <c r="FO32" s="3998"/>
      <c r="FP32" s="3998"/>
      <c r="FQ32" s="3998"/>
      <c r="FR32" s="3998"/>
      <c r="FS32" s="3513"/>
      <c r="FT32" s="3998" t="str">
        <f>IF(TITLE_DATE_PR_CHANGE="",IF(TITLE_DATE_PR="","",TITLE_DATE_PR),TITLE_DATE_PR_CHANGE)</f>
        <v>45272.383726851855</v>
      </c>
      <c r="FU32" s="3998"/>
      <c r="FV32" s="3998"/>
      <c r="FW32" s="3998"/>
      <c r="FX32" s="3998"/>
      <c r="FY32" s="3998"/>
      <c r="FZ32" s="3513"/>
      <c r="GA32" s="322"/>
      <c r="GB32" s="268"/>
      <c r="GC32" s="368"/>
      <c r="GD32" s="368"/>
      <c r="GE32" s="368"/>
      <c r="GF32" s="368"/>
      <c r="GG32" s="368"/>
    </row>
    <row s="3305" customFormat="1" customHeight="1" ht="18.75" hidden="1">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30/68</v>
      </c>
      <c r="W33" s="2100"/>
      <c r="X33" s="2100"/>
      <c r="Y33" s="2100"/>
      <c r="Z33" s="2100"/>
      <c r="AA33" s="2100"/>
      <c r="AB33" s="322"/>
      <c r="AC33" s="2100" t="str">
        <f>IF(TITLE_NUMBER_PR_CHANGE="",IF(TITLE_NUMBER_PR="","",TITLE_NUMBER_PR),TITLE_NUMBER_PR_CHANGE)</f>
        <v>30/68</v>
      </c>
      <c r="AD33" s="2100"/>
      <c r="AE33" s="2100"/>
      <c r="AF33" s="2100"/>
      <c r="AG33" s="2100"/>
      <c r="AH33" s="2100"/>
      <c r="AI33" s="322"/>
      <c r="AJ33" s="3997" t="str">
        <f>IF(TITLE_NUMBER_PR_CHANGE="",IF(TITLE_NUMBER_PR="","",TITLE_NUMBER_PR),TITLE_NUMBER_PR_CHANGE)</f>
        <v>30/68</v>
      </c>
      <c r="AK33" s="3997"/>
      <c r="AL33" s="3997"/>
      <c r="AM33" s="3997"/>
      <c r="AN33" s="3997"/>
      <c r="AO33" s="3997"/>
      <c r="AP33" s="3513"/>
      <c r="AQ33" s="3997" t="str">
        <f>IF(TITLE_NUMBER_PR_CHANGE="",IF(TITLE_NUMBER_PR="","",TITLE_NUMBER_PR),TITLE_NUMBER_PR_CHANGE)</f>
        <v>30/68</v>
      </c>
      <c r="AR33" s="3997"/>
      <c r="AS33" s="3997"/>
      <c r="AT33" s="3997"/>
      <c r="AU33" s="3997"/>
      <c r="AV33" s="3997"/>
      <c r="AW33" s="3513"/>
      <c r="AX33" s="3997" t="str">
        <f>IF(TITLE_NUMBER_PR_CHANGE="",IF(TITLE_NUMBER_PR="","",TITLE_NUMBER_PR),TITLE_NUMBER_PR_CHANGE)</f>
        <v>30/68</v>
      </c>
      <c r="AY33" s="3997"/>
      <c r="AZ33" s="3997"/>
      <c r="BA33" s="3997"/>
      <c r="BB33" s="3997"/>
      <c r="BC33" s="3997"/>
      <c r="BD33" s="3513"/>
      <c r="BE33" s="3997" t="str">
        <f>IF(TITLE_NUMBER_PR_CHANGE="",IF(TITLE_NUMBER_PR="","",TITLE_NUMBER_PR),TITLE_NUMBER_PR_CHANGE)</f>
        <v>30/68</v>
      </c>
      <c r="BF33" s="3997"/>
      <c r="BG33" s="3997"/>
      <c r="BH33" s="3997"/>
      <c r="BI33" s="3997"/>
      <c r="BJ33" s="3997"/>
      <c r="BK33" s="3513"/>
      <c r="BL33" s="3997" t="str">
        <f>IF(TITLE_NUMBER_PR_CHANGE="",IF(TITLE_NUMBER_PR="","",TITLE_NUMBER_PR),TITLE_NUMBER_PR_CHANGE)</f>
        <v>30/68</v>
      </c>
      <c r="BM33" s="3997"/>
      <c r="BN33" s="3997"/>
      <c r="BO33" s="3997"/>
      <c r="BP33" s="3997"/>
      <c r="BQ33" s="3997"/>
      <c r="BR33" s="3513"/>
      <c r="BS33" s="3997" t="str">
        <f>IF(TITLE_NUMBER_PR_CHANGE="",IF(TITLE_NUMBER_PR="","",TITLE_NUMBER_PR),TITLE_NUMBER_PR_CHANGE)</f>
        <v>30/68</v>
      </c>
      <c r="BT33" s="3997"/>
      <c r="BU33" s="3997"/>
      <c r="BV33" s="3997"/>
      <c r="BW33" s="3997"/>
      <c r="BX33" s="3997"/>
      <c r="BY33" s="3513"/>
      <c r="BZ33" s="3997" t="str">
        <f>IF(TITLE_NUMBER_PR_CHANGE="",IF(TITLE_NUMBER_PR="","",TITLE_NUMBER_PR),TITLE_NUMBER_PR_CHANGE)</f>
        <v>30/68</v>
      </c>
      <c r="CA33" s="3997"/>
      <c r="CB33" s="3997"/>
      <c r="CC33" s="3997"/>
      <c r="CD33" s="3997"/>
      <c r="CE33" s="3997"/>
      <c r="CF33" s="3513"/>
      <c r="CG33" s="3997" t="str">
        <f>IF(TITLE_NUMBER_PR_CHANGE="",IF(TITLE_NUMBER_PR="","",TITLE_NUMBER_PR),TITLE_NUMBER_PR_CHANGE)</f>
        <v>30/68</v>
      </c>
      <c r="CH33" s="3997"/>
      <c r="CI33" s="3997"/>
      <c r="CJ33" s="3997"/>
      <c r="CK33" s="3997"/>
      <c r="CL33" s="3997"/>
      <c r="CM33" s="3513"/>
      <c r="CN33" s="3997" t="str">
        <f>IF(TITLE_NUMBER_PR_CHANGE="",IF(TITLE_NUMBER_PR="","",TITLE_NUMBER_PR),TITLE_NUMBER_PR_CHANGE)</f>
        <v>30/68</v>
      </c>
      <c r="CO33" s="3997"/>
      <c r="CP33" s="3997"/>
      <c r="CQ33" s="3997"/>
      <c r="CR33" s="3997"/>
      <c r="CS33" s="3997"/>
      <c r="CT33" s="3513"/>
      <c r="CU33" s="3997" t="str">
        <f>IF(TITLE_NUMBER_PR_CHANGE="",IF(TITLE_NUMBER_PR="","",TITLE_NUMBER_PR),TITLE_NUMBER_PR_CHANGE)</f>
        <v>30/68</v>
      </c>
      <c r="CV33" s="3997"/>
      <c r="CW33" s="3997"/>
      <c r="CX33" s="3997"/>
      <c r="CY33" s="3997"/>
      <c r="CZ33" s="3997"/>
      <c r="DA33" s="3513"/>
      <c r="DB33" s="3997" t="str">
        <f>IF(TITLE_NUMBER_PR_CHANGE="",IF(TITLE_NUMBER_PR="","",TITLE_NUMBER_PR),TITLE_NUMBER_PR_CHANGE)</f>
        <v>30/68</v>
      </c>
      <c r="DC33" s="3997"/>
      <c r="DD33" s="3997"/>
      <c r="DE33" s="3997"/>
      <c r="DF33" s="3997"/>
      <c r="DG33" s="3997"/>
      <c r="DH33" s="3513"/>
      <c r="DI33" s="3997" t="str">
        <f>IF(TITLE_NUMBER_PR_CHANGE="",IF(TITLE_NUMBER_PR="","",TITLE_NUMBER_PR),TITLE_NUMBER_PR_CHANGE)</f>
        <v>30/68</v>
      </c>
      <c r="DJ33" s="3997"/>
      <c r="DK33" s="3997"/>
      <c r="DL33" s="3997"/>
      <c r="DM33" s="3997"/>
      <c r="DN33" s="3997"/>
      <c r="DO33" s="3513"/>
      <c r="DP33" s="3997" t="str">
        <f>IF(TITLE_NUMBER_PR_CHANGE="",IF(TITLE_NUMBER_PR="","",TITLE_NUMBER_PR),TITLE_NUMBER_PR_CHANGE)</f>
        <v>30/68</v>
      </c>
      <c r="DQ33" s="3997"/>
      <c r="DR33" s="3997"/>
      <c r="DS33" s="3997"/>
      <c r="DT33" s="3997"/>
      <c r="DU33" s="3997"/>
      <c r="DV33" s="3513"/>
      <c r="DW33" s="3997" t="str">
        <f>IF(TITLE_NUMBER_PR_CHANGE="",IF(TITLE_NUMBER_PR="","",TITLE_NUMBER_PR),TITLE_NUMBER_PR_CHANGE)</f>
        <v>30/68</v>
      </c>
      <c r="DX33" s="3997"/>
      <c r="DY33" s="3997"/>
      <c r="DZ33" s="3997"/>
      <c r="EA33" s="3997"/>
      <c r="EB33" s="3997"/>
      <c r="EC33" s="3513"/>
      <c r="ED33" s="3997" t="str">
        <f>IF(TITLE_NUMBER_PR_CHANGE="",IF(TITLE_NUMBER_PR="","",TITLE_NUMBER_PR),TITLE_NUMBER_PR_CHANGE)</f>
        <v>30/68</v>
      </c>
      <c r="EE33" s="3997"/>
      <c r="EF33" s="3997"/>
      <c r="EG33" s="3997"/>
      <c r="EH33" s="3997"/>
      <c r="EI33" s="3997"/>
      <c r="EJ33" s="3513"/>
      <c r="EK33" s="3997" t="str">
        <f>IF(TITLE_NUMBER_PR_CHANGE="",IF(TITLE_NUMBER_PR="","",TITLE_NUMBER_PR),TITLE_NUMBER_PR_CHANGE)</f>
        <v>30/68</v>
      </c>
      <c r="EL33" s="3997"/>
      <c r="EM33" s="3997"/>
      <c r="EN33" s="3997"/>
      <c r="EO33" s="3997"/>
      <c r="EP33" s="3997"/>
      <c r="EQ33" s="3513"/>
      <c r="ER33" s="3997" t="str">
        <f>IF(TITLE_NUMBER_PR_CHANGE="",IF(TITLE_NUMBER_PR="","",TITLE_NUMBER_PR),TITLE_NUMBER_PR_CHANGE)</f>
        <v>30/68</v>
      </c>
      <c r="ES33" s="3997"/>
      <c r="ET33" s="3997"/>
      <c r="EU33" s="3997"/>
      <c r="EV33" s="3997"/>
      <c r="EW33" s="3997"/>
      <c r="EX33" s="3513"/>
      <c r="EY33" s="3997" t="str">
        <f>IF(TITLE_NUMBER_PR_CHANGE="",IF(TITLE_NUMBER_PR="","",TITLE_NUMBER_PR),TITLE_NUMBER_PR_CHANGE)</f>
        <v>30/68</v>
      </c>
      <c r="EZ33" s="3997"/>
      <c r="FA33" s="3997"/>
      <c r="FB33" s="3997"/>
      <c r="FC33" s="3997"/>
      <c r="FD33" s="3997"/>
      <c r="FE33" s="3513"/>
      <c r="FF33" s="3997" t="str">
        <f>IF(TITLE_NUMBER_PR_CHANGE="",IF(TITLE_NUMBER_PR="","",TITLE_NUMBER_PR),TITLE_NUMBER_PR_CHANGE)</f>
        <v>30/68</v>
      </c>
      <c r="FG33" s="3997"/>
      <c r="FH33" s="3997"/>
      <c r="FI33" s="3997"/>
      <c r="FJ33" s="3997"/>
      <c r="FK33" s="3997"/>
      <c r="FL33" s="3513"/>
      <c r="FM33" s="3997" t="str">
        <f>IF(TITLE_NUMBER_PR_CHANGE="",IF(TITLE_NUMBER_PR="","",TITLE_NUMBER_PR),TITLE_NUMBER_PR_CHANGE)</f>
        <v>30/68</v>
      </c>
      <c r="FN33" s="3997"/>
      <c r="FO33" s="3997"/>
      <c r="FP33" s="3997"/>
      <c r="FQ33" s="3997"/>
      <c r="FR33" s="3997"/>
      <c r="FS33" s="3513"/>
      <c r="FT33" s="3997" t="str">
        <f>IF(TITLE_NUMBER_PR_CHANGE="",IF(TITLE_NUMBER_PR="","",TITLE_NUMBER_PR),TITLE_NUMBER_PR_CHANGE)</f>
        <v>30/68</v>
      </c>
      <c r="FU33" s="3997"/>
      <c r="FV33" s="3997"/>
      <c r="FW33" s="3997"/>
      <c r="FX33" s="3997"/>
      <c r="FY33" s="3997"/>
      <c r="FZ33" s="3513"/>
      <c r="GA33" s="322"/>
      <c r="GB33" s="268"/>
      <c r="GC33" s="368"/>
      <c r="GD33" s="368"/>
      <c r="GE33" s="368"/>
      <c r="GF33" s="368"/>
      <c r="GG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415</v>
      </c>
      <c r="AC34" s="322"/>
      <c r="AD34" s="322"/>
      <c r="AE34" s="322"/>
      <c r="AF34" s="322"/>
      <c r="AG34" s="322"/>
      <c r="AH34" s="322"/>
      <c r="AI34" s="266" t="s">
        <v>415</v>
      </c>
      <c r="AJ34" s="3513"/>
      <c r="AK34" s="3513"/>
      <c r="AL34" s="3513"/>
      <c r="AM34" s="3513"/>
      <c r="AN34" s="3513"/>
      <c r="AO34" s="3513"/>
      <c r="AP34" s="4000" t="s">
        <v>415</v>
      </c>
      <c r="AQ34" s="3513"/>
      <c r="AR34" s="3513"/>
      <c r="AS34" s="3513"/>
      <c r="AT34" s="3513"/>
      <c r="AU34" s="3513"/>
      <c r="AV34" s="3513"/>
      <c r="AW34" s="4000" t="s">
        <v>415</v>
      </c>
      <c r="AX34" s="3513"/>
      <c r="AY34" s="3513"/>
      <c r="AZ34" s="3513"/>
      <c r="BA34" s="3513"/>
      <c r="BB34" s="3513"/>
      <c r="BC34" s="3513"/>
      <c r="BD34" s="4000" t="s">
        <v>415</v>
      </c>
      <c r="BE34" s="3513"/>
      <c r="BF34" s="3513"/>
      <c r="BG34" s="3513"/>
      <c r="BH34" s="3513"/>
      <c r="BI34" s="3513"/>
      <c r="BJ34" s="3513"/>
      <c r="BK34" s="4000" t="s">
        <v>415</v>
      </c>
      <c r="BL34" s="3513"/>
      <c r="BM34" s="3513"/>
      <c r="BN34" s="3513"/>
      <c r="BO34" s="3513"/>
      <c r="BP34" s="3513"/>
      <c r="BQ34" s="3513"/>
      <c r="BR34" s="4000" t="s">
        <v>415</v>
      </c>
      <c r="BS34" s="3513"/>
      <c r="BT34" s="3513"/>
      <c r="BU34" s="3513"/>
      <c r="BV34" s="3513"/>
      <c r="BW34" s="3513"/>
      <c r="BX34" s="3513"/>
      <c r="BY34" s="4000" t="s">
        <v>415</v>
      </c>
      <c r="BZ34" s="3513"/>
      <c r="CA34" s="3513"/>
      <c r="CB34" s="3513"/>
      <c r="CC34" s="3513"/>
      <c r="CD34" s="3513"/>
      <c r="CE34" s="3513"/>
      <c r="CF34" s="4000" t="s">
        <v>415</v>
      </c>
      <c r="CG34" s="3513"/>
      <c r="CH34" s="3513"/>
      <c r="CI34" s="3513"/>
      <c r="CJ34" s="3513"/>
      <c r="CK34" s="3513"/>
      <c r="CL34" s="3513"/>
      <c r="CM34" s="4000" t="s">
        <v>415</v>
      </c>
      <c r="CN34" s="3513"/>
      <c r="CO34" s="3513"/>
      <c r="CP34" s="3513"/>
      <c r="CQ34" s="3513"/>
      <c r="CR34" s="3513"/>
      <c r="CS34" s="3513"/>
      <c r="CT34" s="4000" t="s">
        <v>415</v>
      </c>
      <c r="CU34" s="3513"/>
      <c r="CV34" s="3513"/>
      <c r="CW34" s="3513"/>
      <c r="CX34" s="3513"/>
      <c r="CY34" s="3513"/>
      <c r="CZ34" s="3513"/>
      <c r="DA34" s="4000" t="s">
        <v>415</v>
      </c>
      <c r="DB34" s="3513"/>
      <c r="DC34" s="3513"/>
      <c r="DD34" s="3513"/>
      <c r="DE34" s="3513"/>
      <c r="DF34" s="3513"/>
      <c r="DG34" s="3513"/>
      <c r="DH34" s="4000" t="s">
        <v>415</v>
      </c>
      <c r="DI34" s="3513"/>
      <c r="DJ34" s="3513"/>
      <c r="DK34" s="3513"/>
      <c r="DL34" s="3513"/>
      <c r="DM34" s="3513"/>
      <c r="DN34" s="3513"/>
      <c r="DO34" s="4000" t="s">
        <v>415</v>
      </c>
      <c r="DP34" s="3513"/>
      <c r="DQ34" s="3513"/>
      <c r="DR34" s="3513"/>
      <c r="DS34" s="3513"/>
      <c r="DT34" s="3513"/>
      <c r="DU34" s="3513"/>
      <c r="DV34" s="4000" t="s">
        <v>415</v>
      </c>
      <c r="DW34" s="3513"/>
      <c r="DX34" s="3513"/>
      <c r="DY34" s="3513"/>
      <c r="DZ34" s="3513"/>
      <c r="EA34" s="3513"/>
      <c r="EB34" s="3513"/>
      <c r="EC34" s="4000" t="s">
        <v>415</v>
      </c>
      <c r="ED34" s="3513"/>
      <c r="EE34" s="3513"/>
      <c r="EF34" s="3513"/>
      <c r="EG34" s="3513"/>
      <c r="EH34" s="3513"/>
      <c r="EI34" s="3513"/>
      <c r="EJ34" s="4000" t="s">
        <v>415</v>
      </c>
      <c r="EK34" s="3513"/>
      <c r="EL34" s="3513"/>
      <c r="EM34" s="3513"/>
      <c r="EN34" s="3513"/>
      <c r="EO34" s="3513"/>
      <c r="EP34" s="3513"/>
      <c r="EQ34" s="4000" t="s">
        <v>415</v>
      </c>
      <c r="ER34" s="3513"/>
      <c r="ES34" s="3513"/>
      <c r="ET34" s="3513"/>
      <c r="EU34" s="3513"/>
      <c r="EV34" s="3513"/>
      <c r="EW34" s="3513"/>
      <c r="EX34" s="4000" t="s">
        <v>415</v>
      </c>
      <c r="EY34" s="3513"/>
      <c r="EZ34" s="3513"/>
      <c r="FA34" s="3513"/>
      <c r="FB34" s="3513"/>
      <c r="FC34" s="3513"/>
      <c r="FD34" s="3513"/>
      <c r="FE34" s="4000" t="s">
        <v>415</v>
      </c>
      <c r="FF34" s="3513"/>
      <c r="FG34" s="3513"/>
      <c r="FH34" s="3513"/>
      <c r="FI34" s="3513"/>
      <c r="FJ34" s="3513"/>
      <c r="FK34" s="3513"/>
      <c r="FL34" s="4000" t="s">
        <v>415</v>
      </c>
      <c r="FM34" s="3513"/>
      <c r="FN34" s="3513"/>
      <c r="FO34" s="3513"/>
      <c r="FP34" s="3513"/>
      <c r="FQ34" s="3513"/>
      <c r="FR34" s="3513"/>
      <c r="FS34" s="4000" t="s">
        <v>415</v>
      </c>
      <c r="FT34" s="3513"/>
      <c r="FU34" s="3513"/>
      <c r="FV34" s="3513"/>
      <c r="FW34" s="3513"/>
      <c r="FX34" s="3513"/>
      <c r="FY34" s="3513"/>
      <c r="FZ34" s="4000" t="s">
        <v>415</v>
      </c>
      <c r="GC34" s="368"/>
      <c r="GD34" s="368"/>
      <c r="GE34" s="368"/>
      <c r="GF34" s="368"/>
      <c r="GG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c r="AJ35" s="4001" t="s">
        <v>476</v>
      </c>
      <c r="AK35" s="4001"/>
      <c r="AL35" s="4001"/>
      <c r="AM35" s="4001"/>
      <c r="AN35" s="4001"/>
      <c r="AO35" s="4001"/>
      <c r="AP35" s="4001"/>
      <c r="AQ35" s="4001" t="s">
        <v>476</v>
      </c>
      <c r="AR35" s="4001"/>
      <c r="AS35" s="4001"/>
      <c r="AT35" s="4001"/>
      <c r="AU35" s="4001"/>
      <c r="AV35" s="4001"/>
      <c r="AW35" s="4001"/>
      <c r="AX35" s="4001" t="s">
        <v>476</v>
      </c>
      <c r="AY35" s="4001"/>
      <c r="AZ35" s="4001"/>
      <c r="BA35" s="4001"/>
      <c r="BB35" s="4001"/>
      <c r="BC35" s="4001"/>
      <c r="BD35" s="4001"/>
      <c r="BE35" s="4001" t="s">
        <v>476</v>
      </c>
      <c r="BF35" s="4001"/>
      <c r="BG35" s="4001"/>
      <c r="BH35" s="4001"/>
      <c r="BI35" s="4001"/>
      <c r="BJ35" s="4001"/>
      <c r="BK35" s="4001"/>
      <c r="BL35" s="4001" t="s">
        <v>476</v>
      </c>
      <c r="BM35" s="4001"/>
      <c r="BN35" s="4001"/>
      <c r="BO35" s="4001"/>
      <c r="BP35" s="4001"/>
      <c r="BQ35" s="4001"/>
      <c r="BR35" s="4001"/>
      <c r="BS35" s="4001" t="s">
        <v>476</v>
      </c>
      <c r="BT35" s="4001"/>
      <c r="BU35" s="4001"/>
      <c r="BV35" s="4001"/>
      <c r="BW35" s="4001"/>
      <c r="BX35" s="4001"/>
      <c r="BY35" s="4001"/>
      <c r="BZ35" s="4001" t="s">
        <v>476</v>
      </c>
      <c r="CA35" s="4001"/>
      <c r="CB35" s="4001"/>
      <c r="CC35" s="4001"/>
      <c r="CD35" s="4001"/>
      <c r="CE35" s="4001"/>
      <c r="CF35" s="4001"/>
      <c r="CG35" s="4001" t="s">
        <v>476</v>
      </c>
      <c r="CH35" s="4001"/>
      <c r="CI35" s="4001"/>
      <c r="CJ35" s="4001"/>
      <c r="CK35" s="4001"/>
      <c r="CL35" s="4001"/>
      <c r="CM35" s="4001"/>
      <c r="CN35" s="4001" t="s">
        <v>476</v>
      </c>
      <c r="CO35" s="4001"/>
      <c r="CP35" s="4001"/>
      <c r="CQ35" s="4001"/>
      <c r="CR35" s="4001"/>
      <c r="CS35" s="4001"/>
      <c r="CT35" s="4001"/>
      <c r="CU35" s="4001" t="s">
        <v>476</v>
      </c>
      <c r="CV35" s="4001"/>
      <c r="CW35" s="4001"/>
      <c r="CX35" s="4001"/>
      <c r="CY35" s="4001"/>
      <c r="CZ35" s="4001"/>
      <c r="DA35" s="4001"/>
      <c r="DB35" s="4001" t="s">
        <v>476</v>
      </c>
      <c r="DC35" s="4001"/>
      <c r="DD35" s="4001"/>
      <c r="DE35" s="4001"/>
      <c r="DF35" s="4001"/>
      <c r="DG35" s="4001"/>
      <c r="DH35" s="4001"/>
      <c r="DI35" s="4001" t="s">
        <v>476</v>
      </c>
      <c r="DJ35" s="4001"/>
      <c r="DK35" s="4001"/>
      <c r="DL35" s="4001"/>
      <c r="DM35" s="4001"/>
      <c r="DN35" s="4001"/>
      <c r="DO35" s="4001"/>
      <c r="DP35" s="4001" t="s">
        <v>476</v>
      </c>
      <c r="DQ35" s="4001"/>
      <c r="DR35" s="4001"/>
      <c r="DS35" s="4001"/>
      <c r="DT35" s="4001"/>
      <c r="DU35" s="4001"/>
      <c r="DV35" s="4001"/>
      <c r="DW35" s="4001" t="s">
        <v>476</v>
      </c>
      <c r="DX35" s="4001"/>
      <c r="DY35" s="4001"/>
      <c r="DZ35" s="4001"/>
      <c r="EA35" s="4001"/>
      <c r="EB35" s="4001"/>
      <c r="EC35" s="4001"/>
      <c r="ED35" s="4001" t="s">
        <v>476</v>
      </c>
      <c r="EE35" s="4001"/>
      <c r="EF35" s="4001"/>
      <c r="EG35" s="4001"/>
      <c r="EH35" s="4001"/>
      <c r="EI35" s="4001"/>
      <c r="EJ35" s="4001"/>
      <c r="EK35" s="4001" t="s">
        <v>476</v>
      </c>
      <c r="EL35" s="4001"/>
      <c r="EM35" s="4001"/>
      <c r="EN35" s="4001"/>
      <c r="EO35" s="4001"/>
      <c r="EP35" s="4001"/>
      <c r="EQ35" s="4001"/>
      <c r="ER35" s="4001" t="s">
        <v>476</v>
      </c>
      <c r="ES35" s="4001"/>
      <c r="ET35" s="4001"/>
      <c r="EU35" s="4001"/>
      <c r="EV35" s="4001"/>
      <c r="EW35" s="4001"/>
      <c r="EX35" s="4001"/>
      <c r="EY35" s="4001" t="s">
        <v>476</v>
      </c>
      <c r="EZ35" s="4001"/>
      <c r="FA35" s="4001"/>
      <c r="FB35" s="4001"/>
      <c r="FC35" s="4001"/>
      <c r="FD35" s="4001"/>
      <c r="FE35" s="4001"/>
      <c r="FF35" s="4001" t="s">
        <v>476</v>
      </c>
      <c r="FG35" s="4001"/>
      <c r="FH35" s="4001"/>
      <c r="FI35" s="4001"/>
      <c r="FJ35" s="4001"/>
      <c r="FK35" s="4001"/>
      <c r="FL35" s="4001"/>
      <c r="FM35" s="4001" t="s">
        <v>476</v>
      </c>
      <c r="FN35" s="4001"/>
      <c r="FO35" s="4001"/>
      <c r="FP35" s="4001"/>
      <c r="FQ35" s="4001"/>
      <c r="FR35" s="4001"/>
      <c r="FS35" s="4001"/>
      <c r="FT35" s="4001" t="s">
        <v>476</v>
      </c>
      <c r="FU35" s="4001"/>
      <c r="FV35" s="4001"/>
      <c r="FW35" s="4001"/>
      <c r="FX35" s="4001"/>
      <c r="FY35" s="4001"/>
      <c r="FZ35" s="4001"/>
    </row>
    <row customHeight="1" ht="14.25">
      <c r="Q36" s="377"/>
      <c r="R36" s="377"/>
      <c r="S36" s="1971" t="s">
        <v>288</v>
      </c>
      <c r="T36" s="1971"/>
      <c r="U36" s="1971"/>
      <c r="V36" s="1971"/>
      <c r="W36" s="1971"/>
      <c r="X36" s="1971"/>
      <c r="Y36" s="1971"/>
      <c r="Z36" s="1971"/>
      <c r="AA36" s="1971"/>
      <c r="AB36" s="1971"/>
      <c r="AC36" s="1971"/>
      <c r="AD36" s="1971"/>
      <c r="AE36" s="1971"/>
      <c r="AF36" s="1971"/>
      <c r="AG36" s="1971"/>
      <c r="AH36" s="1971"/>
      <c r="AI36" s="1971"/>
      <c r="AJ36" s="4002" t="s">
        <v>288</v>
      </c>
      <c r="AK36" s="4002"/>
      <c r="AL36" s="4002"/>
      <c r="AM36" s="4002"/>
      <c r="AN36" s="4002"/>
      <c r="AO36" s="4002"/>
      <c r="AP36" s="4002"/>
      <c r="AQ36" s="4002" t="s">
        <v>288</v>
      </c>
      <c r="AR36" s="4002"/>
      <c r="AS36" s="4002"/>
      <c r="AT36" s="4002"/>
      <c r="AU36" s="4002"/>
      <c r="AV36" s="4002"/>
      <c r="AW36" s="4002"/>
      <c r="AX36" s="4002" t="s">
        <v>288</v>
      </c>
      <c r="AY36" s="4002"/>
      <c r="AZ36" s="4002"/>
      <c r="BA36" s="4002"/>
      <c r="BB36" s="4002"/>
      <c r="BC36" s="4002"/>
      <c r="BD36" s="4002"/>
      <c r="BE36" s="4002" t="s">
        <v>288</v>
      </c>
      <c r="BF36" s="4002"/>
      <c r="BG36" s="4002"/>
      <c r="BH36" s="4002"/>
      <c r="BI36" s="4002"/>
      <c r="BJ36" s="4002"/>
      <c r="BK36" s="4002"/>
      <c r="BL36" s="4002" t="s">
        <v>288</v>
      </c>
      <c r="BM36" s="4002"/>
      <c r="BN36" s="4002"/>
      <c r="BO36" s="4002"/>
      <c r="BP36" s="4002"/>
      <c r="BQ36" s="4002"/>
      <c r="BR36" s="4002"/>
      <c r="BS36" s="4002" t="s">
        <v>288</v>
      </c>
      <c r="BT36" s="4002"/>
      <c r="BU36" s="4002"/>
      <c r="BV36" s="4002"/>
      <c r="BW36" s="4002"/>
      <c r="BX36" s="4002"/>
      <c r="BY36" s="4002"/>
      <c r="BZ36" s="4002" t="s">
        <v>288</v>
      </c>
      <c r="CA36" s="4002"/>
      <c r="CB36" s="4002"/>
      <c r="CC36" s="4002"/>
      <c r="CD36" s="4002"/>
      <c r="CE36" s="4002"/>
      <c r="CF36" s="4002"/>
      <c r="CG36" s="4002" t="s">
        <v>288</v>
      </c>
      <c r="CH36" s="4002"/>
      <c r="CI36" s="4002"/>
      <c r="CJ36" s="4002"/>
      <c r="CK36" s="4002"/>
      <c r="CL36" s="4002"/>
      <c r="CM36" s="4002"/>
      <c r="CN36" s="4002" t="s">
        <v>288</v>
      </c>
      <c r="CO36" s="4002"/>
      <c r="CP36" s="4002"/>
      <c r="CQ36" s="4002"/>
      <c r="CR36" s="4002"/>
      <c r="CS36" s="4002"/>
      <c r="CT36" s="4002"/>
      <c r="CU36" s="4002" t="s">
        <v>288</v>
      </c>
      <c r="CV36" s="4002"/>
      <c r="CW36" s="4002"/>
      <c r="CX36" s="4002"/>
      <c r="CY36" s="4002"/>
      <c r="CZ36" s="4002"/>
      <c r="DA36" s="4002"/>
      <c r="DB36" s="4002" t="s">
        <v>288</v>
      </c>
      <c r="DC36" s="4002"/>
      <c r="DD36" s="4002"/>
      <c r="DE36" s="4002"/>
      <c r="DF36" s="4002"/>
      <c r="DG36" s="4002"/>
      <c r="DH36" s="4002"/>
      <c r="DI36" s="4002" t="s">
        <v>288</v>
      </c>
      <c r="DJ36" s="4002"/>
      <c r="DK36" s="4002"/>
      <c r="DL36" s="4002"/>
      <c r="DM36" s="4002"/>
      <c r="DN36" s="4002"/>
      <c r="DO36" s="4002"/>
      <c r="DP36" s="4002" t="s">
        <v>288</v>
      </c>
      <c r="DQ36" s="4002"/>
      <c r="DR36" s="4002"/>
      <c r="DS36" s="4002"/>
      <c r="DT36" s="4002"/>
      <c r="DU36" s="4002"/>
      <c r="DV36" s="4002"/>
      <c r="DW36" s="4002" t="s">
        <v>288</v>
      </c>
      <c r="DX36" s="4002"/>
      <c r="DY36" s="4002"/>
      <c r="DZ36" s="4002"/>
      <c r="EA36" s="4002"/>
      <c r="EB36" s="4002"/>
      <c r="EC36" s="4002"/>
      <c r="ED36" s="4002" t="s">
        <v>288</v>
      </c>
      <c r="EE36" s="4002"/>
      <c r="EF36" s="4002"/>
      <c r="EG36" s="4002"/>
      <c r="EH36" s="4002"/>
      <c r="EI36" s="4002"/>
      <c r="EJ36" s="4002"/>
      <c r="EK36" s="4002" t="s">
        <v>288</v>
      </c>
      <c r="EL36" s="4002"/>
      <c r="EM36" s="4002"/>
      <c r="EN36" s="4002"/>
      <c r="EO36" s="4002"/>
      <c r="EP36" s="4002"/>
      <c r="EQ36" s="4002"/>
      <c r="ER36" s="4002" t="s">
        <v>288</v>
      </c>
      <c r="ES36" s="4002"/>
      <c r="ET36" s="4002"/>
      <c r="EU36" s="4002"/>
      <c r="EV36" s="4002"/>
      <c r="EW36" s="4002"/>
      <c r="EX36" s="4002"/>
      <c r="EY36" s="4002" t="s">
        <v>288</v>
      </c>
      <c r="EZ36" s="4002"/>
      <c r="FA36" s="4002"/>
      <c r="FB36" s="4002"/>
      <c r="FC36" s="4002"/>
      <c r="FD36" s="4002"/>
      <c r="FE36" s="4002"/>
      <c r="FF36" s="4002" t="s">
        <v>288</v>
      </c>
      <c r="FG36" s="4002"/>
      <c r="FH36" s="4002"/>
      <c r="FI36" s="4002"/>
      <c r="FJ36" s="4002"/>
      <c r="FK36" s="4002"/>
      <c r="FL36" s="4002"/>
      <c r="FM36" s="4002" t="s">
        <v>288</v>
      </c>
      <c r="FN36" s="4002"/>
      <c r="FO36" s="4002"/>
      <c r="FP36" s="4002"/>
      <c r="FQ36" s="4002"/>
      <c r="FR36" s="4002"/>
      <c r="FS36" s="4002"/>
      <c r="FT36" s="4002" t="s">
        <v>288</v>
      </c>
      <c r="FU36" s="4002"/>
      <c r="FV36" s="4002"/>
      <c r="FW36" s="4002"/>
      <c r="FX36" s="4002"/>
      <c r="FY36" s="4002"/>
      <c r="FZ36" s="4002"/>
      <c r="GA36" s="1971"/>
      <c r="GB36" s="1971"/>
    </row>
    <row customHeight="1" ht="14.25">
      <c r="Q37" s="377"/>
      <c r="R37" s="377"/>
      <c r="S37" s="2125" t="s">
        <v>86</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4003" t="s">
        <v>417</v>
      </c>
      <c r="AK37" s="4004"/>
      <c r="AL37" s="4004"/>
      <c r="AM37" s="4004"/>
      <c r="AN37" s="4004"/>
      <c r="AO37" s="4005"/>
      <c r="AP37" s="4006" t="s">
        <v>418</v>
      </c>
      <c r="AQ37" s="4003" t="s">
        <v>417</v>
      </c>
      <c r="AR37" s="4004"/>
      <c r="AS37" s="4004"/>
      <c r="AT37" s="4004"/>
      <c r="AU37" s="4004"/>
      <c r="AV37" s="4005"/>
      <c r="AW37" s="4006" t="s">
        <v>418</v>
      </c>
      <c r="AX37" s="4003" t="s">
        <v>417</v>
      </c>
      <c r="AY37" s="4004"/>
      <c r="AZ37" s="4004"/>
      <c r="BA37" s="4004"/>
      <c r="BB37" s="4004"/>
      <c r="BC37" s="4005"/>
      <c r="BD37" s="4006" t="s">
        <v>418</v>
      </c>
      <c r="BE37" s="4003" t="s">
        <v>417</v>
      </c>
      <c r="BF37" s="4004"/>
      <c r="BG37" s="4004"/>
      <c r="BH37" s="4004"/>
      <c r="BI37" s="4004"/>
      <c r="BJ37" s="4005"/>
      <c r="BK37" s="4006" t="s">
        <v>418</v>
      </c>
      <c r="BL37" s="4003" t="s">
        <v>417</v>
      </c>
      <c r="BM37" s="4004"/>
      <c r="BN37" s="4004"/>
      <c r="BO37" s="4004"/>
      <c r="BP37" s="4004"/>
      <c r="BQ37" s="4005"/>
      <c r="BR37" s="4006" t="s">
        <v>418</v>
      </c>
      <c r="BS37" s="4003" t="s">
        <v>417</v>
      </c>
      <c r="BT37" s="4004"/>
      <c r="BU37" s="4004"/>
      <c r="BV37" s="4004"/>
      <c r="BW37" s="4004"/>
      <c r="BX37" s="4005"/>
      <c r="BY37" s="4006" t="s">
        <v>418</v>
      </c>
      <c r="BZ37" s="4003" t="s">
        <v>417</v>
      </c>
      <c r="CA37" s="4004"/>
      <c r="CB37" s="4004"/>
      <c r="CC37" s="4004"/>
      <c r="CD37" s="4004"/>
      <c r="CE37" s="4005"/>
      <c r="CF37" s="4006" t="s">
        <v>418</v>
      </c>
      <c r="CG37" s="4003" t="s">
        <v>417</v>
      </c>
      <c r="CH37" s="4004"/>
      <c r="CI37" s="4004"/>
      <c r="CJ37" s="4004"/>
      <c r="CK37" s="4004"/>
      <c r="CL37" s="4005"/>
      <c r="CM37" s="4006" t="s">
        <v>418</v>
      </c>
      <c r="CN37" s="4003" t="s">
        <v>417</v>
      </c>
      <c r="CO37" s="4004"/>
      <c r="CP37" s="4004"/>
      <c r="CQ37" s="4004"/>
      <c r="CR37" s="4004"/>
      <c r="CS37" s="4005"/>
      <c r="CT37" s="4006" t="s">
        <v>418</v>
      </c>
      <c r="CU37" s="4003" t="s">
        <v>417</v>
      </c>
      <c r="CV37" s="4004"/>
      <c r="CW37" s="4004"/>
      <c r="CX37" s="4004"/>
      <c r="CY37" s="4004"/>
      <c r="CZ37" s="4005"/>
      <c r="DA37" s="4006" t="s">
        <v>418</v>
      </c>
      <c r="DB37" s="4003" t="s">
        <v>417</v>
      </c>
      <c r="DC37" s="4004"/>
      <c r="DD37" s="4004"/>
      <c r="DE37" s="4004"/>
      <c r="DF37" s="4004"/>
      <c r="DG37" s="4005"/>
      <c r="DH37" s="4006" t="s">
        <v>418</v>
      </c>
      <c r="DI37" s="4003" t="s">
        <v>417</v>
      </c>
      <c r="DJ37" s="4004"/>
      <c r="DK37" s="4004"/>
      <c r="DL37" s="4004"/>
      <c r="DM37" s="4004"/>
      <c r="DN37" s="4005"/>
      <c r="DO37" s="4006" t="s">
        <v>418</v>
      </c>
      <c r="DP37" s="4003" t="s">
        <v>417</v>
      </c>
      <c r="DQ37" s="4004"/>
      <c r="DR37" s="4004"/>
      <c r="DS37" s="4004"/>
      <c r="DT37" s="4004"/>
      <c r="DU37" s="4005"/>
      <c r="DV37" s="4006" t="s">
        <v>418</v>
      </c>
      <c r="DW37" s="4003" t="s">
        <v>417</v>
      </c>
      <c r="DX37" s="4004"/>
      <c r="DY37" s="4004"/>
      <c r="DZ37" s="4004"/>
      <c r="EA37" s="4004"/>
      <c r="EB37" s="4005"/>
      <c r="EC37" s="4006" t="s">
        <v>418</v>
      </c>
      <c r="ED37" s="4003" t="s">
        <v>417</v>
      </c>
      <c r="EE37" s="4004"/>
      <c r="EF37" s="4004"/>
      <c r="EG37" s="4004"/>
      <c r="EH37" s="4004"/>
      <c r="EI37" s="4005"/>
      <c r="EJ37" s="4006" t="s">
        <v>418</v>
      </c>
      <c r="EK37" s="4003" t="s">
        <v>417</v>
      </c>
      <c r="EL37" s="4004"/>
      <c r="EM37" s="4004"/>
      <c r="EN37" s="4004"/>
      <c r="EO37" s="4004"/>
      <c r="EP37" s="4005"/>
      <c r="EQ37" s="4006" t="s">
        <v>418</v>
      </c>
      <c r="ER37" s="4003" t="s">
        <v>417</v>
      </c>
      <c r="ES37" s="4004"/>
      <c r="ET37" s="4004"/>
      <c r="EU37" s="4004"/>
      <c r="EV37" s="4004"/>
      <c r="EW37" s="4005"/>
      <c r="EX37" s="4006" t="s">
        <v>418</v>
      </c>
      <c r="EY37" s="4003" t="s">
        <v>417</v>
      </c>
      <c r="EZ37" s="4004"/>
      <c r="FA37" s="4004"/>
      <c r="FB37" s="4004"/>
      <c r="FC37" s="4004"/>
      <c r="FD37" s="4005"/>
      <c r="FE37" s="4006" t="s">
        <v>418</v>
      </c>
      <c r="FF37" s="4003" t="s">
        <v>417</v>
      </c>
      <c r="FG37" s="4004"/>
      <c r="FH37" s="4004"/>
      <c r="FI37" s="4004"/>
      <c r="FJ37" s="4004"/>
      <c r="FK37" s="4005"/>
      <c r="FL37" s="4006" t="s">
        <v>418</v>
      </c>
      <c r="FM37" s="4003" t="s">
        <v>417</v>
      </c>
      <c r="FN37" s="4004"/>
      <c r="FO37" s="4004"/>
      <c r="FP37" s="4004"/>
      <c r="FQ37" s="4004"/>
      <c r="FR37" s="4005"/>
      <c r="FS37" s="4006" t="s">
        <v>418</v>
      </c>
      <c r="FT37" s="4003" t="s">
        <v>417</v>
      </c>
      <c r="FU37" s="4004"/>
      <c r="FV37" s="4004"/>
      <c r="FW37" s="4004"/>
      <c r="FX37" s="4004"/>
      <c r="FY37" s="4005"/>
      <c r="FZ37" s="4006" t="s">
        <v>418</v>
      </c>
      <c r="GA37" s="2132" t="s">
        <v>420</v>
      </c>
      <c r="GB37" s="1971"/>
    </row>
    <row customHeight="1" ht="33.75">
      <c r="Q38" s="377"/>
      <c r="R38" s="377"/>
      <c r="S38" s="2125"/>
      <c r="T38" s="2062"/>
      <c r="U38" s="1038"/>
      <c r="V38" s="1382" t="s">
        <v>477</v>
      </c>
      <c r="W38" s="2118" t="s">
        <v>423</v>
      </c>
      <c r="X38" s="2120"/>
      <c r="Y38" s="2118" t="s">
        <v>424</v>
      </c>
      <c r="Z38" s="2119"/>
      <c r="AA38" s="2120"/>
      <c r="AB38" s="2130"/>
      <c r="AC38" s="1382" t="s">
        <v>477</v>
      </c>
      <c r="AD38" s="2118" t="s">
        <v>423</v>
      </c>
      <c r="AE38" s="2120"/>
      <c r="AF38" s="2118" t="s">
        <v>424</v>
      </c>
      <c r="AG38" s="2119"/>
      <c r="AH38" s="2120"/>
      <c r="AI38" s="2130"/>
      <c r="AJ38" s="4008" t="s">
        <v>477</v>
      </c>
      <c r="AK38" s="4009" t="s">
        <v>423</v>
      </c>
      <c r="AL38" s="4010"/>
      <c r="AM38" s="4009" t="s">
        <v>424</v>
      </c>
      <c r="AN38" s="4011"/>
      <c r="AO38" s="4010"/>
      <c r="AP38" s="4012"/>
      <c r="AQ38" s="4008" t="s">
        <v>477</v>
      </c>
      <c r="AR38" s="4009" t="s">
        <v>423</v>
      </c>
      <c r="AS38" s="4010"/>
      <c r="AT38" s="4009" t="s">
        <v>424</v>
      </c>
      <c r="AU38" s="4011"/>
      <c r="AV38" s="4010"/>
      <c r="AW38" s="4012"/>
      <c r="AX38" s="4008" t="s">
        <v>477</v>
      </c>
      <c r="AY38" s="4009" t="s">
        <v>423</v>
      </c>
      <c r="AZ38" s="4010"/>
      <c r="BA38" s="4009" t="s">
        <v>424</v>
      </c>
      <c r="BB38" s="4011"/>
      <c r="BC38" s="4010"/>
      <c r="BD38" s="4012"/>
      <c r="BE38" s="4008" t="s">
        <v>477</v>
      </c>
      <c r="BF38" s="4009" t="s">
        <v>423</v>
      </c>
      <c r="BG38" s="4010"/>
      <c r="BH38" s="4009" t="s">
        <v>424</v>
      </c>
      <c r="BI38" s="4011"/>
      <c r="BJ38" s="4010"/>
      <c r="BK38" s="4012"/>
      <c r="BL38" s="4008" t="s">
        <v>477</v>
      </c>
      <c r="BM38" s="4009" t="s">
        <v>423</v>
      </c>
      <c r="BN38" s="4010"/>
      <c r="BO38" s="4009" t="s">
        <v>424</v>
      </c>
      <c r="BP38" s="4011"/>
      <c r="BQ38" s="4010"/>
      <c r="BR38" s="4012"/>
      <c r="BS38" s="4008" t="s">
        <v>477</v>
      </c>
      <c r="BT38" s="4009" t="s">
        <v>423</v>
      </c>
      <c r="BU38" s="4010"/>
      <c r="BV38" s="4009" t="s">
        <v>424</v>
      </c>
      <c r="BW38" s="4011"/>
      <c r="BX38" s="4010"/>
      <c r="BY38" s="4012"/>
      <c r="BZ38" s="4008" t="s">
        <v>477</v>
      </c>
      <c r="CA38" s="4009" t="s">
        <v>423</v>
      </c>
      <c r="CB38" s="4010"/>
      <c r="CC38" s="4009" t="s">
        <v>424</v>
      </c>
      <c r="CD38" s="4011"/>
      <c r="CE38" s="4010"/>
      <c r="CF38" s="4012"/>
      <c r="CG38" s="4008" t="s">
        <v>477</v>
      </c>
      <c r="CH38" s="4009" t="s">
        <v>423</v>
      </c>
      <c r="CI38" s="4010"/>
      <c r="CJ38" s="4009" t="s">
        <v>424</v>
      </c>
      <c r="CK38" s="4011"/>
      <c r="CL38" s="4010"/>
      <c r="CM38" s="4012"/>
      <c r="CN38" s="4008" t="s">
        <v>477</v>
      </c>
      <c r="CO38" s="4009" t="s">
        <v>423</v>
      </c>
      <c r="CP38" s="4010"/>
      <c r="CQ38" s="4009" t="s">
        <v>424</v>
      </c>
      <c r="CR38" s="4011"/>
      <c r="CS38" s="4010"/>
      <c r="CT38" s="4012"/>
      <c r="CU38" s="4008" t="s">
        <v>477</v>
      </c>
      <c r="CV38" s="4009" t="s">
        <v>423</v>
      </c>
      <c r="CW38" s="4010"/>
      <c r="CX38" s="4009" t="s">
        <v>424</v>
      </c>
      <c r="CY38" s="4011"/>
      <c r="CZ38" s="4010"/>
      <c r="DA38" s="4012"/>
      <c r="DB38" s="4008" t="s">
        <v>477</v>
      </c>
      <c r="DC38" s="4009" t="s">
        <v>423</v>
      </c>
      <c r="DD38" s="4010"/>
      <c r="DE38" s="4009" t="s">
        <v>424</v>
      </c>
      <c r="DF38" s="4011"/>
      <c r="DG38" s="4010"/>
      <c r="DH38" s="4012"/>
      <c r="DI38" s="4008" t="s">
        <v>477</v>
      </c>
      <c r="DJ38" s="4009" t="s">
        <v>423</v>
      </c>
      <c r="DK38" s="4010"/>
      <c r="DL38" s="4009" t="s">
        <v>424</v>
      </c>
      <c r="DM38" s="4011"/>
      <c r="DN38" s="4010"/>
      <c r="DO38" s="4012"/>
      <c r="DP38" s="4008" t="s">
        <v>477</v>
      </c>
      <c r="DQ38" s="4009" t="s">
        <v>423</v>
      </c>
      <c r="DR38" s="4010"/>
      <c r="DS38" s="4009" t="s">
        <v>424</v>
      </c>
      <c r="DT38" s="4011"/>
      <c r="DU38" s="4010"/>
      <c r="DV38" s="4012"/>
      <c r="DW38" s="4008" t="s">
        <v>477</v>
      </c>
      <c r="DX38" s="4009" t="s">
        <v>423</v>
      </c>
      <c r="DY38" s="4010"/>
      <c r="DZ38" s="4009" t="s">
        <v>424</v>
      </c>
      <c r="EA38" s="4011"/>
      <c r="EB38" s="4010"/>
      <c r="EC38" s="4012"/>
      <c r="ED38" s="4008" t="s">
        <v>477</v>
      </c>
      <c r="EE38" s="4009" t="s">
        <v>423</v>
      </c>
      <c r="EF38" s="4010"/>
      <c r="EG38" s="4009" t="s">
        <v>424</v>
      </c>
      <c r="EH38" s="4011"/>
      <c r="EI38" s="4010"/>
      <c r="EJ38" s="4012"/>
      <c r="EK38" s="4008" t="s">
        <v>477</v>
      </c>
      <c r="EL38" s="4009" t="s">
        <v>423</v>
      </c>
      <c r="EM38" s="4010"/>
      <c r="EN38" s="4009" t="s">
        <v>424</v>
      </c>
      <c r="EO38" s="4011"/>
      <c r="EP38" s="4010"/>
      <c r="EQ38" s="4012"/>
      <c r="ER38" s="4008" t="s">
        <v>477</v>
      </c>
      <c r="ES38" s="4009" t="s">
        <v>423</v>
      </c>
      <c r="ET38" s="4010"/>
      <c r="EU38" s="4009" t="s">
        <v>424</v>
      </c>
      <c r="EV38" s="4011"/>
      <c r="EW38" s="4010"/>
      <c r="EX38" s="4012"/>
      <c r="EY38" s="4008" t="s">
        <v>477</v>
      </c>
      <c r="EZ38" s="4009" t="s">
        <v>423</v>
      </c>
      <c r="FA38" s="4010"/>
      <c r="FB38" s="4009" t="s">
        <v>424</v>
      </c>
      <c r="FC38" s="4011"/>
      <c r="FD38" s="4010"/>
      <c r="FE38" s="4012"/>
      <c r="FF38" s="4008" t="s">
        <v>477</v>
      </c>
      <c r="FG38" s="4009" t="s">
        <v>423</v>
      </c>
      <c r="FH38" s="4010"/>
      <c r="FI38" s="4009" t="s">
        <v>424</v>
      </c>
      <c r="FJ38" s="4011"/>
      <c r="FK38" s="4010"/>
      <c r="FL38" s="4012"/>
      <c r="FM38" s="4008" t="s">
        <v>477</v>
      </c>
      <c r="FN38" s="4009" t="s">
        <v>423</v>
      </c>
      <c r="FO38" s="4010"/>
      <c r="FP38" s="4009" t="s">
        <v>424</v>
      </c>
      <c r="FQ38" s="4011"/>
      <c r="FR38" s="4010"/>
      <c r="FS38" s="4012"/>
      <c r="FT38" s="4008" t="s">
        <v>477</v>
      </c>
      <c r="FU38" s="4009" t="s">
        <v>423</v>
      </c>
      <c r="FV38" s="4010"/>
      <c r="FW38" s="4009" t="s">
        <v>424</v>
      </c>
      <c r="FX38" s="4011"/>
      <c r="FY38" s="4010"/>
      <c r="FZ38" s="4012"/>
      <c r="GA38" s="2133"/>
      <c r="GB38" s="1971"/>
    </row>
    <row customHeight="1" ht="33.75">
      <c r="A39" s="1400"/>
      <c r="B39" s="1400" t="s">
        <v>133</v>
      </c>
      <c r="C39" s="1400" t="s">
        <v>134</v>
      </c>
      <c r="D39" s="1400" t="s">
        <v>135</v>
      </c>
      <c r="E39" s="1394" t="s">
        <v>425</v>
      </c>
      <c r="F39" s="1394" t="s">
        <v>426</v>
      </c>
      <c r="G39" s="1394" t="s">
        <v>427</v>
      </c>
      <c r="H39" s="1394"/>
      <c r="I39" s="1394" t="s">
        <v>478</v>
      </c>
      <c r="J39" s="1394" t="s">
        <v>430</v>
      </c>
      <c r="K39" s="1394" t="s">
        <v>479</v>
      </c>
      <c r="L39" s="1394" t="s">
        <v>406</v>
      </c>
      <c r="Q39" s="377"/>
      <c r="R39" s="377"/>
      <c r="S39" s="2125"/>
      <c r="T39" s="2062"/>
      <c r="U39" s="290"/>
      <c r="V39" s="1382" t="s">
        <v>480</v>
      </c>
      <c r="W39" s="1237" t="s">
        <v>481</v>
      </c>
      <c r="X39" s="1237" t="s">
        <v>482</v>
      </c>
      <c r="Y39" s="1387" t="s">
        <v>434</v>
      </c>
      <c r="Z39" s="2121" t="s">
        <v>435</v>
      </c>
      <c r="AA39" s="2122"/>
      <c r="AB39" s="2131"/>
      <c r="AC39" s="1382" t="s">
        <v>480</v>
      </c>
      <c r="AD39" s="1237" t="s">
        <v>481</v>
      </c>
      <c r="AE39" s="1237" t="s">
        <v>482</v>
      </c>
      <c r="AF39" s="1387" t="s">
        <v>434</v>
      </c>
      <c r="AG39" s="2121" t="s">
        <v>435</v>
      </c>
      <c r="AH39" s="2122"/>
      <c r="AI39" s="2131"/>
      <c r="AJ39" s="4008" t="s">
        <v>480</v>
      </c>
      <c r="AK39" s="4014" t="s">
        <v>481</v>
      </c>
      <c r="AL39" s="4014" t="s">
        <v>482</v>
      </c>
      <c r="AM39" s="4014" t="s">
        <v>434</v>
      </c>
      <c r="AN39" s="4015" t="s">
        <v>435</v>
      </c>
      <c r="AO39" s="4016"/>
      <c r="AP39" s="4017"/>
      <c r="AQ39" s="4008" t="s">
        <v>480</v>
      </c>
      <c r="AR39" s="4014" t="s">
        <v>481</v>
      </c>
      <c r="AS39" s="4014" t="s">
        <v>482</v>
      </c>
      <c r="AT39" s="4014" t="s">
        <v>434</v>
      </c>
      <c r="AU39" s="4015" t="s">
        <v>435</v>
      </c>
      <c r="AV39" s="4016"/>
      <c r="AW39" s="4017"/>
      <c r="AX39" s="4008" t="s">
        <v>480</v>
      </c>
      <c r="AY39" s="4014" t="s">
        <v>481</v>
      </c>
      <c r="AZ39" s="4014" t="s">
        <v>482</v>
      </c>
      <c r="BA39" s="4014" t="s">
        <v>434</v>
      </c>
      <c r="BB39" s="4015" t="s">
        <v>435</v>
      </c>
      <c r="BC39" s="4016"/>
      <c r="BD39" s="4017"/>
      <c r="BE39" s="4008" t="s">
        <v>480</v>
      </c>
      <c r="BF39" s="4014" t="s">
        <v>481</v>
      </c>
      <c r="BG39" s="4014" t="s">
        <v>482</v>
      </c>
      <c r="BH39" s="4014" t="s">
        <v>434</v>
      </c>
      <c r="BI39" s="4015" t="s">
        <v>435</v>
      </c>
      <c r="BJ39" s="4016"/>
      <c r="BK39" s="4017"/>
      <c r="BL39" s="4008" t="s">
        <v>480</v>
      </c>
      <c r="BM39" s="4014" t="s">
        <v>481</v>
      </c>
      <c r="BN39" s="4014" t="s">
        <v>482</v>
      </c>
      <c r="BO39" s="4014" t="s">
        <v>434</v>
      </c>
      <c r="BP39" s="4015" t="s">
        <v>435</v>
      </c>
      <c r="BQ39" s="4016"/>
      <c r="BR39" s="4017"/>
      <c r="BS39" s="4008" t="s">
        <v>480</v>
      </c>
      <c r="BT39" s="4014" t="s">
        <v>481</v>
      </c>
      <c r="BU39" s="4014" t="s">
        <v>482</v>
      </c>
      <c r="BV39" s="4014" t="s">
        <v>434</v>
      </c>
      <c r="BW39" s="4015" t="s">
        <v>435</v>
      </c>
      <c r="BX39" s="4016"/>
      <c r="BY39" s="4017"/>
      <c r="BZ39" s="4008" t="s">
        <v>480</v>
      </c>
      <c r="CA39" s="4014" t="s">
        <v>481</v>
      </c>
      <c r="CB39" s="4014" t="s">
        <v>482</v>
      </c>
      <c r="CC39" s="4014" t="s">
        <v>434</v>
      </c>
      <c r="CD39" s="4015" t="s">
        <v>435</v>
      </c>
      <c r="CE39" s="4016"/>
      <c r="CF39" s="4017"/>
      <c r="CG39" s="4008" t="s">
        <v>480</v>
      </c>
      <c r="CH39" s="4014" t="s">
        <v>481</v>
      </c>
      <c r="CI39" s="4014" t="s">
        <v>482</v>
      </c>
      <c r="CJ39" s="4014" t="s">
        <v>434</v>
      </c>
      <c r="CK39" s="4015" t="s">
        <v>435</v>
      </c>
      <c r="CL39" s="4016"/>
      <c r="CM39" s="4017"/>
      <c r="CN39" s="4008" t="s">
        <v>480</v>
      </c>
      <c r="CO39" s="4014" t="s">
        <v>481</v>
      </c>
      <c r="CP39" s="4014" t="s">
        <v>482</v>
      </c>
      <c r="CQ39" s="4014" t="s">
        <v>434</v>
      </c>
      <c r="CR39" s="4015" t="s">
        <v>435</v>
      </c>
      <c r="CS39" s="4016"/>
      <c r="CT39" s="4017"/>
      <c r="CU39" s="4008" t="s">
        <v>480</v>
      </c>
      <c r="CV39" s="4014" t="s">
        <v>481</v>
      </c>
      <c r="CW39" s="4014" t="s">
        <v>482</v>
      </c>
      <c r="CX39" s="4014" t="s">
        <v>434</v>
      </c>
      <c r="CY39" s="4015" t="s">
        <v>435</v>
      </c>
      <c r="CZ39" s="4016"/>
      <c r="DA39" s="4017"/>
      <c r="DB39" s="4008" t="s">
        <v>480</v>
      </c>
      <c r="DC39" s="4014" t="s">
        <v>481</v>
      </c>
      <c r="DD39" s="4014" t="s">
        <v>482</v>
      </c>
      <c r="DE39" s="4014" t="s">
        <v>434</v>
      </c>
      <c r="DF39" s="4015" t="s">
        <v>435</v>
      </c>
      <c r="DG39" s="4016"/>
      <c r="DH39" s="4017"/>
      <c r="DI39" s="4008" t="s">
        <v>480</v>
      </c>
      <c r="DJ39" s="4014" t="s">
        <v>481</v>
      </c>
      <c r="DK39" s="4014" t="s">
        <v>482</v>
      </c>
      <c r="DL39" s="4014" t="s">
        <v>434</v>
      </c>
      <c r="DM39" s="4015" t="s">
        <v>435</v>
      </c>
      <c r="DN39" s="4016"/>
      <c r="DO39" s="4017"/>
      <c r="DP39" s="4008" t="s">
        <v>480</v>
      </c>
      <c r="DQ39" s="4014" t="s">
        <v>481</v>
      </c>
      <c r="DR39" s="4014" t="s">
        <v>482</v>
      </c>
      <c r="DS39" s="4014" t="s">
        <v>434</v>
      </c>
      <c r="DT39" s="4015" t="s">
        <v>435</v>
      </c>
      <c r="DU39" s="4016"/>
      <c r="DV39" s="4017"/>
      <c r="DW39" s="4008" t="s">
        <v>480</v>
      </c>
      <c r="DX39" s="4014" t="s">
        <v>481</v>
      </c>
      <c r="DY39" s="4014" t="s">
        <v>482</v>
      </c>
      <c r="DZ39" s="4014" t="s">
        <v>434</v>
      </c>
      <c r="EA39" s="4015" t="s">
        <v>435</v>
      </c>
      <c r="EB39" s="4016"/>
      <c r="EC39" s="4017"/>
      <c r="ED39" s="4008" t="s">
        <v>480</v>
      </c>
      <c r="EE39" s="4014" t="s">
        <v>481</v>
      </c>
      <c r="EF39" s="4014" t="s">
        <v>482</v>
      </c>
      <c r="EG39" s="4014" t="s">
        <v>434</v>
      </c>
      <c r="EH39" s="4015" t="s">
        <v>435</v>
      </c>
      <c r="EI39" s="4016"/>
      <c r="EJ39" s="4017"/>
      <c r="EK39" s="4008" t="s">
        <v>480</v>
      </c>
      <c r="EL39" s="4014" t="s">
        <v>481</v>
      </c>
      <c r="EM39" s="4014" t="s">
        <v>482</v>
      </c>
      <c r="EN39" s="4014" t="s">
        <v>434</v>
      </c>
      <c r="EO39" s="4015" t="s">
        <v>435</v>
      </c>
      <c r="EP39" s="4016"/>
      <c r="EQ39" s="4017"/>
      <c r="ER39" s="4008" t="s">
        <v>480</v>
      </c>
      <c r="ES39" s="4014" t="s">
        <v>481</v>
      </c>
      <c r="ET39" s="4014" t="s">
        <v>482</v>
      </c>
      <c r="EU39" s="4014" t="s">
        <v>434</v>
      </c>
      <c r="EV39" s="4015" t="s">
        <v>435</v>
      </c>
      <c r="EW39" s="4016"/>
      <c r="EX39" s="4017"/>
      <c r="EY39" s="4008" t="s">
        <v>480</v>
      </c>
      <c r="EZ39" s="4014" t="s">
        <v>481</v>
      </c>
      <c r="FA39" s="4014" t="s">
        <v>482</v>
      </c>
      <c r="FB39" s="4014" t="s">
        <v>434</v>
      </c>
      <c r="FC39" s="4015" t="s">
        <v>435</v>
      </c>
      <c r="FD39" s="4016"/>
      <c r="FE39" s="4017"/>
      <c r="FF39" s="4008" t="s">
        <v>480</v>
      </c>
      <c r="FG39" s="4014" t="s">
        <v>481</v>
      </c>
      <c r="FH39" s="4014" t="s">
        <v>482</v>
      </c>
      <c r="FI39" s="4014" t="s">
        <v>434</v>
      </c>
      <c r="FJ39" s="4015" t="s">
        <v>435</v>
      </c>
      <c r="FK39" s="4016"/>
      <c r="FL39" s="4017"/>
      <c r="FM39" s="4008" t="s">
        <v>480</v>
      </c>
      <c r="FN39" s="4014" t="s">
        <v>481</v>
      </c>
      <c r="FO39" s="4014" t="s">
        <v>482</v>
      </c>
      <c r="FP39" s="4014" t="s">
        <v>434</v>
      </c>
      <c r="FQ39" s="4015" t="s">
        <v>435</v>
      </c>
      <c r="FR39" s="4016"/>
      <c r="FS39" s="4017"/>
      <c r="FT39" s="4008" t="s">
        <v>480</v>
      </c>
      <c r="FU39" s="4014" t="s">
        <v>481</v>
      </c>
      <c r="FV39" s="4014" t="s">
        <v>482</v>
      </c>
      <c r="FW39" s="4014" t="s">
        <v>434</v>
      </c>
      <c r="FX39" s="4015" t="s">
        <v>435</v>
      </c>
      <c r="FY39" s="4016"/>
      <c r="FZ39" s="4017"/>
      <c r="GA39" s="2134"/>
      <c r="GB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4019">
        <f>OFFSET(AJ40,0,-1)+1</f>
        <v>3</v>
      </c>
      <c r="AK40" s="4019">
        <f>OFFSET(AK40,0,-1)+1</f>
        <v>4</v>
      </c>
      <c r="AL40" s="4019">
        <f>OFFSET(AL40,0,-1)+1</f>
        <v>5</v>
      </c>
      <c r="AM40" s="4019">
        <f>OFFSET(AM40,0,-1)+1</f>
        <v>6</v>
      </c>
      <c r="AN40" s="4019">
        <f>OFFSET(AN40,0,-1)+1</f>
        <v>7</v>
      </c>
      <c r="AO40" s="4019"/>
      <c r="AP40" s="4019">
        <f>OFFSET(AP40,0,-2)+1</f>
        <v>8</v>
      </c>
      <c r="AQ40" s="4019">
        <f>OFFSET(AQ40,0,-1)+1</f>
        <v>3</v>
      </c>
      <c r="AR40" s="4019">
        <f>OFFSET(AR40,0,-1)+1</f>
        <v>4</v>
      </c>
      <c r="AS40" s="4019">
        <f>OFFSET(AS40,0,-1)+1</f>
        <v>5</v>
      </c>
      <c r="AT40" s="4019">
        <f>OFFSET(AT40,0,-1)+1</f>
        <v>6</v>
      </c>
      <c r="AU40" s="4019">
        <f>OFFSET(AU40,0,-1)+1</f>
        <v>7</v>
      </c>
      <c r="AV40" s="4019"/>
      <c r="AW40" s="4019">
        <f>OFFSET(AW40,0,-2)+1</f>
        <v>8</v>
      </c>
      <c r="AX40" s="4019">
        <f>OFFSET(AX40,0,-1)+1</f>
        <v>3</v>
      </c>
      <c r="AY40" s="4019">
        <f>OFFSET(AY40,0,-1)+1</f>
        <v>4</v>
      </c>
      <c r="AZ40" s="4019">
        <f>OFFSET(AZ40,0,-1)+1</f>
        <v>5</v>
      </c>
      <c r="BA40" s="4019">
        <f>OFFSET(BA40,0,-1)+1</f>
        <v>6</v>
      </c>
      <c r="BB40" s="4019">
        <f>OFFSET(BB40,0,-1)+1</f>
        <v>7</v>
      </c>
      <c r="BC40" s="4019"/>
      <c r="BD40" s="4019">
        <f>OFFSET(BD40,0,-2)+1</f>
        <v>8</v>
      </c>
      <c r="BE40" s="4019">
        <f>OFFSET(BE40,0,-1)+1</f>
        <v>3</v>
      </c>
      <c r="BF40" s="4019">
        <f>OFFSET(BF40,0,-1)+1</f>
        <v>4</v>
      </c>
      <c r="BG40" s="4019">
        <f>OFFSET(BG40,0,-1)+1</f>
        <v>5</v>
      </c>
      <c r="BH40" s="4019">
        <f>OFFSET(BH40,0,-1)+1</f>
        <v>6</v>
      </c>
      <c r="BI40" s="4019">
        <f>OFFSET(BI40,0,-1)+1</f>
        <v>7</v>
      </c>
      <c r="BJ40" s="4019"/>
      <c r="BK40" s="4019">
        <f>OFFSET(BK40,0,-2)+1</f>
        <v>8</v>
      </c>
      <c r="BL40" s="4019">
        <f>OFFSET(BL40,0,-1)+1</f>
        <v>3</v>
      </c>
      <c r="BM40" s="4019">
        <f>OFFSET(BM40,0,-1)+1</f>
        <v>4</v>
      </c>
      <c r="BN40" s="4019">
        <f>OFFSET(BN40,0,-1)+1</f>
        <v>5</v>
      </c>
      <c r="BO40" s="4019">
        <f>OFFSET(BO40,0,-1)+1</f>
        <v>6</v>
      </c>
      <c r="BP40" s="4019">
        <f>OFFSET(BP40,0,-1)+1</f>
        <v>7</v>
      </c>
      <c r="BQ40" s="4019"/>
      <c r="BR40" s="4019">
        <f>OFFSET(BR40,0,-2)+1</f>
        <v>8</v>
      </c>
      <c r="BS40" s="4019">
        <f>OFFSET(BS40,0,-1)+1</f>
        <v>3</v>
      </c>
      <c r="BT40" s="4019">
        <f>OFFSET(BT40,0,-1)+1</f>
        <v>4</v>
      </c>
      <c r="BU40" s="4019">
        <f>OFFSET(BU40,0,-1)+1</f>
        <v>5</v>
      </c>
      <c r="BV40" s="4019">
        <f>OFFSET(BV40,0,-1)+1</f>
        <v>6</v>
      </c>
      <c r="BW40" s="4019">
        <f>OFFSET(BW40,0,-1)+1</f>
        <v>7</v>
      </c>
      <c r="BX40" s="4019"/>
      <c r="BY40" s="4019">
        <f>OFFSET(BY40,0,-2)+1</f>
        <v>8</v>
      </c>
      <c r="BZ40" s="4019">
        <f>OFFSET(BZ40,0,-1)+1</f>
        <v>3</v>
      </c>
      <c r="CA40" s="4019">
        <f>OFFSET(CA40,0,-1)+1</f>
        <v>4</v>
      </c>
      <c r="CB40" s="4019">
        <f>OFFSET(CB40,0,-1)+1</f>
        <v>5</v>
      </c>
      <c r="CC40" s="4019">
        <f>OFFSET(CC40,0,-1)+1</f>
        <v>6</v>
      </c>
      <c r="CD40" s="4019">
        <f>OFFSET(CD40,0,-1)+1</f>
        <v>7</v>
      </c>
      <c r="CE40" s="4019"/>
      <c r="CF40" s="4019">
        <f>OFFSET(CF40,0,-2)+1</f>
        <v>8</v>
      </c>
      <c r="CG40" s="4019">
        <f>OFFSET(CG40,0,-1)+1</f>
        <v>3</v>
      </c>
      <c r="CH40" s="4019">
        <f>OFFSET(CH40,0,-1)+1</f>
        <v>4</v>
      </c>
      <c r="CI40" s="4019">
        <f>OFFSET(CI40,0,-1)+1</f>
        <v>5</v>
      </c>
      <c r="CJ40" s="4019">
        <f>OFFSET(CJ40,0,-1)+1</f>
        <v>6</v>
      </c>
      <c r="CK40" s="4019">
        <f>OFFSET(CK40,0,-1)+1</f>
        <v>7</v>
      </c>
      <c r="CL40" s="4019"/>
      <c r="CM40" s="4019">
        <f>OFFSET(CM40,0,-2)+1</f>
        <v>8</v>
      </c>
      <c r="CN40" s="4019">
        <f>OFFSET(CN40,0,-1)+1</f>
        <v>3</v>
      </c>
      <c r="CO40" s="4019">
        <f>OFFSET(CO40,0,-1)+1</f>
        <v>4</v>
      </c>
      <c r="CP40" s="4019">
        <f>OFFSET(CP40,0,-1)+1</f>
        <v>5</v>
      </c>
      <c r="CQ40" s="4019">
        <f>OFFSET(CQ40,0,-1)+1</f>
        <v>6</v>
      </c>
      <c r="CR40" s="4019">
        <f>OFFSET(CR40,0,-1)+1</f>
        <v>7</v>
      </c>
      <c r="CS40" s="4019"/>
      <c r="CT40" s="4019">
        <f>OFFSET(CT40,0,-2)+1</f>
        <v>8</v>
      </c>
      <c r="CU40" s="4019">
        <f>OFFSET(CU40,0,-1)+1</f>
        <v>3</v>
      </c>
      <c r="CV40" s="4019">
        <f>OFFSET(CV40,0,-1)+1</f>
        <v>4</v>
      </c>
      <c r="CW40" s="4019">
        <f>OFFSET(CW40,0,-1)+1</f>
        <v>5</v>
      </c>
      <c r="CX40" s="4019">
        <f>OFFSET(CX40,0,-1)+1</f>
        <v>6</v>
      </c>
      <c r="CY40" s="4019">
        <f>OFFSET(CY40,0,-1)+1</f>
        <v>7</v>
      </c>
      <c r="CZ40" s="4019"/>
      <c r="DA40" s="4019">
        <f>OFFSET(DA40,0,-2)+1</f>
        <v>8</v>
      </c>
      <c r="DB40" s="4019">
        <f>OFFSET(DB40,0,-1)+1</f>
        <v>3</v>
      </c>
      <c r="DC40" s="4019">
        <f>OFFSET(DC40,0,-1)+1</f>
        <v>4</v>
      </c>
      <c r="DD40" s="4019">
        <f>OFFSET(DD40,0,-1)+1</f>
        <v>5</v>
      </c>
      <c r="DE40" s="4019">
        <f>OFFSET(DE40,0,-1)+1</f>
        <v>6</v>
      </c>
      <c r="DF40" s="4019">
        <f>OFFSET(DF40,0,-1)+1</f>
        <v>7</v>
      </c>
      <c r="DG40" s="4019"/>
      <c r="DH40" s="4019">
        <f>OFFSET(DH40,0,-2)+1</f>
        <v>8</v>
      </c>
      <c r="DI40" s="4019">
        <f>OFFSET(DI40,0,-1)+1</f>
        <v>3</v>
      </c>
      <c r="DJ40" s="4019">
        <f>OFFSET(DJ40,0,-1)+1</f>
        <v>4</v>
      </c>
      <c r="DK40" s="4019">
        <f>OFFSET(DK40,0,-1)+1</f>
        <v>5</v>
      </c>
      <c r="DL40" s="4019">
        <f>OFFSET(DL40,0,-1)+1</f>
        <v>6</v>
      </c>
      <c r="DM40" s="4019">
        <f>OFFSET(DM40,0,-1)+1</f>
        <v>7</v>
      </c>
      <c r="DN40" s="4019"/>
      <c r="DO40" s="4019">
        <f>OFFSET(DO40,0,-2)+1</f>
        <v>8</v>
      </c>
      <c r="DP40" s="4019">
        <f>OFFSET(DP40,0,-1)+1</f>
        <v>3</v>
      </c>
      <c r="DQ40" s="4019">
        <f>OFFSET(DQ40,0,-1)+1</f>
        <v>4</v>
      </c>
      <c r="DR40" s="4019">
        <f>OFFSET(DR40,0,-1)+1</f>
        <v>5</v>
      </c>
      <c r="DS40" s="4019">
        <f>OFFSET(DS40,0,-1)+1</f>
        <v>6</v>
      </c>
      <c r="DT40" s="4019">
        <f>OFFSET(DT40,0,-1)+1</f>
        <v>7</v>
      </c>
      <c r="DU40" s="4019"/>
      <c r="DV40" s="4019">
        <f>OFFSET(DV40,0,-2)+1</f>
        <v>8</v>
      </c>
      <c r="DW40" s="4019">
        <f>OFFSET(DW40,0,-1)+1</f>
        <v>3</v>
      </c>
      <c r="DX40" s="4019">
        <f>OFFSET(DX40,0,-1)+1</f>
        <v>4</v>
      </c>
      <c r="DY40" s="4019">
        <f>OFFSET(DY40,0,-1)+1</f>
        <v>5</v>
      </c>
      <c r="DZ40" s="4019">
        <f>OFFSET(DZ40,0,-1)+1</f>
        <v>6</v>
      </c>
      <c r="EA40" s="4019">
        <f>OFFSET(EA40,0,-1)+1</f>
        <v>7</v>
      </c>
      <c r="EB40" s="4019"/>
      <c r="EC40" s="4019">
        <f>OFFSET(EC40,0,-2)+1</f>
        <v>8</v>
      </c>
      <c r="ED40" s="4019">
        <f>OFFSET(ED40,0,-1)+1</f>
        <v>3</v>
      </c>
      <c r="EE40" s="4019">
        <f>OFFSET(EE40,0,-1)+1</f>
        <v>4</v>
      </c>
      <c r="EF40" s="4019">
        <f>OFFSET(EF40,0,-1)+1</f>
        <v>5</v>
      </c>
      <c r="EG40" s="4019">
        <f>OFFSET(EG40,0,-1)+1</f>
        <v>6</v>
      </c>
      <c r="EH40" s="4019">
        <f>OFFSET(EH40,0,-1)+1</f>
        <v>7</v>
      </c>
      <c r="EI40" s="4019"/>
      <c r="EJ40" s="4019">
        <f>OFFSET(EJ40,0,-2)+1</f>
        <v>8</v>
      </c>
      <c r="EK40" s="4019">
        <f>OFFSET(EK40,0,-1)+1</f>
        <v>3</v>
      </c>
      <c r="EL40" s="4019">
        <f>OFFSET(EL40,0,-1)+1</f>
        <v>4</v>
      </c>
      <c r="EM40" s="4019">
        <f>OFFSET(EM40,0,-1)+1</f>
        <v>5</v>
      </c>
      <c r="EN40" s="4019">
        <f>OFFSET(EN40,0,-1)+1</f>
        <v>6</v>
      </c>
      <c r="EO40" s="4019">
        <f>OFFSET(EO40,0,-1)+1</f>
        <v>7</v>
      </c>
      <c r="EP40" s="4019"/>
      <c r="EQ40" s="4019">
        <f>OFFSET(EQ40,0,-2)+1</f>
        <v>8</v>
      </c>
      <c r="ER40" s="4019">
        <f>OFFSET(ER40,0,-1)+1</f>
        <v>3</v>
      </c>
      <c r="ES40" s="4019">
        <f>OFFSET(ES40,0,-1)+1</f>
        <v>4</v>
      </c>
      <c r="ET40" s="4019">
        <f>OFFSET(ET40,0,-1)+1</f>
        <v>5</v>
      </c>
      <c r="EU40" s="4019">
        <f>OFFSET(EU40,0,-1)+1</f>
        <v>6</v>
      </c>
      <c r="EV40" s="4019">
        <f>OFFSET(EV40,0,-1)+1</f>
        <v>7</v>
      </c>
      <c r="EW40" s="4019"/>
      <c r="EX40" s="4019">
        <f>OFFSET(EX40,0,-2)+1</f>
        <v>8</v>
      </c>
      <c r="EY40" s="4019">
        <f>OFFSET(EY40,0,-1)+1</f>
        <v>3</v>
      </c>
      <c r="EZ40" s="4019">
        <f>OFFSET(EZ40,0,-1)+1</f>
        <v>4</v>
      </c>
      <c r="FA40" s="4019">
        <f>OFFSET(FA40,0,-1)+1</f>
        <v>5</v>
      </c>
      <c r="FB40" s="4019">
        <f>OFFSET(FB40,0,-1)+1</f>
        <v>6</v>
      </c>
      <c r="FC40" s="4019">
        <f>OFFSET(FC40,0,-1)+1</f>
        <v>7</v>
      </c>
      <c r="FD40" s="4019"/>
      <c r="FE40" s="4019">
        <f>OFFSET(FE40,0,-2)+1</f>
        <v>8</v>
      </c>
      <c r="FF40" s="4019">
        <f>OFFSET(FF40,0,-1)+1</f>
        <v>3</v>
      </c>
      <c r="FG40" s="4019">
        <f>OFFSET(FG40,0,-1)+1</f>
        <v>4</v>
      </c>
      <c r="FH40" s="4019">
        <f>OFFSET(FH40,0,-1)+1</f>
        <v>5</v>
      </c>
      <c r="FI40" s="4019">
        <f>OFFSET(FI40,0,-1)+1</f>
        <v>6</v>
      </c>
      <c r="FJ40" s="4019">
        <f>OFFSET(FJ40,0,-1)+1</f>
        <v>7</v>
      </c>
      <c r="FK40" s="4019"/>
      <c r="FL40" s="4019">
        <f>OFFSET(FL40,0,-2)+1</f>
        <v>8</v>
      </c>
      <c r="FM40" s="4019">
        <f>OFFSET(FM40,0,-1)+1</f>
        <v>3</v>
      </c>
      <c r="FN40" s="4019">
        <f>OFFSET(FN40,0,-1)+1</f>
        <v>4</v>
      </c>
      <c r="FO40" s="4019">
        <f>OFFSET(FO40,0,-1)+1</f>
        <v>5</v>
      </c>
      <c r="FP40" s="4019">
        <f>OFFSET(FP40,0,-1)+1</f>
        <v>6</v>
      </c>
      <c r="FQ40" s="4019">
        <f>OFFSET(FQ40,0,-1)+1</f>
        <v>7</v>
      </c>
      <c r="FR40" s="4019"/>
      <c r="FS40" s="4019">
        <f>OFFSET(FS40,0,-2)+1</f>
        <v>8</v>
      </c>
      <c r="FT40" s="4019">
        <f>OFFSET(FT40,0,-1)+1</f>
        <v>3</v>
      </c>
      <c r="FU40" s="4019">
        <f>OFFSET(FU40,0,-1)+1</f>
        <v>4</v>
      </c>
      <c r="FV40" s="4019">
        <f>OFFSET(FV40,0,-1)+1</f>
        <v>5</v>
      </c>
      <c r="FW40" s="4019">
        <f>OFFSET(FW40,0,-1)+1</f>
        <v>6</v>
      </c>
      <c r="FX40" s="4019">
        <f>OFFSET(FX40,0,-1)+1</f>
        <v>7</v>
      </c>
      <c r="FY40" s="4019"/>
      <c r="FZ40" s="4019">
        <f>OFFSET(FZ40,0,-2)+1</f>
        <v>8</v>
      </c>
      <c r="GA40" s="1263">
        <f>OFFSET(GA40,0,-1)</f>
        <v>14</v>
      </c>
      <c r="GB40" s="1383">
        <f>OFFSET(GB40,0,-1)+1</f>
        <v>15</v>
      </c>
      <c r="GC40" s="517"/>
      <c r="GD40" s="517"/>
      <c r="GE40" s="517"/>
      <c r="GF40" s="517"/>
      <c r="GG40" s="517"/>
    </row>
    <row customHeight="1" ht="23.25">
      <c r="A41" s="1393" t="s">
        <v>211</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1</v>
      </c>
      <c r="T41" s="286" t="s">
        <v>121</v>
      </c>
      <c r="U41" s="288"/>
      <c r="V41" s="2101"/>
      <c r="W41" s="2102"/>
      <c r="X41" s="2102"/>
      <c r="Y41" s="2102"/>
      <c r="Z41" s="2102"/>
      <c r="AA41" s="2102"/>
      <c r="AB41" s="2103"/>
      <c r="AC41" s="2101" t="str">
        <f>INDEX(PT_DIFFERENTIATION_NTAR,MATCH(A41,PT_DIFFERENTIATION_NTAR_ID,0))</f>
        <v>Тариф на питьевую воду (питьевое водоснабжение)</v>
      </c>
      <c r="AD41" s="2102"/>
      <c r="AE41" s="2102"/>
      <c r="AF41" s="2102"/>
      <c r="AG41" s="2102"/>
      <c r="AH41" s="2102"/>
      <c r="AI41" s="2102"/>
      <c r="AJ41" s="3515"/>
      <c r="AK41" s="3516"/>
      <c r="AL41" s="3516"/>
      <c r="AM41" s="3516"/>
      <c r="AN41" s="3516"/>
      <c r="AO41" s="3516"/>
      <c r="AP41" s="3517"/>
      <c r="AQ41" s="3515"/>
      <c r="AR41" s="3516"/>
      <c r="AS41" s="3516"/>
      <c r="AT41" s="3516"/>
      <c r="AU41" s="3516"/>
      <c r="AV41" s="3516"/>
      <c r="AW41" s="3517"/>
      <c r="AX41" s="3515"/>
      <c r="AY41" s="3516"/>
      <c r="AZ41" s="3516"/>
      <c r="BA41" s="3516"/>
      <c r="BB41" s="3516"/>
      <c r="BC41" s="3516"/>
      <c r="BD41" s="3517"/>
      <c r="BE41" s="3515"/>
      <c r="BF41" s="3516"/>
      <c r="BG41" s="3516"/>
      <c r="BH41" s="3516"/>
      <c r="BI41" s="3516"/>
      <c r="BJ41" s="3516"/>
      <c r="BK41" s="3517"/>
      <c r="BL41" s="3515"/>
      <c r="BM41" s="3516"/>
      <c r="BN41" s="3516"/>
      <c r="BO41" s="3516"/>
      <c r="BP41" s="3516"/>
      <c r="BQ41" s="3516"/>
      <c r="BR41" s="3517"/>
      <c r="BS41" s="3515"/>
      <c r="BT41" s="3516"/>
      <c r="BU41" s="3516"/>
      <c r="BV41" s="3516"/>
      <c r="BW41" s="3516"/>
      <c r="BX41" s="3516"/>
      <c r="BY41" s="3517"/>
      <c r="BZ41" s="3515"/>
      <c r="CA41" s="3516"/>
      <c r="CB41" s="3516"/>
      <c r="CC41" s="3516"/>
      <c r="CD41" s="3516"/>
      <c r="CE41" s="3516"/>
      <c r="CF41" s="3517"/>
      <c r="CG41" s="3515"/>
      <c r="CH41" s="3516"/>
      <c r="CI41" s="3516"/>
      <c r="CJ41" s="3516"/>
      <c r="CK41" s="3516"/>
      <c r="CL41" s="3516"/>
      <c r="CM41" s="3517"/>
      <c r="CN41" s="3515"/>
      <c r="CO41" s="3516"/>
      <c r="CP41" s="3516"/>
      <c r="CQ41" s="3516"/>
      <c r="CR41" s="3516"/>
      <c r="CS41" s="3516"/>
      <c r="CT41" s="3517"/>
      <c r="CU41" s="3515"/>
      <c r="CV41" s="3516"/>
      <c r="CW41" s="3516"/>
      <c r="CX41" s="3516"/>
      <c r="CY41" s="3516"/>
      <c r="CZ41" s="3516"/>
      <c r="DA41" s="3517"/>
      <c r="DB41" s="3515"/>
      <c r="DC41" s="3516"/>
      <c r="DD41" s="3516"/>
      <c r="DE41" s="3516"/>
      <c r="DF41" s="3516"/>
      <c r="DG41" s="3516"/>
      <c r="DH41" s="3517"/>
      <c r="DI41" s="3515"/>
      <c r="DJ41" s="3516"/>
      <c r="DK41" s="3516"/>
      <c r="DL41" s="3516"/>
      <c r="DM41" s="3516"/>
      <c r="DN41" s="3516"/>
      <c r="DO41" s="3517"/>
      <c r="DP41" s="3515"/>
      <c r="DQ41" s="3516"/>
      <c r="DR41" s="3516"/>
      <c r="DS41" s="3516"/>
      <c r="DT41" s="3516"/>
      <c r="DU41" s="3516"/>
      <c r="DV41" s="3517"/>
      <c r="DW41" s="3515"/>
      <c r="DX41" s="3516"/>
      <c r="DY41" s="3516"/>
      <c r="DZ41" s="3516"/>
      <c r="EA41" s="3516"/>
      <c r="EB41" s="3516"/>
      <c r="EC41" s="3517"/>
      <c r="ED41" s="3515"/>
      <c r="EE41" s="3516"/>
      <c r="EF41" s="3516"/>
      <c r="EG41" s="3516"/>
      <c r="EH41" s="3516"/>
      <c r="EI41" s="3516"/>
      <c r="EJ41" s="3517"/>
      <c r="EK41" s="3515"/>
      <c r="EL41" s="3516"/>
      <c r="EM41" s="3516"/>
      <c r="EN41" s="3516"/>
      <c r="EO41" s="3516"/>
      <c r="EP41" s="3516"/>
      <c r="EQ41" s="3517"/>
      <c r="ER41" s="3515"/>
      <c r="ES41" s="3516"/>
      <c r="ET41" s="3516"/>
      <c r="EU41" s="3516"/>
      <c r="EV41" s="3516"/>
      <c r="EW41" s="3516"/>
      <c r="EX41" s="3517"/>
      <c r="EY41" s="3515"/>
      <c r="EZ41" s="3516"/>
      <c r="FA41" s="3516"/>
      <c r="FB41" s="3516"/>
      <c r="FC41" s="3516"/>
      <c r="FD41" s="3516"/>
      <c r="FE41" s="3517"/>
      <c r="FF41" s="3515"/>
      <c r="FG41" s="3516"/>
      <c r="FH41" s="3516"/>
      <c r="FI41" s="3516"/>
      <c r="FJ41" s="3516"/>
      <c r="FK41" s="3516"/>
      <c r="FL41" s="3517"/>
      <c r="FM41" s="3515"/>
      <c r="FN41" s="3516"/>
      <c r="FO41" s="3516"/>
      <c r="FP41" s="3516"/>
      <c r="FQ41" s="3516"/>
      <c r="FR41" s="3516"/>
      <c r="FS41" s="3517"/>
      <c r="FT41" s="3515"/>
      <c r="FU41" s="3516"/>
      <c r="FV41" s="3516"/>
      <c r="FW41" s="3516"/>
      <c r="FX41" s="3516"/>
      <c r="FY41" s="3516"/>
      <c r="FZ41" s="3517"/>
      <c r="GA41" s="2103"/>
      <c r="GB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GD41" s="506"/>
      <c r="GE41" s="506" t="str">
        <f>IF(T41="","",T41)</f>
        <v>Наименование тарифа</v>
      </c>
      <c r="GF41" s="506"/>
      <c r="GG41" s="506"/>
    </row>
    <row customHeight="1" ht="23.25">
      <c r="A42" s="1393" t="s">
        <v>211</v>
      </c>
      <c r="B42" s="1393" t="s">
        <v>212</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1.1</v>
      </c>
      <c r="T42" s="298" t="s">
        <v>387</v>
      </c>
      <c r="U42" s="288"/>
      <c r="V42" s="2101"/>
      <c r="W42" s="2102"/>
      <c r="X42" s="2102"/>
      <c r="Y42" s="2102"/>
      <c r="Z42" s="2102"/>
      <c r="AA42" s="2102"/>
      <c r="AB42" s="2103"/>
      <c r="AC42" s="2101" t="str">
        <f>INDEX(PT_DIFFERENTIATION_TER,MATCH(B42,PT_DIFFERENTIATION_TER_ID,0))</f>
        <v>без дифференциации</v>
      </c>
      <c r="AD42" s="2102"/>
      <c r="AE42" s="2102"/>
      <c r="AF42" s="2102"/>
      <c r="AG42" s="2102"/>
      <c r="AH42" s="2102"/>
      <c r="AI42" s="2102"/>
      <c r="AJ42" s="3515"/>
      <c r="AK42" s="3516"/>
      <c r="AL42" s="3516"/>
      <c r="AM42" s="3516"/>
      <c r="AN42" s="3516"/>
      <c r="AO42" s="3516"/>
      <c r="AP42" s="3517"/>
      <c r="AQ42" s="3515"/>
      <c r="AR42" s="3516"/>
      <c r="AS42" s="3516"/>
      <c r="AT42" s="3516"/>
      <c r="AU42" s="3516"/>
      <c r="AV42" s="3516"/>
      <c r="AW42" s="3517"/>
      <c r="AX42" s="3515"/>
      <c r="AY42" s="3516"/>
      <c r="AZ42" s="3516"/>
      <c r="BA42" s="3516"/>
      <c r="BB42" s="3516"/>
      <c r="BC42" s="3516"/>
      <c r="BD42" s="3517"/>
      <c r="BE42" s="3515"/>
      <c r="BF42" s="3516"/>
      <c r="BG42" s="3516"/>
      <c r="BH42" s="3516"/>
      <c r="BI42" s="3516"/>
      <c r="BJ42" s="3516"/>
      <c r="BK42" s="3517"/>
      <c r="BL42" s="3515"/>
      <c r="BM42" s="3516"/>
      <c r="BN42" s="3516"/>
      <c r="BO42" s="3516"/>
      <c r="BP42" s="3516"/>
      <c r="BQ42" s="3516"/>
      <c r="BR42" s="3517"/>
      <c r="BS42" s="3515"/>
      <c r="BT42" s="3516"/>
      <c r="BU42" s="3516"/>
      <c r="BV42" s="3516"/>
      <c r="BW42" s="3516"/>
      <c r="BX42" s="3516"/>
      <c r="BY42" s="3517"/>
      <c r="BZ42" s="3515"/>
      <c r="CA42" s="3516"/>
      <c r="CB42" s="3516"/>
      <c r="CC42" s="3516"/>
      <c r="CD42" s="3516"/>
      <c r="CE42" s="3516"/>
      <c r="CF42" s="3517"/>
      <c r="CG42" s="3515"/>
      <c r="CH42" s="3516"/>
      <c r="CI42" s="3516"/>
      <c r="CJ42" s="3516"/>
      <c r="CK42" s="3516"/>
      <c r="CL42" s="3516"/>
      <c r="CM42" s="3517"/>
      <c r="CN42" s="3515"/>
      <c r="CO42" s="3516"/>
      <c r="CP42" s="3516"/>
      <c r="CQ42" s="3516"/>
      <c r="CR42" s="3516"/>
      <c r="CS42" s="3516"/>
      <c r="CT42" s="3517"/>
      <c r="CU42" s="3515"/>
      <c r="CV42" s="3516"/>
      <c r="CW42" s="3516"/>
      <c r="CX42" s="3516"/>
      <c r="CY42" s="3516"/>
      <c r="CZ42" s="3516"/>
      <c r="DA42" s="3517"/>
      <c r="DB42" s="3515"/>
      <c r="DC42" s="3516"/>
      <c r="DD42" s="3516"/>
      <c r="DE42" s="3516"/>
      <c r="DF42" s="3516"/>
      <c r="DG42" s="3516"/>
      <c r="DH42" s="3517"/>
      <c r="DI42" s="3515"/>
      <c r="DJ42" s="3516"/>
      <c r="DK42" s="3516"/>
      <c r="DL42" s="3516"/>
      <c r="DM42" s="3516"/>
      <c r="DN42" s="3516"/>
      <c r="DO42" s="3517"/>
      <c r="DP42" s="3515"/>
      <c r="DQ42" s="3516"/>
      <c r="DR42" s="3516"/>
      <c r="DS42" s="3516"/>
      <c r="DT42" s="3516"/>
      <c r="DU42" s="3516"/>
      <c r="DV42" s="3517"/>
      <c r="DW42" s="3515"/>
      <c r="DX42" s="3516"/>
      <c r="DY42" s="3516"/>
      <c r="DZ42" s="3516"/>
      <c r="EA42" s="3516"/>
      <c r="EB42" s="3516"/>
      <c r="EC42" s="3517"/>
      <c r="ED42" s="3515"/>
      <c r="EE42" s="3516"/>
      <c r="EF42" s="3516"/>
      <c r="EG42" s="3516"/>
      <c r="EH42" s="3516"/>
      <c r="EI42" s="3516"/>
      <c r="EJ42" s="3517"/>
      <c r="EK42" s="3515"/>
      <c r="EL42" s="3516"/>
      <c r="EM42" s="3516"/>
      <c r="EN42" s="3516"/>
      <c r="EO42" s="3516"/>
      <c r="EP42" s="3516"/>
      <c r="EQ42" s="3517"/>
      <c r="ER42" s="3515"/>
      <c r="ES42" s="3516"/>
      <c r="ET42" s="3516"/>
      <c r="EU42" s="3516"/>
      <c r="EV42" s="3516"/>
      <c r="EW42" s="3516"/>
      <c r="EX42" s="3517"/>
      <c r="EY42" s="3515"/>
      <c r="EZ42" s="3516"/>
      <c r="FA42" s="3516"/>
      <c r="FB42" s="3516"/>
      <c r="FC42" s="3516"/>
      <c r="FD42" s="3516"/>
      <c r="FE42" s="3517"/>
      <c r="FF42" s="3515"/>
      <c r="FG42" s="3516"/>
      <c r="FH42" s="3516"/>
      <c r="FI42" s="3516"/>
      <c r="FJ42" s="3516"/>
      <c r="FK42" s="3516"/>
      <c r="FL42" s="3517"/>
      <c r="FM42" s="3515"/>
      <c r="FN42" s="3516"/>
      <c r="FO42" s="3516"/>
      <c r="FP42" s="3516"/>
      <c r="FQ42" s="3516"/>
      <c r="FR42" s="3516"/>
      <c r="FS42" s="3517"/>
      <c r="FT42" s="3515"/>
      <c r="FU42" s="3516"/>
      <c r="FV42" s="3516"/>
      <c r="FW42" s="3516"/>
      <c r="FX42" s="3516"/>
      <c r="FY42" s="3516"/>
      <c r="FZ42" s="3517"/>
      <c r="GA42" s="2103"/>
      <c r="GB42" s="1286" t="s">
        <v>388</v>
      </c>
      <c r="GD42" s="506"/>
      <c r="GE42" s="506" t="str">
        <f>IF(T42="","",T42)</f>
        <v>Территория действия тарифа</v>
      </c>
      <c r="GF42" s="506"/>
      <c r="GG42" s="506"/>
    </row>
    <row customHeight="1" ht="23.25">
      <c r="A43" s="1393" t="s">
        <v>211</v>
      </c>
      <c r="B43" s="1393" t="s">
        <v>212</v>
      </c>
      <c r="C43" s="1393" t="s">
        <v>213</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1.1.1</v>
      </c>
      <c r="T43" s="299" t="s">
        <v>468</v>
      </c>
      <c r="U43" s="288"/>
      <c r="V43" s="2101"/>
      <c r="W43" s="2102"/>
      <c r="X43" s="2102"/>
      <c r="Y43" s="2102"/>
      <c r="Z43" s="2102"/>
      <c r="AA43" s="2102"/>
      <c r="AB43" s="2103"/>
      <c r="AC43" s="2101" t="str">
        <f>INDEX(PT_DIFFERENTIATION_CS,MATCH(C43,PT_DIFFERENTIATION_CS_ID,0))</f>
        <v>без дифференциации</v>
      </c>
      <c r="AD43" s="2102"/>
      <c r="AE43" s="2102"/>
      <c r="AF43" s="2102"/>
      <c r="AG43" s="2102"/>
      <c r="AH43" s="2102"/>
      <c r="AI43" s="2102"/>
      <c r="AJ43" s="3515"/>
      <c r="AK43" s="3516"/>
      <c r="AL43" s="3516"/>
      <c r="AM43" s="3516"/>
      <c r="AN43" s="3516"/>
      <c r="AO43" s="3516"/>
      <c r="AP43" s="3517"/>
      <c r="AQ43" s="3515"/>
      <c r="AR43" s="3516"/>
      <c r="AS43" s="3516"/>
      <c r="AT43" s="3516"/>
      <c r="AU43" s="3516"/>
      <c r="AV43" s="3516"/>
      <c r="AW43" s="3517"/>
      <c r="AX43" s="3515"/>
      <c r="AY43" s="3516"/>
      <c r="AZ43" s="3516"/>
      <c r="BA43" s="3516"/>
      <c r="BB43" s="3516"/>
      <c r="BC43" s="3516"/>
      <c r="BD43" s="3517"/>
      <c r="BE43" s="3515"/>
      <c r="BF43" s="3516"/>
      <c r="BG43" s="3516"/>
      <c r="BH43" s="3516"/>
      <c r="BI43" s="3516"/>
      <c r="BJ43" s="3516"/>
      <c r="BK43" s="3517"/>
      <c r="BL43" s="3515"/>
      <c r="BM43" s="3516"/>
      <c r="BN43" s="3516"/>
      <c r="BO43" s="3516"/>
      <c r="BP43" s="3516"/>
      <c r="BQ43" s="3516"/>
      <c r="BR43" s="3517"/>
      <c r="BS43" s="3515"/>
      <c r="BT43" s="3516"/>
      <c r="BU43" s="3516"/>
      <c r="BV43" s="3516"/>
      <c r="BW43" s="3516"/>
      <c r="BX43" s="3516"/>
      <c r="BY43" s="3517"/>
      <c r="BZ43" s="3515"/>
      <c r="CA43" s="3516"/>
      <c r="CB43" s="3516"/>
      <c r="CC43" s="3516"/>
      <c r="CD43" s="3516"/>
      <c r="CE43" s="3516"/>
      <c r="CF43" s="3517"/>
      <c r="CG43" s="3515"/>
      <c r="CH43" s="3516"/>
      <c r="CI43" s="3516"/>
      <c r="CJ43" s="3516"/>
      <c r="CK43" s="3516"/>
      <c r="CL43" s="3516"/>
      <c r="CM43" s="3517"/>
      <c r="CN43" s="3515"/>
      <c r="CO43" s="3516"/>
      <c r="CP43" s="3516"/>
      <c r="CQ43" s="3516"/>
      <c r="CR43" s="3516"/>
      <c r="CS43" s="3516"/>
      <c r="CT43" s="3517"/>
      <c r="CU43" s="3515"/>
      <c r="CV43" s="3516"/>
      <c r="CW43" s="3516"/>
      <c r="CX43" s="3516"/>
      <c r="CY43" s="3516"/>
      <c r="CZ43" s="3516"/>
      <c r="DA43" s="3517"/>
      <c r="DB43" s="3515"/>
      <c r="DC43" s="3516"/>
      <c r="DD43" s="3516"/>
      <c r="DE43" s="3516"/>
      <c r="DF43" s="3516"/>
      <c r="DG43" s="3516"/>
      <c r="DH43" s="3517"/>
      <c r="DI43" s="3515"/>
      <c r="DJ43" s="3516"/>
      <c r="DK43" s="3516"/>
      <c r="DL43" s="3516"/>
      <c r="DM43" s="3516"/>
      <c r="DN43" s="3516"/>
      <c r="DO43" s="3517"/>
      <c r="DP43" s="3515"/>
      <c r="DQ43" s="3516"/>
      <c r="DR43" s="3516"/>
      <c r="DS43" s="3516"/>
      <c r="DT43" s="3516"/>
      <c r="DU43" s="3516"/>
      <c r="DV43" s="3517"/>
      <c r="DW43" s="3515"/>
      <c r="DX43" s="3516"/>
      <c r="DY43" s="3516"/>
      <c r="DZ43" s="3516"/>
      <c r="EA43" s="3516"/>
      <c r="EB43" s="3516"/>
      <c r="EC43" s="3517"/>
      <c r="ED43" s="3515"/>
      <c r="EE43" s="3516"/>
      <c r="EF43" s="3516"/>
      <c r="EG43" s="3516"/>
      <c r="EH43" s="3516"/>
      <c r="EI43" s="3516"/>
      <c r="EJ43" s="3517"/>
      <c r="EK43" s="3515"/>
      <c r="EL43" s="3516"/>
      <c r="EM43" s="3516"/>
      <c r="EN43" s="3516"/>
      <c r="EO43" s="3516"/>
      <c r="EP43" s="3516"/>
      <c r="EQ43" s="3517"/>
      <c r="ER43" s="3515"/>
      <c r="ES43" s="3516"/>
      <c r="ET43" s="3516"/>
      <c r="EU43" s="3516"/>
      <c r="EV43" s="3516"/>
      <c r="EW43" s="3516"/>
      <c r="EX43" s="3517"/>
      <c r="EY43" s="3515"/>
      <c r="EZ43" s="3516"/>
      <c r="FA43" s="3516"/>
      <c r="FB43" s="3516"/>
      <c r="FC43" s="3516"/>
      <c r="FD43" s="3516"/>
      <c r="FE43" s="3517"/>
      <c r="FF43" s="3515"/>
      <c r="FG43" s="3516"/>
      <c r="FH43" s="3516"/>
      <c r="FI43" s="3516"/>
      <c r="FJ43" s="3516"/>
      <c r="FK43" s="3516"/>
      <c r="FL43" s="3517"/>
      <c r="FM43" s="3515"/>
      <c r="FN43" s="3516"/>
      <c r="FO43" s="3516"/>
      <c r="FP43" s="3516"/>
      <c r="FQ43" s="3516"/>
      <c r="FR43" s="3516"/>
      <c r="FS43" s="3517"/>
      <c r="FT43" s="3515"/>
      <c r="FU43" s="3516"/>
      <c r="FV43" s="3516"/>
      <c r="FW43" s="3516"/>
      <c r="FX43" s="3516"/>
      <c r="FY43" s="3516"/>
      <c r="FZ43" s="3517"/>
      <c r="GA43" s="2103"/>
      <c r="GB43" s="1286" t="s">
        <v>469</v>
      </c>
      <c r="GD43" s="506"/>
      <c r="GE43" s="506" t="str">
        <f>IF(T43="","",T43)</f>
        <v>Наименование централизованной системы холодного водоснабжения</v>
      </c>
      <c r="GF43" s="506"/>
      <c r="GG43" s="506"/>
    </row>
    <row customHeight="1" ht="23.25">
      <c r="A44" s="1393" t="s">
        <v>211</v>
      </c>
      <c r="B44" s="1393" t="s">
        <v>212</v>
      </c>
      <c r="C44" s="1393" t="s">
        <v>213</v>
      </c>
      <c r="D44" s="1393" t="s">
        <v>483</v>
      </c>
      <c r="E44" s="2108"/>
      <c r="F44" s="2108"/>
      <c r="G44" s="2108"/>
      <c r="H44" s="2108"/>
      <c r="I44" s="2109" t="str">
        <f>S43&amp;".1"</f>
        <v>1.1.1.1</v>
      </c>
      <c r="J44" s="1393"/>
      <c r="K44" s="1393"/>
      <c r="L44" s="1394"/>
      <c r="P44" s="2111">
        <v>1</v>
      </c>
      <c r="Q44" s="1384"/>
      <c r="R44" s="352"/>
      <c r="S44" s="1388" t="str">
        <f>$I44</f>
        <v>1.1.1.1</v>
      </c>
      <c r="T44" s="273" t="s">
        <v>470</v>
      </c>
      <c r="U44" s="288"/>
      <c r="V44" s="2194"/>
      <c r="W44" s="2195"/>
      <c r="X44" s="2195"/>
      <c r="Y44" s="2195"/>
      <c r="Z44" s="2195"/>
      <c r="AA44" s="2195"/>
      <c r="AB44" s="2196"/>
      <c r="AC44" s="2197"/>
      <c r="AD44" s="2198"/>
      <c r="AE44" s="2198"/>
      <c r="AF44" s="2198"/>
      <c r="AG44" s="2198"/>
      <c r="AH44" s="2198"/>
      <c r="AI44" s="2198"/>
      <c r="AJ44" s="3525"/>
      <c r="AK44" s="3526"/>
      <c r="AL44" s="3526"/>
      <c r="AM44" s="3526"/>
      <c r="AN44" s="3526"/>
      <c r="AO44" s="3526"/>
      <c r="AP44" s="3527"/>
      <c r="AQ44" s="3525"/>
      <c r="AR44" s="3526"/>
      <c r="AS44" s="3526"/>
      <c r="AT44" s="3526"/>
      <c r="AU44" s="3526"/>
      <c r="AV44" s="3526"/>
      <c r="AW44" s="3527"/>
      <c r="AX44" s="3525"/>
      <c r="AY44" s="3526"/>
      <c r="AZ44" s="3526"/>
      <c r="BA44" s="3526"/>
      <c r="BB44" s="3526"/>
      <c r="BC44" s="3526"/>
      <c r="BD44" s="3527"/>
      <c r="BE44" s="3525"/>
      <c r="BF44" s="3526"/>
      <c r="BG44" s="3526"/>
      <c r="BH44" s="3526"/>
      <c r="BI44" s="3526"/>
      <c r="BJ44" s="3526"/>
      <c r="BK44" s="3527"/>
      <c r="BL44" s="3525"/>
      <c r="BM44" s="3526"/>
      <c r="BN44" s="3526"/>
      <c r="BO44" s="3526"/>
      <c r="BP44" s="3526"/>
      <c r="BQ44" s="3526"/>
      <c r="BR44" s="3527"/>
      <c r="BS44" s="3525"/>
      <c r="BT44" s="3526"/>
      <c r="BU44" s="3526"/>
      <c r="BV44" s="3526"/>
      <c r="BW44" s="3526"/>
      <c r="BX44" s="3526"/>
      <c r="BY44" s="3527"/>
      <c r="BZ44" s="3525"/>
      <c r="CA44" s="3526"/>
      <c r="CB44" s="3526"/>
      <c r="CC44" s="3526"/>
      <c r="CD44" s="3526"/>
      <c r="CE44" s="3526"/>
      <c r="CF44" s="3527"/>
      <c r="CG44" s="3525"/>
      <c r="CH44" s="3526"/>
      <c r="CI44" s="3526"/>
      <c r="CJ44" s="3526"/>
      <c r="CK44" s="3526"/>
      <c r="CL44" s="3526"/>
      <c r="CM44" s="3527"/>
      <c r="CN44" s="3525"/>
      <c r="CO44" s="3526"/>
      <c r="CP44" s="3526"/>
      <c r="CQ44" s="3526"/>
      <c r="CR44" s="3526"/>
      <c r="CS44" s="3526"/>
      <c r="CT44" s="3527"/>
      <c r="CU44" s="3525"/>
      <c r="CV44" s="3526"/>
      <c r="CW44" s="3526"/>
      <c r="CX44" s="3526"/>
      <c r="CY44" s="3526"/>
      <c r="CZ44" s="3526"/>
      <c r="DA44" s="3527"/>
      <c r="DB44" s="3525"/>
      <c r="DC44" s="3526"/>
      <c r="DD44" s="3526"/>
      <c r="DE44" s="3526"/>
      <c r="DF44" s="3526"/>
      <c r="DG44" s="3526"/>
      <c r="DH44" s="3527"/>
      <c r="DI44" s="3525"/>
      <c r="DJ44" s="3526"/>
      <c r="DK44" s="3526"/>
      <c r="DL44" s="3526"/>
      <c r="DM44" s="3526"/>
      <c r="DN44" s="3526"/>
      <c r="DO44" s="3527"/>
      <c r="DP44" s="3525"/>
      <c r="DQ44" s="3526"/>
      <c r="DR44" s="3526"/>
      <c r="DS44" s="3526"/>
      <c r="DT44" s="3526"/>
      <c r="DU44" s="3526"/>
      <c r="DV44" s="3527"/>
      <c r="DW44" s="3525"/>
      <c r="DX44" s="3526"/>
      <c r="DY44" s="3526"/>
      <c r="DZ44" s="3526"/>
      <c r="EA44" s="3526"/>
      <c r="EB44" s="3526"/>
      <c r="EC44" s="3527"/>
      <c r="ED44" s="3525"/>
      <c r="EE44" s="3526"/>
      <c r="EF44" s="3526"/>
      <c r="EG44" s="3526"/>
      <c r="EH44" s="3526"/>
      <c r="EI44" s="3526"/>
      <c r="EJ44" s="3527"/>
      <c r="EK44" s="3525"/>
      <c r="EL44" s="3526"/>
      <c r="EM44" s="3526"/>
      <c r="EN44" s="3526"/>
      <c r="EO44" s="3526"/>
      <c r="EP44" s="3526"/>
      <c r="EQ44" s="3527"/>
      <c r="ER44" s="3525"/>
      <c r="ES44" s="3526"/>
      <c r="ET44" s="3526"/>
      <c r="EU44" s="3526"/>
      <c r="EV44" s="3526"/>
      <c r="EW44" s="3526"/>
      <c r="EX44" s="3527"/>
      <c r="EY44" s="3525"/>
      <c r="EZ44" s="3526"/>
      <c r="FA44" s="3526"/>
      <c r="FB44" s="3526"/>
      <c r="FC44" s="3526"/>
      <c r="FD44" s="3526"/>
      <c r="FE44" s="3527"/>
      <c r="FF44" s="3525"/>
      <c r="FG44" s="3526"/>
      <c r="FH44" s="3526"/>
      <c r="FI44" s="3526"/>
      <c r="FJ44" s="3526"/>
      <c r="FK44" s="3526"/>
      <c r="FL44" s="3527"/>
      <c r="FM44" s="3525"/>
      <c r="FN44" s="3526"/>
      <c r="FO44" s="3526"/>
      <c r="FP44" s="3526"/>
      <c r="FQ44" s="3526"/>
      <c r="FR44" s="3526"/>
      <c r="FS44" s="3527"/>
      <c r="FT44" s="3525"/>
      <c r="FU44" s="3526"/>
      <c r="FV44" s="3526"/>
      <c r="FW44" s="3526"/>
      <c r="FX44" s="3526"/>
      <c r="FY44" s="3526"/>
      <c r="FZ44" s="3527"/>
      <c r="GA44" s="2199"/>
      <c r="GB44" s="1286" t="s">
        <v>471</v>
      </c>
      <c r="GD44" s="506"/>
      <c r="GE44" s="506" t="str">
        <f>IF(T44="","",T44)</f>
        <v>Наименование признака дифференциации</v>
      </c>
      <c r="GF44" s="506"/>
      <c r="GG44" s="506"/>
    </row>
    <row customHeight="1" ht="23.25">
      <c r="A45" s="1393" t="s">
        <v>211</v>
      </c>
      <c r="B45" s="1393" t="s">
        <v>212</v>
      </c>
      <c r="C45" s="1393" t="s">
        <v>213</v>
      </c>
      <c r="D45" s="1393" t="s">
        <v>483</v>
      </c>
      <c r="E45" s="2108"/>
      <c r="F45" s="2108"/>
      <c r="G45" s="2108"/>
      <c r="H45" s="2108"/>
      <c r="I45" s="2110"/>
      <c r="J45" s="2109" t="str">
        <f>I44&amp;".1"</f>
        <v>1.1.1.1.1</v>
      </c>
      <c r="K45" s="1393"/>
      <c r="L45" s="1394" t="s">
        <v>396</v>
      </c>
      <c r="P45" s="2111"/>
      <c r="Q45" s="2111">
        <v>1</v>
      </c>
      <c r="R45" s="353"/>
      <c r="S45" s="1388" t="str">
        <f>$J45</f>
        <v>1.1.1.1.1</v>
      </c>
      <c r="T45" s="274" t="s">
        <v>397</v>
      </c>
      <c r="U45" s="288"/>
      <c r="V45" s="2095"/>
      <c r="W45" s="2096"/>
      <c r="X45" s="2096"/>
      <c r="Y45" s="2096"/>
      <c r="Z45" s="2096"/>
      <c r="AA45" s="2096"/>
      <c r="AB45" s="2097"/>
      <c r="AC45" s="2095" t="s">
        <v>484</v>
      </c>
      <c r="AD45" s="2096"/>
      <c r="AE45" s="2096"/>
      <c r="AF45" s="2096"/>
      <c r="AG45" s="2096"/>
      <c r="AH45" s="2096"/>
      <c r="AI45" s="2096"/>
      <c r="AJ45" s="3529"/>
      <c r="AK45" s="3530"/>
      <c r="AL45" s="3530"/>
      <c r="AM45" s="3530"/>
      <c r="AN45" s="3530"/>
      <c r="AO45" s="3530"/>
      <c r="AP45" s="3531"/>
      <c r="AQ45" s="3529"/>
      <c r="AR45" s="3530"/>
      <c r="AS45" s="3530"/>
      <c r="AT45" s="3530"/>
      <c r="AU45" s="3530"/>
      <c r="AV45" s="3530"/>
      <c r="AW45" s="3531"/>
      <c r="AX45" s="3529"/>
      <c r="AY45" s="3530"/>
      <c r="AZ45" s="3530"/>
      <c r="BA45" s="3530"/>
      <c r="BB45" s="3530"/>
      <c r="BC45" s="3530"/>
      <c r="BD45" s="3531"/>
      <c r="BE45" s="3529"/>
      <c r="BF45" s="3530"/>
      <c r="BG45" s="3530"/>
      <c r="BH45" s="3530"/>
      <c r="BI45" s="3530"/>
      <c r="BJ45" s="3530"/>
      <c r="BK45" s="3531"/>
      <c r="BL45" s="3529"/>
      <c r="BM45" s="3530"/>
      <c r="BN45" s="3530"/>
      <c r="BO45" s="3530"/>
      <c r="BP45" s="3530"/>
      <c r="BQ45" s="3530"/>
      <c r="BR45" s="3531"/>
      <c r="BS45" s="3529"/>
      <c r="BT45" s="3530"/>
      <c r="BU45" s="3530"/>
      <c r="BV45" s="3530"/>
      <c r="BW45" s="3530"/>
      <c r="BX45" s="3530"/>
      <c r="BY45" s="3531"/>
      <c r="BZ45" s="3529"/>
      <c r="CA45" s="3530"/>
      <c r="CB45" s="3530"/>
      <c r="CC45" s="3530"/>
      <c r="CD45" s="3530"/>
      <c r="CE45" s="3530"/>
      <c r="CF45" s="3531"/>
      <c r="CG45" s="3529"/>
      <c r="CH45" s="3530"/>
      <c r="CI45" s="3530"/>
      <c r="CJ45" s="3530"/>
      <c r="CK45" s="3530"/>
      <c r="CL45" s="3530"/>
      <c r="CM45" s="3531"/>
      <c r="CN45" s="3529"/>
      <c r="CO45" s="3530"/>
      <c r="CP45" s="3530"/>
      <c r="CQ45" s="3530"/>
      <c r="CR45" s="3530"/>
      <c r="CS45" s="3530"/>
      <c r="CT45" s="3531"/>
      <c r="CU45" s="3529"/>
      <c r="CV45" s="3530"/>
      <c r="CW45" s="3530"/>
      <c r="CX45" s="3530"/>
      <c r="CY45" s="3530"/>
      <c r="CZ45" s="3530"/>
      <c r="DA45" s="3531"/>
      <c r="DB45" s="3529"/>
      <c r="DC45" s="3530"/>
      <c r="DD45" s="3530"/>
      <c r="DE45" s="3530"/>
      <c r="DF45" s="3530"/>
      <c r="DG45" s="3530"/>
      <c r="DH45" s="3531"/>
      <c r="DI45" s="3529"/>
      <c r="DJ45" s="3530"/>
      <c r="DK45" s="3530"/>
      <c r="DL45" s="3530"/>
      <c r="DM45" s="3530"/>
      <c r="DN45" s="3530"/>
      <c r="DO45" s="3531"/>
      <c r="DP45" s="3529"/>
      <c r="DQ45" s="3530"/>
      <c r="DR45" s="3530"/>
      <c r="DS45" s="3530"/>
      <c r="DT45" s="3530"/>
      <c r="DU45" s="3530"/>
      <c r="DV45" s="3531"/>
      <c r="DW45" s="3529"/>
      <c r="DX45" s="3530"/>
      <c r="DY45" s="3530"/>
      <c r="DZ45" s="3530"/>
      <c r="EA45" s="3530"/>
      <c r="EB45" s="3530"/>
      <c r="EC45" s="3531"/>
      <c r="ED45" s="3529"/>
      <c r="EE45" s="3530"/>
      <c r="EF45" s="3530"/>
      <c r="EG45" s="3530"/>
      <c r="EH45" s="3530"/>
      <c r="EI45" s="3530"/>
      <c r="EJ45" s="3531"/>
      <c r="EK45" s="3529"/>
      <c r="EL45" s="3530"/>
      <c r="EM45" s="3530"/>
      <c r="EN45" s="3530"/>
      <c r="EO45" s="3530"/>
      <c r="EP45" s="3530"/>
      <c r="EQ45" s="3531"/>
      <c r="ER45" s="3529"/>
      <c r="ES45" s="3530"/>
      <c r="ET45" s="3530"/>
      <c r="EU45" s="3530"/>
      <c r="EV45" s="3530"/>
      <c r="EW45" s="3530"/>
      <c r="EX45" s="3531"/>
      <c r="EY45" s="3529"/>
      <c r="EZ45" s="3530"/>
      <c r="FA45" s="3530"/>
      <c r="FB45" s="3530"/>
      <c r="FC45" s="3530"/>
      <c r="FD45" s="3530"/>
      <c r="FE45" s="3531"/>
      <c r="FF45" s="3529"/>
      <c r="FG45" s="3530"/>
      <c r="FH45" s="3530"/>
      <c r="FI45" s="3530"/>
      <c r="FJ45" s="3530"/>
      <c r="FK45" s="3530"/>
      <c r="FL45" s="3531"/>
      <c r="FM45" s="3529"/>
      <c r="FN45" s="3530"/>
      <c r="FO45" s="3530"/>
      <c r="FP45" s="3530"/>
      <c r="FQ45" s="3530"/>
      <c r="FR45" s="3530"/>
      <c r="FS45" s="3531"/>
      <c r="FT45" s="3529"/>
      <c r="FU45" s="3530"/>
      <c r="FV45" s="3530"/>
      <c r="FW45" s="3530"/>
      <c r="FX45" s="3530"/>
      <c r="FY45" s="3530"/>
      <c r="FZ45" s="3531"/>
      <c r="GA45" s="2097"/>
      <c r="GB45" s="1337" t="s">
        <v>472</v>
      </c>
      <c r="GD45" s="506"/>
      <c r="GE45" s="506" t="str">
        <f>IF(T45="","",T45)</f>
        <v>Группа потребителей</v>
      </c>
      <c r="GF45" s="506"/>
      <c r="GG45" s="506"/>
    </row>
    <row customHeight="1" ht="23.25">
      <c r="A46" s="1393" t="s">
        <v>211</v>
      </c>
      <c r="B46" s="1393" t="s">
        <v>212</v>
      </c>
      <c r="C46" s="1393" t="s">
        <v>213</v>
      </c>
      <c r="D46" s="1393" t="s">
        <v>483</v>
      </c>
      <c r="E46" s="2108"/>
      <c r="F46" s="2108"/>
      <c r="G46" s="2108"/>
      <c r="H46" s="2108"/>
      <c r="I46" s="2110"/>
      <c r="J46" s="2110"/>
      <c r="K46" s="2109" t="str">
        <f>J45&amp;".1"</f>
        <v>1.1.1.1.1.1</v>
      </c>
      <c r="L46" s="1394"/>
      <c r="P46" s="2111"/>
      <c r="Q46" s="2111"/>
      <c r="R46" s="353">
        <v>1</v>
      </c>
      <c r="S46" s="1388" t="str">
        <f>$K46</f>
        <v>1.1.1.1.1.1</v>
      </c>
      <c r="T46" s="1467" t="s">
        <v>485</v>
      </c>
      <c r="U46" s="288"/>
      <c r="V46" s="3533"/>
      <c r="W46" s="3533"/>
      <c r="X46" s="3534"/>
      <c r="Y46" s="3535"/>
      <c r="Z46" s="3536" t="s">
        <v>60</v>
      </c>
      <c r="AA46" s="4023"/>
      <c r="AB46" s="3536" t="s">
        <v>60</v>
      </c>
      <c r="AC46" s="757">
        <v>39.2</v>
      </c>
      <c r="AD46" s="757"/>
      <c r="AE46" s="1285"/>
      <c r="AF46" s="3535">
        <v>45292</v>
      </c>
      <c r="AG46" s="1981" t="s">
        <v>60</v>
      </c>
      <c r="AH46" s="4023">
        <v>45473.39824074074</v>
      </c>
      <c r="AI46" s="1981" t="s">
        <v>60</v>
      </c>
      <c r="AJ46" s="3533">
        <v>42.8</v>
      </c>
      <c r="AK46" s="3533"/>
      <c r="AL46" s="3534"/>
      <c r="AM46" s="3535">
        <v>45474.3990625</v>
      </c>
      <c r="AN46" s="3536" t="s">
        <v>60</v>
      </c>
      <c r="AO46" s="4023">
        <v>45657.39931712963</v>
      </c>
      <c r="AP46" s="3536" t="s">
        <v>60</v>
      </c>
      <c r="AQ46" s="3533">
        <v>42.8</v>
      </c>
      <c r="AR46" s="3533"/>
      <c r="AS46" s="3534"/>
      <c r="AT46" s="3535">
        <v>45658.400092592594</v>
      </c>
      <c r="AU46" s="3536" t="s">
        <v>60</v>
      </c>
      <c r="AV46" s="4023">
        <v>45838.40142361111</v>
      </c>
      <c r="AW46" s="3536" t="s">
        <v>60</v>
      </c>
      <c r="AX46" s="3533">
        <v>45.24</v>
      </c>
      <c r="AY46" s="3533"/>
      <c r="AZ46" s="3534"/>
      <c r="BA46" s="3535">
        <v>45839.40280092593</v>
      </c>
      <c r="BB46" s="3536" t="s">
        <v>60</v>
      </c>
      <c r="BC46" s="4023">
        <v>46022.404490740744</v>
      </c>
      <c r="BD46" s="3536" t="s">
        <v>60</v>
      </c>
      <c r="BE46" s="3533">
        <v>45.24</v>
      </c>
      <c r="BF46" s="3533"/>
      <c r="BG46" s="3534"/>
      <c r="BH46" s="3535">
        <v>46023.40508101852</v>
      </c>
      <c r="BI46" s="3536" t="s">
        <v>60</v>
      </c>
      <c r="BJ46" s="4023">
        <v>46203.405324074076</v>
      </c>
      <c r="BK46" s="3536" t="s">
        <v>60</v>
      </c>
      <c r="BL46" s="3533">
        <v>47.05</v>
      </c>
      <c r="BM46" s="3533"/>
      <c r="BN46" s="3534"/>
      <c r="BO46" s="3535">
        <v>46204.40592592592</v>
      </c>
      <c r="BP46" s="3536" t="s">
        <v>60</v>
      </c>
      <c r="BQ46" s="4023">
        <v>46387.40813657407</v>
      </c>
      <c r="BR46" s="3536" t="s">
        <v>60</v>
      </c>
      <c r="BS46" s="3533">
        <v>47.05</v>
      </c>
      <c r="BT46" s="3533"/>
      <c r="BU46" s="3534"/>
      <c r="BV46" s="3535">
        <v>46388.410775462966</v>
      </c>
      <c r="BW46" s="3536" t="s">
        <v>60</v>
      </c>
      <c r="BX46" s="4023">
        <v>46568.4109837963</v>
      </c>
      <c r="BY46" s="3536" t="s">
        <v>60</v>
      </c>
      <c r="BZ46" s="3533">
        <v>48.93</v>
      </c>
      <c r="CA46" s="3533"/>
      <c r="CB46" s="3534"/>
      <c r="CC46" s="3535">
        <v>46569.41260416667</v>
      </c>
      <c r="CD46" s="3536" t="s">
        <v>60</v>
      </c>
      <c r="CE46" s="4023">
        <v>46752.414039351854</v>
      </c>
      <c r="CF46" s="3536" t="s">
        <v>60</v>
      </c>
      <c r="CG46" s="3533">
        <v>48.93</v>
      </c>
      <c r="CH46" s="3533"/>
      <c r="CI46" s="3534"/>
      <c r="CJ46" s="3535">
        <v>46753.420949074076</v>
      </c>
      <c r="CK46" s="3536" t="s">
        <v>60</v>
      </c>
      <c r="CL46" s="4023">
        <v>46934.422060185185</v>
      </c>
      <c r="CM46" s="3536" t="s">
        <v>60</v>
      </c>
      <c r="CN46" s="3533">
        <v>50.89</v>
      </c>
      <c r="CO46" s="3533"/>
      <c r="CP46" s="3534"/>
      <c r="CQ46" s="3535">
        <v>46935.42288194445</v>
      </c>
      <c r="CR46" s="3536" t="s">
        <v>60</v>
      </c>
      <c r="CS46" s="4023">
        <v>47118.4233912037</v>
      </c>
      <c r="CT46" s="3536" t="s">
        <v>60</v>
      </c>
      <c r="CU46" s="3533">
        <v>50.89</v>
      </c>
      <c r="CV46" s="3533"/>
      <c r="CW46" s="3534"/>
      <c r="CX46" s="3535">
        <v>47119.42797453704</v>
      </c>
      <c r="CY46" s="3536" t="s">
        <v>60</v>
      </c>
      <c r="CZ46" s="4023">
        <v>47299.428773148145</v>
      </c>
      <c r="DA46" s="3536" t="s">
        <v>60</v>
      </c>
      <c r="DB46" s="3533">
        <v>52.93</v>
      </c>
      <c r="DC46" s="3533"/>
      <c r="DD46" s="3534"/>
      <c r="DE46" s="3535">
        <v>47300.430810185186</v>
      </c>
      <c r="DF46" s="3536" t="s">
        <v>60</v>
      </c>
      <c r="DG46" s="4023">
        <v>47483.432650462964</v>
      </c>
      <c r="DH46" s="3536" t="s">
        <v>60</v>
      </c>
      <c r="DI46" s="3533">
        <v>52.93</v>
      </c>
      <c r="DJ46" s="3533"/>
      <c r="DK46" s="3534"/>
      <c r="DL46" s="3535">
        <v>47484.4366087963</v>
      </c>
      <c r="DM46" s="3536" t="s">
        <v>60</v>
      </c>
      <c r="DN46" s="4023">
        <v>47664.43702546296</v>
      </c>
      <c r="DO46" s="3536" t="s">
        <v>60</v>
      </c>
      <c r="DP46" s="3533">
        <v>55.05</v>
      </c>
      <c r="DQ46" s="3533"/>
      <c r="DR46" s="3534"/>
      <c r="DS46" s="3535">
        <v>47665.43751157408</v>
      </c>
      <c r="DT46" s="3536" t="s">
        <v>60</v>
      </c>
      <c r="DU46" s="4023">
        <v>47848.43853009259</v>
      </c>
      <c r="DV46" s="3536" t="s">
        <v>60</v>
      </c>
      <c r="DW46" s="3533">
        <v>55.05</v>
      </c>
      <c r="DX46" s="3533"/>
      <c r="DY46" s="3534"/>
      <c r="DZ46" s="3535">
        <v>47849.43908564815</v>
      </c>
      <c r="EA46" s="3536" t="s">
        <v>60</v>
      </c>
      <c r="EB46" s="4023">
        <v>48029.43928240741</v>
      </c>
      <c r="EC46" s="3536" t="s">
        <v>60</v>
      </c>
      <c r="ED46" s="3533">
        <v>57.25</v>
      </c>
      <c r="EE46" s="3533"/>
      <c r="EF46" s="3534"/>
      <c r="EG46" s="3535">
        <v>48030.44069444444</v>
      </c>
      <c r="EH46" s="3536" t="s">
        <v>60</v>
      </c>
      <c r="EI46" s="4023">
        <v>48213.441608796296</v>
      </c>
      <c r="EJ46" s="3536" t="s">
        <v>60</v>
      </c>
      <c r="EK46" s="3533">
        <v>57.25</v>
      </c>
      <c r="EL46" s="3533"/>
      <c r="EM46" s="3534"/>
      <c r="EN46" s="3535">
        <v>48214.442337962966</v>
      </c>
      <c r="EO46" s="3536" t="s">
        <v>60</v>
      </c>
      <c r="EP46" s="4023">
        <v>48395.442824074074</v>
      </c>
      <c r="EQ46" s="3536" t="s">
        <v>60</v>
      </c>
      <c r="ER46" s="3533">
        <v>59.54</v>
      </c>
      <c r="ES46" s="3533"/>
      <c r="ET46" s="3534"/>
      <c r="EU46" s="3535">
        <v>48396.44341435185</v>
      </c>
      <c r="EV46" s="3536" t="s">
        <v>60</v>
      </c>
      <c r="EW46" s="4023">
        <v>48579.443761574075</v>
      </c>
      <c r="EX46" s="3536" t="s">
        <v>60</v>
      </c>
      <c r="EY46" s="3533">
        <v>59.54</v>
      </c>
      <c r="EZ46" s="3533"/>
      <c r="FA46" s="3534"/>
      <c r="FB46" s="3535">
        <v>48580.444398148145</v>
      </c>
      <c r="FC46" s="3536" t="s">
        <v>60</v>
      </c>
      <c r="FD46" s="4023">
        <v>48760.4447337963</v>
      </c>
      <c r="FE46" s="3536" t="s">
        <v>60</v>
      </c>
      <c r="FF46" s="3533">
        <v>61.92</v>
      </c>
      <c r="FG46" s="3533"/>
      <c r="FH46" s="3534"/>
      <c r="FI46" s="3535">
        <v>48761.445023148146</v>
      </c>
      <c r="FJ46" s="3536" t="s">
        <v>60</v>
      </c>
      <c r="FK46" s="4023">
        <v>48944.445289351854</v>
      </c>
      <c r="FL46" s="3536" t="s">
        <v>60</v>
      </c>
      <c r="FM46" s="3533">
        <v>61.92</v>
      </c>
      <c r="FN46" s="3533"/>
      <c r="FO46" s="3534"/>
      <c r="FP46" s="3535">
        <v>48945.44596064815</v>
      </c>
      <c r="FQ46" s="3536" t="s">
        <v>60</v>
      </c>
      <c r="FR46" s="4023">
        <v>49125.44619212963</v>
      </c>
      <c r="FS46" s="3536" t="s">
        <v>60</v>
      </c>
      <c r="FT46" s="3533">
        <v>64.4</v>
      </c>
      <c r="FU46" s="3533"/>
      <c r="FV46" s="3534"/>
      <c r="FW46" s="3535">
        <v>49126.446608796294</v>
      </c>
      <c r="FX46" s="3536" t="s">
        <v>60</v>
      </c>
      <c r="FY46" s="4023">
        <v>49309.44702546296</v>
      </c>
      <c r="FZ46" s="3536" t="s">
        <v>60</v>
      </c>
      <c r="GA46" s="1468"/>
      <c r="GB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GC46" s="517">
        <f>STRCHECKDATE(V47:GA47)</f>
      </c>
      <c r="GD46" s="506"/>
      <c r="GE46" s="506" t="str">
        <f>IF(T46="","",T46)</f>
        <v>Потребители, кроме населения (тарифы указаны без учета НДС)</v>
      </c>
      <c r="GF46" s="506"/>
      <c r="GG46" s="506"/>
    </row>
    <row customHeight="1" ht="0">
      <c r="A47" s="1393" t="s">
        <v>211</v>
      </c>
      <c r="B47" s="1393" t="s">
        <v>212</v>
      </c>
      <c r="C47" s="1393" t="s">
        <v>213</v>
      </c>
      <c r="D47" s="1393" t="s">
        <v>483</v>
      </c>
      <c r="E47" s="2108"/>
      <c r="F47" s="2108"/>
      <c r="G47" s="2108"/>
      <c r="H47" s="2108"/>
      <c r="I47" s="2110"/>
      <c r="J47" s="2110"/>
      <c r="K47" s="2109"/>
      <c r="L47" s="1394"/>
      <c r="P47" s="2111"/>
      <c r="Q47" s="2111"/>
      <c r="R47" s="353"/>
      <c r="S47" s="1389"/>
      <c r="T47" s="288"/>
      <c r="U47" s="288"/>
      <c r="V47" s="3540"/>
      <c r="W47" s="3540"/>
      <c r="X47" s="3541" t="str">
        <f>Y46&amp;"-"&amp;AA46</f>
        <v>-</v>
      </c>
      <c r="Y47" s="3542"/>
      <c r="Z47" s="3536"/>
      <c r="AA47" s="4025"/>
      <c r="AB47" s="3536"/>
      <c r="AC47" s="320"/>
      <c r="AD47" s="320"/>
      <c r="AE47" s="324" t="str">
        <f>AF46&amp;"-"&amp;AH46</f>
        <v>45292-45473.39824074074</v>
      </c>
      <c r="AF47" s="2113"/>
      <c r="AG47" s="1981"/>
      <c r="AH47" s="2115"/>
      <c r="AI47" s="1981"/>
      <c r="AJ47" s="3540"/>
      <c r="AK47" s="3540"/>
      <c r="AL47" s="3541" t="str">
        <f>AM46&amp;"-"&amp;AO46</f>
        <v>45474.3990625-45657.39931712963</v>
      </c>
      <c r="AM47" s="3542"/>
      <c r="AN47" s="3536"/>
      <c r="AO47" s="4025"/>
      <c r="AP47" s="3536"/>
      <c r="AQ47" s="3540"/>
      <c r="AR47" s="3540"/>
      <c r="AS47" s="3541" t="str">
        <f>AT46&amp;"-"&amp;AV46</f>
        <v>45658.400092592594-45838.40142361111</v>
      </c>
      <c r="AT47" s="3542"/>
      <c r="AU47" s="3536"/>
      <c r="AV47" s="4025"/>
      <c r="AW47" s="3536"/>
      <c r="AX47" s="3540"/>
      <c r="AY47" s="3540"/>
      <c r="AZ47" s="3541" t="str">
        <f>BA46&amp;"-"&amp;BC46</f>
        <v>45839.40280092593-46022.404490740744</v>
      </c>
      <c r="BA47" s="3542"/>
      <c r="BB47" s="3536"/>
      <c r="BC47" s="4025"/>
      <c r="BD47" s="3536"/>
      <c r="BE47" s="3540"/>
      <c r="BF47" s="3540"/>
      <c r="BG47" s="3541" t="str">
        <f>BH46&amp;"-"&amp;BJ46</f>
        <v>46023.40508101852-46203.405324074076</v>
      </c>
      <c r="BH47" s="3542"/>
      <c r="BI47" s="3536"/>
      <c r="BJ47" s="4025"/>
      <c r="BK47" s="3536"/>
      <c r="BL47" s="3540"/>
      <c r="BM47" s="3540"/>
      <c r="BN47" s="3541" t="str">
        <f>BO46&amp;"-"&amp;BQ46</f>
        <v>46204.40592592592-46387.40813657407</v>
      </c>
      <c r="BO47" s="3542"/>
      <c r="BP47" s="3536"/>
      <c r="BQ47" s="4025"/>
      <c r="BR47" s="3536"/>
      <c r="BS47" s="3540"/>
      <c r="BT47" s="3540"/>
      <c r="BU47" s="3541" t="str">
        <f>BV46&amp;"-"&amp;BX46</f>
        <v>46388.410775462966-46568.4109837963</v>
      </c>
      <c r="BV47" s="3542"/>
      <c r="BW47" s="3536"/>
      <c r="BX47" s="4025"/>
      <c r="BY47" s="3536"/>
      <c r="BZ47" s="3540"/>
      <c r="CA47" s="3540"/>
      <c r="CB47" s="3541" t="str">
        <f>CC46&amp;"-"&amp;CE46</f>
        <v>46569.41260416667-46752.414039351854</v>
      </c>
      <c r="CC47" s="3542"/>
      <c r="CD47" s="3536"/>
      <c r="CE47" s="4025"/>
      <c r="CF47" s="3536"/>
      <c r="CG47" s="3540"/>
      <c r="CH47" s="3540"/>
      <c r="CI47" s="3541" t="str">
        <f>CJ46&amp;"-"&amp;CL46</f>
        <v>46753.420949074076-46934.422060185185</v>
      </c>
      <c r="CJ47" s="3542"/>
      <c r="CK47" s="3536"/>
      <c r="CL47" s="4025"/>
      <c r="CM47" s="3536"/>
      <c r="CN47" s="3540"/>
      <c r="CO47" s="3540"/>
      <c r="CP47" s="3541" t="str">
        <f>CQ46&amp;"-"&amp;CS46</f>
        <v>46935.42288194445-47118.4233912037</v>
      </c>
      <c r="CQ47" s="3542"/>
      <c r="CR47" s="3536"/>
      <c r="CS47" s="4025"/>
      <c r="CT47" s="3536"/>
      <c r="CU47" s="3540"/>
      <c r="CV47" s="3540"/>
      <c r="CW47" s="3541" t="str">
        <f>CX46&amp;"-"&amp;CZ46</f>
        <v>47119.42797453704-47299.428773148145</v>
      </c>
      <c r="CX47" s="3542"/>
      <c r="CY47" s="3536"/>
      <c r="CZ47" s="4025"/>
      <c r="DA47" s="3536"/>
      <c r="DB47" s="3540"/>
      <c r="DC47" s="3540"/>
      <c r="DD47" s="3541" t="str">
        <f>DE46&amp;"-"&amp;DG46</f>
        <v>47300.430810185186-47483.432650462964</v>
      </c>
      <c r="DE47" s="3542"/>
      <c r="DF47" s="3536"/>
      <c r="DG47" s="4025"/>
      <c r="DH47" s="3536"/>
      <c r="DI47" s="3540"/>
      <c r="DJ47" s="3540"/>
      <c r="DK47" s="3541" t="str">
        <f>DL46&amp;"-"&amp;DN46</f>
        <v>47484.4366087963-47664.43702546296</v>
      </c>
      <c r="DL47" s="3542"/>
      <c r="DM47" s="3536"/>
      <c r="DN47" s="4025"/>
      <c r="DO47" s="3536"/>
      <c r="DP47" s="3540"/>
      <c r="DQ47" s="3540"/>
      <c r="DR47" s="3541" t="str">
        <f>DS46&amp;"-"&amp;DU46</f>
        <v>47665.43751157408-47848.43853009259</v>
      </c>
      <c r="DS47" s="3542"/>
      <c r="DT47" s="3536"/>
      <c r="DU47" s="4025"/>
      <c r="DV47" s="3536"/>
      <c r="DW47" s="3540"/>
      <c r="DX47" s="3540"/>
      <c r="DY47" s="3541" t="str">
        <f>DZ46&amp;"-"&amp;EB46</f>
        <v>47849.43908564815-48029.43928240741</v>
      </c>
      <c r="DZ47" s="3542"/>
      <c r="EA47" s="3536"/>
      <c r="EB47" s="4025"/>
      <c r="EC47" s="3536"/>
      <c r="ED47" s="3540"/>
      <c r="EE47" s="3540"/>
      <c r="EF47" s="3541" t="str">
        <f>EG46&amp;"-"&amp;EI46</f>
        <v>48030.44069444444-48213.441608796296</v>
      </c>
      <c r="EG47" s="3542"/>
      <c r="EH47" s="3536"/>
      <c r="EI47" s="4025"/>
      <c r="EJ47" s="3536"/>
      <c r="EK47" s="3540"/>
      <c r="EL47" s="3540"/>
      <c r="EM47" s="3541" t="str">
        <f>EN46&amp;"-"&amp;EP46</f>
        <v>48214.442337962966-48395.442824074074</v>
      </c>
      <c r="EN47" s="3542"/>
      <c r="EO47" s="3536"/>
      <c r="EP47" s="4025"/>
      <c r="EQ47" s="3536"/>
      <c r="ER47" s="3540"/>
      <c r="ES47" s="3540"/>
      <c r="ET47" s="3541" t="str">
        <f>EU46&amp;"-"&amp;EW46</f>
        <v>48396.44341435185-48579.443761574075</v>
      </c>
      <c r="EU47" s="3542"/>
      <c r="EV47" s="3536"/>
      <c r="EW47" s="4025"/>
      <c r="EX47" s="3536"/>
      <c r="EY47" s="3540"/>
      <c r="EZ47" s="3540"/>
      <c r="FA47" s="3541" t="str">
        <f>FB46&amp;"-"&amp;FD46</f>
        <v>48580.444398148145-48760.4447337963</v>
      </c>
      <c r="FB47" s="3542"/>
      <c r="FC47" s="3536"/>
      <c r="FD47" s="4025"/>
      <c r="FE47" s="3536"/>
      <c r="FF47" s="3540"/>
      <c r="FG47" s="3540"/>
      <c r="FH47" s="3541" t="str">
        <f>FI46&amp;"-"&amp;FK46</f>
        <v>48761.445023148146-48944.445289351854</v>
      </c>
      <c r="FI47" s="3542"/>
      <c r="FJ47" s="3536"/>
      <c r="FK47" s="4025"/>
      <c r="FL47" s="3536"/>
      <c r="FM47" s="3540"/>
      <c r="FN47" s="3540"/>
      <c r="FO47" s="3541" t="str">
        <f>FP46&amp;"-"&amp;FR46</f>
        <v>48945.44596064815-49125.44619212963</v>
      </c>
      <c r="FP47" s="3542"/>
      <c r="FQ47" s="3536"/>
      <c r="FR47" s="4025"/>
      <c r="FS47" s="3536"/>
      <c r="FT47" s="3540"/>
      <c r="FU47" s="3540"/>
      <c r="FV47" s="3541" t="str">
        <f>FW46&amp;"-"&amp;FY46</f>
        <v>49126.446608796294-49309.44702546296</v>
      </c>
      <c r="FW47" s="3542"/>
      <c r="FX47" s="3536"/>
      <c r="FY47" s="4025"/>
      <c r="FZ47" s="3536"/>
      <c r="GA47" s="1469"/>
      <c r="GB47" s="2200"/>
      <c r="GD47" s="506"/>
      <c r="GE47" s="506" t="str">
        <f>IF(T47="","",T47)</f>
        <v/>
      </c>
      <c r="GF47" s="506"/>
      <c r="GG47" s="506"/>
    </row>
    <row customHeight="1" ht="21">
      <c r="A48" s="1393" t="s">
        <v>211</v>
      </c>
      <c r="B48" s="1393" t="s">
        <v>212</v>
      </c>
      <c r="C48" s="1393" t="s">
        <v>213</v>
      </c>
      <c r="D48" s="1393" t="s">
        <v>483</v>
      </c>
      <c r="E48" s="2108"/>
      <c r="F48" s="2108"/>
      <c r="G48" s="2108"/>
      <c r="H48" s="2108"/>
      <c r="I48" s="2110"/>
      <c r="J48" s="2109"/>
      <c r="K48" s="1393"/>
      <c r="L48" s="1394"/>
      <c r="P48" s="2111"/>
      <c r="Q48" s="2111"/>
      <c r="R48" s="352"/>
      <c r="S48" s="1308"/>
      <c r="T48" s="275" t="s">
        <v>473</v>
      </c>
      <c r="U48" s="367"/>
      <c r="V48" s="367"/>
      <c r="W48" s="367"/>
      <c r="X48" s="367"/>
      <c r="Y48" s="367"/>
      <c r="Z48" s="367"/>
      <c r="AA48" s="367"/>
      <c r="AB48" s="367"/>
      <c r="AC48" s="367"/>
      <c r="AD48" s="367"/>
      <c r="AE48" s="367"/>
      <c r="AF48" s="367"/>
      <c r="AG48" s="367"/>
      <c r="AH48" s="367"/>
      <c r="AI48" s="367"/>
      <c r="AJ48" s="4026"/>
      <c r="AK48" s="4027"/>
      <c r="AL48" s="4028"/>
      <c r="AM48" s="4029"/>
      <c r="AN48" s="4030"/>
      <c r="AO48" s="4031"/>
      <c r="AP48" s="4032"/>
      <c r="AQ48" s="4033"/>
      <c r="AR48" s="4034"/>
      <c r="AS48" s="4035"/>
      <c r="AT48" s="4036"/>
      <c r="AU48" s="4037"/>
      <c r="AV48" s="4038"/>
      <c r="AW48" s="4039"/>
      <c r="AX48" s="4040"/>
      <c r="AY48" s="4041"/>
      <c r="AZ48" s="4042"/>
      <c r="BA48" s="4043"/>
      <c r="BB48" s="4044"/>
      <c r="BC48" s="4045"/>
      <c r="BD48" s="4046"/>
      <c r="BE48" s="4047"/>
      <c r="BF48" s="4048"/>
      <c r="BG48" s="4049"/>
      <c r="BH48" s="4050"/>
      <c r="BI48" s="4051"/>
      <c r="BJ48" s="4052"/>
      <c r="BK48" s="4053"/>
      <c r="BL48" s="4054"/>
      <c r="BM48" s="4055"/>
      <c r="BN48" s="4056"/>
      <c r="BO48" s="4057"/>
      <c r="BP48" s="4058"/>
      <c r="BQ48" s="4059"/>
      <c r="BR48" s="4060"/>
      <c r="BS48" s="4061"/>
      <c r="BT48" s="4062"/>
      <c r="BU48" s="4063"/>
      <c r="BV48" s="4064"/>
      <c r="BW48" s="4065"/>
      <c r="BX48" s="4066"/>
      <c r="BY48" s="4067"/>
      <c r="BZ48" s="4068"/>
      <c r="CA48" s="4069"/>
      <c r="CB48" s="4070"/>
      <c r="CC48" s="4071"/>
      <c r="CD48" s="4072"/>
      <c r="CE48" s="4073"/>
      <c r="CF48" s="4074"/>
      <c r="CG48" s="4075"/>
      <c r="CH48" s="4076"/>
      <c r="CI48" s="4077"/>
      <c r="CJ48" s="4078"/>
      <c r="CK48" s="4079"/>
      <c r="CL48" s="4080"/>
      <c r="CM48" s="4081"/>
      <c r="CN48" s="4082"/>
      <c r="CO48" s="4083"/>
      <c r="CP48" s="4084"/>
      <c r="CQ48" s="4085"/>
      <c r="CR48" s="4086"/>
      <c r="CS48" s="4087"/>
      <c r="CT48" s="4088"/>
      <c r="CU48" s="4089"/>
      <c r="CV48" s="4090"/>
      <c r="CW48" s="4091"/>
      <c r="CX48" s="4092"/>
      <c r="CY48" s="4093"/>
      <c r="CZ48" s="4094"/>
      <c r="DA48" s="4095"/>
      <c r="DB48" s="4096"/>
      <c r="DC48" s="4097"/>
      <c r="DD48" s="4098"/>
      <c r="DE48" s="4099"/>
      <c r="DF48" s="4100"/>
      <c r="DG48" s="4101"/>
      <c r="DH48" s="4102"/>
      <c r="DI48" s="4103"/>
      <c r="DJ48" s="4104"/>
      <c r="DK48" s="4105"/>
      <c r="DL48" s="4106"/>
      <c r="DM48" s="4107"/>
      <c r="DN48" s="4108"/>
      <c r="DO48" s="4109"/>
      <c r="DP48" s="4110"/>
      <c r="DQ48" s="4111"/>
      <c r="DR48" s="4112"/>
      <c r="DS48" s="4113"/>
      <c r="DT48" s="4114"/>
      <c r="DU48" s="4115"/>
      <c r="DV48" s="4116"/>
      <c r="DW48" s="4117"/>
      <c r="DX48" s="4118"/>
      <c r="DY48" s="4119"/>
      <c r="DZ48" s="4120"/>
      <c r="EA48" s="4121"/>
      <c r="EB48" s="4122"/>
      <c r="EC48" s="4123"/>
      <c r="ED48" s="4124"/>
      <c r="EE48" s="4125"/>
      <c r="EF48" s="4126"/>
      <c r="EG48" s="4127"/>
      <c r="EH48" s="4128"/>
      <c r="EI48" s="4129"/>
      <c r="EJ48" s="4130"/>
      <c r="EK48" s="4131"/>
      <c r="EL48" s="4132"/>
      <c r="EM48" s="4133"/>
      <c r="EN48" s="4134"/>
      <c r="EO48" s="4135"/>
      <c r="EP48" s="4136"/>
      <c r="EQ48" s="4137"/>
      <c r="ER48" s="4138"/>
      <c r="ES48" s="4139"/>
      <c r="ET48" s="4140"/>
      <c r="EU48" s="4141"/>
      <c r="EV48" s="4142"/>
      <c r="EW48" s="4143"/>
      <c r="EX48" s="4144"/>
      <c r="EY48" s="4145"/>
      <c r="EZ48" s="4146"/>
      <c r="FA48" s="4147"/>
      <c r="FB48" s="4148"/>
      <c r="FC48" s="4149"/>
      <c r="FD48" s="4150"/>
      <c r="FE48" s="4151"/>
      <c r="FF48" s="4152"/>
      <c r="FG48" s="4153"/>
      <c r="FH48" s="4154"/>
      <c r="FI48" s="4155"/>
      <c r="FJ48" s="4156"/>
      <c r="FK48" s="4157"/>
      <c r="FL48" s="4158"/>
      <c r="FM48" s="4159"/>
      <c r="FN48" s="4160"/>
      <c r="FO48" s="4161"/>
      <c r="FP48" s="4162"/>
      <c r="FQ48" s="4163"/>
      <c r="FR48" s="4164"/>
      <c r="FS48" s="4165"/>
      <c r="FT48" s="4166"/>
      <c r="FU48" s="4167"/>
      <c r="FV48" s="4168"/>
      <c r="FW48" s="4169"/>
      <c r="FX48" s="4170"/>
      <c r="FY48" s="4171"/>
      <c r="FZ48" s="4172"/>
      <c r="GA48" s="367"/>
      <c r="GB48" s="1286" t="s">
        <v>474</v>
      </c>
      <c r="GD48" s="506"/>
      <c r="GE48" s="506" t="str">
        <f>IF(T48="","",T48)</f>
        <v>Добавить значение признака дифференциации</v>
      </c>
      <c r="GF48" s="506"/>
      <c r="GG48" s="506"/>
    </row>
    <row s="4173" customFormat="1" customHeight="1" ht="23.25">
      <c r="A49" s="4174"/>
      <c r="B49" s="4174"/>
      <c r="C49" s="4174"/>
      <c r="D49" s="4174"/>
      <c r="E49" s="4175"/>
      <c r="F49" s="4175"/>
      <c r="G49" s="4175"/>
      <c r="H49" s="4175"/>
      <c r="I49" s="4176"/>
      <c r="J49" s="4177" t="str">
        <f>I44&amp;".2"</f>
        <v>1.1.1.1.2</v>
      </c>
      <c r="K49" s="4174"/>
      <c r="L49" s="4178" t="s">
        <v>396</v>
      </c>
      <c r="M49" s="4179"/>
      <c r="N49" s="4179"/>
      <c r="O49" s="4179"/>
      <c r="P49" s="4180"/>
      <c r="Q49" s="4181" t="s">
        <v>476</v>
      </c>
      <c r="R49" s="4182"/>
      <c r="S49" s="4183" t="str">
        <f>$J49</f>
        <v>1.1.1.1.2</v>
      </c>
      <c r="T49" s="4184" t="s">
        <v>397</v>
      </c>
      <c r="U49" s="4185"/>
      <c r="V49" s="3529"/>
      <c r="W49" s="3530"/>
      <c r="X49" s="3530"/>
      <c r="Y49" s="3530"/>
      <c r="Z49" s="3530"/>
      <c r="AA49" s="3530"/>
      <c r="AB49" s="3531"/>
      <c r="AC49" s="3529" t="s">
        <v>486</v>
      </c>
      <c r="AD49" s="3530"/>
      <c r="AE49" s="3530"/>
      <c r="AF49" s="3530"/>
      <c r="AG49" s="3530"/>
      <c r="AH49" s="3530"/>
      <c r="AI49" s="3530"/>
      <c r="AJ49" s="3529"/>
      <c r="AK49" s="3530"/>
      <c r="AL49" s="3530"/>
      <c r="AM49" s="3530"/>
      <c r="AN49" s="3530"/>
      <c r="AO49" s="3530"/>
      <c r="AP49" s="3531"/>
      <c r="AQ49" s="3529"/>
      <c r="AR49" s="3530"/>
      <c r="AS49" s="3530"/>
      <c r="AT49" s="3530"/>
      <c r="AU49" s="3530"/>
      <c r="AV49" s="3530"/>
      <c r="AW49" s="3531"/>
      <c r="AX49" s="3529"/>
      <c r="AY49" s="3530"/>
      <c r="AZ49" s="3530"/>
      <c r="BA49" s="3530"/>
      <c r="BB49" s="3530"/>
      <c r="BC49" s="3530"/>
      <c r="BD49" s="3531"/>
      <c r="BE49" s="3529"/>
      <c r="BF49" s="3530"/>
      <c r="BG49" s="3530"/>
      <c r="BH49" s="3530"/>
      <c r="BI49" s="3530"/>
      <c r="BJ49" s="3530"/>
      <c r="BK49" s="3531"/>
      <c r="BL49" s="3529"/>
      <c r="BM49" s="3530"/>
      <c r="BN49" s="3530"/>
      <c r="BO49" s="3530"/>
      <c r="BP49" s="3530"/>
      <c r="BQ49" s="3530"/>
      <c r="BR49" s="3531"/>
      <c r="BS49" s="3529"/>
      <c r="BT49" s="3530"/>
      <c r="BU49" s="3530"/>
      <c r="BV49" s="3530"/>
      <c r="BW49" s="3530"/>
      <c r="BX49" s="3530"/>
      <c r="BY49" s="3531"/>
      <c r="BZ49" s="3529"/>
      <c r="CA49" s="3530"/>
      <c r="CB49" s="3530"/>
      <c r="CC49" s="3530"/>
      <c r="CD49" s="3530"/>
      <c r="CE49" s="3530"/>
      <c r="CF49" s="3531"/>
      <c r="CG49" s="3529"/>
      <c r="CH49" s="3530"/>
      <c r="CI49" s="3530"/>
      <c r="CJ49" s="3530"/>
      <c r="CK49" s="3530"/>
      <c r="CL49" s="3530"/>
      <c r="CM49" s="3531"/>
      <c r="CN49" s="3529"/>
      <c r="CO49" s="3530"/>
      <c r="CP49" s="3530"/>
      <c r="CQ49" s="3530"/>
      <c r="CR49" s="3530"/>
      <c r="CS49" s="3530"/>
      <c r="CT49" s="3531"/>
      <c r="CU49" s="3529"/>
      <c r="CV49" s="3530"/>
      <c r="CW49" s="3530"/>
      <c r="CX49" s="3530"/>
      <c r="CY49" s="3530"/>
      <c r="CZ49" s="3530"/>
      <c r="DA49" s="3531"/>
      <c r="DB49" s="3529"/>
      <c r="DC49" s="3530"/>
      <c r="DD49" s="3530"/>
      <c r="DE49" s="3530"/>
      <c r="DF49" s="3530"/>
      <c r="DG49" s="3530"/>
      <c r="DH49" s="3531"/>
      <c r="DI49" s="3529"/>
      <c r="DJ49" s="3530"/>
      <c r="DK49" s="3530"/>
      <c r="DL49" s="3530"/>
      <c r="DM49" s="3530"/>
      <c r="DN49" s="3530"/>
      <c r="DO49" s="3531"/>
      <c r="DP49" s="3529"/>
      <c r="DQ49" s="3530"/>
      <c r="DR49" s="3530"/>
      <c r="DS49" s="3530"/>
      <c r="DT49" s="3530"/>
      <c r="DU49" s="3530"/>
      <c r="DV49" s="3531"/>
      <c r="DW49" s="3529"/>
      <c r="DX49" s="3530"/>
      <c r="DY49" s="3530"/>
      <c r="DZ49" s="3530"/>
      <c r="EA49" s="3530"/>
      <c r="EB49" s="3530"/>
      <c r="EC49" s="3531"/>
      <c r="ED49" s="3529"/>
      <c r="EE49" s="3530"/>
      <c r="EF49" s="3530"/>
      <c r="EG49" s="3530"/>
      <c r="EH49" s="3530"/>
      <c r="EI49" s="3530"/>
      <c r="EJ49" s="3531"/>
      <c r="EK49" s="3529"/>
      <c r="EL49" s="3530"/>
      <c r="EM49" s="3530"/>
      <c r="EN49" s="3530"/>
      <c r="EO49" s="3530"/>
      <c r="EP49" s="3530"/>
      <c r="EQ49" s="3531"/>
      <c r="ER49" s="3529"/>
      <c r="ES49" s="3530"/>
      <c r="ET49" s="3530"/>
      <c r="EU49" s="3530"/>
      <c r="EV49" s="3530"/>
      <c r="EW49" s="3530"/>
      <c r="EX49" s="3531"/>
      <c r="EY49" s="3529"/>
      <c r="EZ49" s="3530"/>
      <c r="FA49" s="3530"/>
      <c r="FB49" s="3530"/>
      <c r="FC49" s="3530"/>
      <c r="FD49" s="3530"/>
      <c r="FE49" s="3531"/>
      <c r="FF49" s="3529"/>
      <c r="FG49" s="3530"/>
      <c r="FH49" s="3530"/>
      <c r="FI49" s="3530"/>
      <c r="FJ49" s="3530"/>
      <c r="FK49" s="3530"/>
      <c r="FL49" s="3531"/>
      <c r="FM49" s="3529"/>
      <c r="FN49" s="3530"/>
      <c r="FO49" s="3530"/>
      <c r="FP49" s="3530"/>
      <c r="FQ49" s="3530"/>
      <c r="FR49" s="3530"/>
      <c r="FS49" s="3531"/>
      <c r="FT49" s="3529"/>
      <c r="FU49" s="3530"/>
      <c r="FV49" s="3530"/>
      <c r="FW49" s="3530"/>
      <c r="FX49" s="3530"/>
      <c r="FY49" s="3530"/>
      <c r="FZ49" s="3531"/>
      <c r="GA49" s="3531"/>
      <c r="GB49" s="4186" t="s">
        <v>472</v>
      </c>
      <c r="GC49" s="4000"/>
      <c r="GD49" s="4187"/>
      <c r="GE49" s="4187" t="str">
        <f>IF(T49="","",T49)</f>
        <v>Группа потребителей</v>
      </c>
      <c r="GF49" s="4187"/>
      <c r="GG49" s="4187"/>
    </row>
    <row s="4188" customFormat="1" customHeight="1" ht="23.25">
      <c r="A50" s="4174"/>
      <c r="B50" s="4174"/>
      <c r="C50" s="4174"/>
      <c r="D50" s="4174"/>
      <c r="E50" s="4175"/>
      <c r="F50" s="4175"/>
      <c r="G50" s="4175"/>
      <c r="H50" s="4175"/>
      <c r="I50" s="4176"/>
      <c r="J50" s="4176" t="str">
        <f>I44&amp;".1"</f>
        <v>1.1.1.1.1</v>
      </c>
      <c r="K50" s="4177" t="str">
        <f>J49&amp;".1"</f>
        <v>1.1.1.1.2.1</v>
      </c>
      <c r="L50" s="4178"/>
      <c r="M50" s="4179"/>
      <c r="N50" s="4179"/>
      <c r="O50" s="4179"/>
      <c r="P50" s="4180"/>
      <c r="Q50" s="4180"/>
      <c r="R50" s="4182">
        <v>1</v>
      </c>
      <c r="S50" s="4183" t="str">
        <f>$K50</f>
        <v>1.1.1.1.2.1</v>
      </c>
      <c r="T50" s="4189" t="s">
        <v>487</v>
      </c>
      <c r="U50" s="4185"/>
      <c r="V50" s="3533"/>
      <c r="W50" s="3533"/>
      <c r="X50" s="3534"/>
      <c r="Y50" s="3535"/>
      <c r="Z50" s="3536" t="s">
        <v>60</v>
      </c>
      <c r="AA50" s="3535"/>
      <c r="AB50" s="3536" t="s">
        <v>60</v>
      </c>
      <c r="AC50" s="3533">
        <v>47.04</v>
      </c>
      <c r="AD50" s="3533"/>
      <c r="AE50" s="3534"/>
      <c r="AF50" s="3535">
        <v>45292.39755787037</v>
      </c>
      <c r="AG50" s="3536" t="s">
        <v>60</v>
      </c>
      <c r="AH50" s="4023">
        <v>45473.398356481484</v>
      </c>
      <c r="AI50" s="3536" t="s">
        <v>60</v>
      </c>
      <c r="AJ50" s="3533">
        <v>51.36</v>
      </c>
      <c r="AK50" s="3533"/>
      <c r="AL50" s="3534"/>
      <c r="AM50" s="3535">
        <v>45474.399189814816</v>
      </c>
      <c r="AN50" s="3536" t="s">
        <v>60</v>
      </c>
      <c r="AO50" s="3535">
        <v>45657.39949074074</v>
      </c>
      <c r="AP50" s="3536" t="s">
        <v>60</v>
      </c>
      <c r="AQ50" s="3533">
        <v>51.36</v>
      </c>
      <c r="AR50" s="3533"/>
      <c r="AS50" s="3534"/>
      <c r="AT50" s="3535">
        <v>45658.4003125</v>
      </c>
      <c r="AU50" s="3536" t="s">
        <v>60</v>
      </c>
      <c r="AV50" s="3535">
        <v>45838.40204861111</v>
      </c>
      <c r="AW50" s="3536" t="s">
        <v>60</v>
      </c>
      <c r="AX50" s="3533">
        <v>54.29</v>
      </c>
      <c r="AY50" s="3533"/>
      <c r="AZ50" s="3534"/>
      <c r="BA50" s="3535">
        <v>45839.40326388889</v>
      </c>
      <c r="BB50" s="3536" t="s">
        <v>60</v>
      </c>
      <c r="BC50" s="3535">
        <v>46022.40461805555</v>
      </c>
      <c r="BD50" s="3536" t="s">
        <v>60</v>
      </c>
      <c r="BE50" s="3533">
        <v>54.29</v>
      </c>
      <c r="BF50" s="3533"/>
      <c r="BG50" s="3534"/>
      <c r="BH50" s="3535">
        <v>46023.40519675926</v>
      </c>
      <c r="BI50" s="3536" t="s">
        <v>60</v>
      </c>
      <c r="BJ50" s="3535">
        <v>46203.405439814815</v>
      </c>
      <c r="BK50" s="3536" t="s">
        <v>60</v>
      </c>
      <c r="BL50" s="3533">
        <v>56.46</v>
      </c>
      <c r="BM50" s="3533"/>
      <c r="BN50" s="3534"/>
      <c r="BO50" s="3535">
        <v>46204.40604166667</v>
      </c>
      <c r="BP50" s="3536" t="s">
        <v>60</v>
      </c>
      <c r="BQ50" s="3535">
        <v>46387.40827546296</v>
      </c>
      <c r="BR50" s="3536" t="s">
        <v>60</v>
      </c>
      <c r="BS50" s="3533">
        <v>56.46</v>
      </c>
      <c r="BT50" s="3533"/>
      <c r="BU50" s="3534"/>
      <c r="BV50" s="3535">
        <v>46388.41086805556</v>
      </c>
      <c r="BW50" s="3536" t="s">
        <v>60</v>
      </c>
      <c r="BX50" s="3535">
        <v>46568.41111111111</v>
      </c>
      <c r="BY50" s="3536" t="s">
        <v>60</v>
      </c>
      <c r="BZ50" s="3533">
        <v>58.72</v>
      </c>
      <c r="CA50" s="3533"/>
      <c r="CB50" s="3534"/>
      <c r="CC50" s="3535">
        <v>46569.413310185184</v>
      </c>
      <c r="CD50" s="3536" t="s">
        <v>60</v>
      </c>
      <c r="CE50" s="3535">
        <v>46752.41415509259</v>
      </c>
      <c r="CF50" s="3536" t="s">
        <v>60</v>
      </c>
      <c r="CG50" s="3533">
        <v>58.72</v>
      </c>
      <c r="CH50" s="3533"/>
      <c r="CI50" s="3534"/>
      <c r="CJ50" s="3535">
        <v>46753.42108796296</v>
      </c>
      <c r="CK50" s="3536" t="s">
        <v>60</v>
      </c>
      <c r="CL50" s="3535">
        <v>46934.42221064815</v>
      </c>
      <c r="CM50" s="3536" t="s">
        <v>60</v>
      </c>
      <c r="CN50" s="3533">
        <v>61.07</v>
      </c>
      <c r="CO50" s="3533"/>
      <c r="CP50" s="3534"/>
      <c r="CQ50" s="3535">
        <v>46935.423159722224</v>
      </c>
      <c r="CR50" s="3536" t="s">
        <v>60</v>
      </c>
      <c r="CS50" s="3535">
        <v>47118.42350694445</v>
      </c>
      <c r="CT50" s="3536" t="s">
        <v>60</v>
      </c>
      <c r="CU50" s="3533">
        <v>61.07</v>
      </c>
      <c r="CV50" s="3533"/>
      <c r="CW50" s="3534"/>
      <c r="CX50" s="3535">
        <v>47119.42818287037</v>
      </c>
      <c r="CY50" s="3536" t="s">
        <v>60</v>
      </c>
      <c r="CZ50" s="3535">
        <v>47299.42909722222</v>
      </c>
      <c r="DA50" s="3536" t="s">
        <v>60</v>
      </c>
      <c r="DB50" s="3533">
        <v>63.52</v>
      </c>
      <c r="DC50" s="3533"/>
      <c r="DD50" s="3534"/>
      <c r="DE50" s="3535">
        <v>47300.43236111111</v>
      </c>
      <c r="DF50" s="3536" t="s">
        <v>60</v>
      </c>
      <c r="DG50" s="3535">
        <v>47483.43457175926</v>
      </c>
      <c r="DH50" s="3536" t="s">
        <v>60</v>
      </c>
      <c r="DI50" s="3533">
        <v>63.52</v>
      </c>
      <c r="DJ50" s="3533"/>
      <c r="DK50" s="3534"/>
      <c r="DL50" s="3535">
        <v>47484.43680555555</v>
      </c>
      <c r="DM50" s="3536" t="s">
        <v>60</v>
      </c>
      <c r="DN50" s="3535">
        <v>47664.43715277778</v>
      </c>
      <c r="DO50" s="3536" t="s">
        <v>60</v>
      </c>
      <c r="DP50" s="3533">
        <v>66.06</v>
      </c>
      <c r="DQ50" s="3533"/>
      <c r="DR50" s="3534"/>
      <c r="DS50" s="3535">
        <v>47665.43759259259</v>
      </c>
      <c r="DT50" s="3536" t="s">
        <v>60</v>
      </c>
      <c r="DU50" s="3535">
        <v>47848.43869212963</v>
      </c>
      <c r="DV50" s="3536" t="s">
        <v>60</v>
      </c>
      <c r="DW50" s="3533">
        <v>66.06</v>
      </c>
      <c r="DX50" s="3533"/>
      <c r="DY50" s="3534"/>
      <c r="DZ50" s="3535">
        <v>47849.43917824074</v>
      </c>
      <c r="EA50" s="3536" t="s">
        <v>60</v>
      </c>
      <c r="EB50" s="3535">
        <v>48029.43989583333</v>
      </c>
      <c r="EC50" s="3536" t="s">
        <v>60</v>
      </c>
      <c r="ED50" s="3533">
        <v>68.7</v>
      </c>
      <c r="EE50" s="3533"/>
      <c r="EF50" s="3534"/>
      <c r="EG50" s="3535">
        <v>48030.441342592596</v>
      </c>
      <c r="EH50" s="3536" t="s">
        <v>60</v>
      </c>
      <c r="EI50" s="3535">
        <v>48213.44174768519</v>
      </c>
      <c r="EJ50" s="3536" t="s">
        <v>60</v>
      </c>
      <c r="EK50" s="3533">
        <v>68.7</v>
      </c>
      <c r="EL50" s="3533"/>
      <c r="EM50" s="3534"/>
      <c r="EN50" s="3535">
        <v>48214.44262731481</v>
      </c>
      <c r="EO50" s="3536" t="s">
        <v>60</v>
      </c>
      <c r="EP50" s="3535">
        <v>48395.44295138889</v>
      </c>
      <c r="EQ50" s="3536" t="s">
        <v>60</v>
      </c>
      <c r="ER50" s="3533">
        <v>71.45</v>
      </c>
      <c r="ES50" s="3533"/>
      <c r="ET50" s="3534"/>
      <c r="EU50" s="3535">
        <v>48396.44354166667</v>
      </c>
      <c r="EV50" s="3536" t="s">
        <v>60</v>
      </c>
      <c r="EW50" s="3535">
        <v>48579.44385416667</v>
      </c>
      <c r="EX50" s="3536" t="s">
        <v>60</v>
      </c>
      <c r="EY50" s="3533">
        <v>71.45</v>
      </c>
      <c r="EZ50" s="3533"/>
      <c r="FA50" s="3534"/>
      <c r="FB50" s="3535">
        <v>48580.444502314815</v>
      </c>
      <c r="FC50" s="3536" t="s">
        <v>60</v>
      </c>
      <c r="FD50" s="3535">
        <v>48760.44484953704</v>
      </c>
      <c r="FE50" s="3536" t="s">
        <v>60</v>
      </c>
      <c r="FF50" s="3533">
        <v>74.3</v>
      </c>
      <c r="FG50" s="3533"/>
      <c r="FH50" s="3534"/>
      <c r="FI50" s="3535">
        <v>48761.44513888889</v>
      </c>
      <c r="FJ50" s="3536" t="s">
        <v>60</v>
      </c>
      <c r="FK50" s="3535">
        <v>48944.445381944446</v>
      </c>
      <c r="FL50" s="3536" t="s">
        <v>60</v>
      </c>
      <c r="FM50" s="3533">
        <v>74.3</v>
      </c>
      <c r="FN50" s="3533"/>
      <c r="FO50" s="3534"/>
      <c r="FP50" s="3535">
        <v>48945.44605324074</v>
      </c>
      <c r="FQ50" s="3536" t="s">
        <v>60</v>
      </c>
      <c r="FR50" s="3535">
        <v>49125.44630787037</v>
      </c>
      <c r="FS50" s="3536" t="s">
        <v>60</v>
      </c>
      <c r="FT50" s="3533">
        <v>77.28</v>
      </c>
      <c r="FU50" s="3533"/>
      <c r="FV50" s="3534"/>
      <c r="FW50" s="3535">
        <v>49126.44673611111</v>
      </c>
      <c r="FX50" s="3536" t="s">
        <v>60</v>
      </c>
      <c r="FY50" s="3535">
        <v>49309.447118055556</v>
      </c>
      <c r="FZ50" s="3536" t="s">
        <v>60</v>
      </c>
      <c r="GA50" s="4190"/>
      <c r="GB50" s="41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GC50" s="4000">
        <f>STRCHECKDATE(V51:GA51)</f>
      </c>
      <c r="GD50" s="4187"/>
      <c r="GE50" s="4187" t="str">
        <f>IF(T50="","",T50)</f>
        <v>Население (тарифы указаны с учетом НДС)</v>
      </c>
      <c r="GF50" s="4187"/>
      <c r="GG50" s="4187"/>
    </row>
    <row s="4192" customFormat="1" customHeight="1" ht="14.25">
      <c r="A51" s="4174"/>
      <c r="B51" s="4174"/>
      <c r="C51" s="4174"/>
      <c r="D51" s="4174"/>
      <c r="E51" s="4175"/>
      <c r="F51" s="4175"/>
      <c r="G51" s="4175"/>
      <c r="H51" s="4175"/>
      <c r="I51" s="4176"/>
      <c r="J51" s="4176" t="str">
        <f>I44&amp;".1"</f>
        <v>1.1.1.1.1</v>
      </c>
      <c r="K51" s="4177"/>
      <c r="L51" s="4178"/>
      <c r="M51" s="4179"/>
      <c r="N51" s="4179"/>
      <c r="O51" s="4179"/>
      <c r="P51" s="4180"/>
      <c r="Q51" s="4180"/>
      <c r="R51" s="4182"/>
      <c r="S51" s="4193"/>
      <c r="T51" s="4185"/>
      <c r="U51" s="4185"/>
      <c r="V51" s="3540"/>
      <c r="W51" s="3540"/>
      <c r="X51" s="3541" t="str">
        <f>Y50&amp;"-"&amp;AA50</f>
        <v>-</v>
      </c>
      <c r="Y51" s="3542"/>
      <c r="Z51" s="3536"/>
      <c r="AA51" s="3542"/>
      <c r="AB51" s="3536"/>
      <c r="AC51" s="3540"/>
      <c r="AD51" s="3540"/>
      <c r="AE51" s="3541" t="str">
        <f>AF50&amp;"-"&amp;AH50</f>
        <v>45292.39755787037-45473.398356481484</v>
      </c>
      <c r="AF51" s="3542"/>
      <c r="AG51" s="3536"/>
      <c r="AH51" s="4025"/>
      <c r="AI51" s="3536"/>
      <c r="AJ51" s="3540"/>
      <c r="AK51" s="3540"/>
      <c r="AL51" s="3541" t="str">
        <f>AM50&amp;"-"&amp;AO50</f>
        <v>45474.399189814816-45657.39949074074</v>
      </c>
      <c r="AM51" s="3542"/>
      <c r="AN51" s="3536"/>
      <c r="AO51" s="3542"/>
      <c r="AP51" s="3536"/>
      <c r="AQ51" s="3540"/>
      <c r="AR51" s="3540"/>
      <c r="AS51" s="3541" t="str">
        <f>AT50&amp;"-"&amp;AV50</f>
        <v>45658.4003125-45838.40204861111</v>
      </c>
      <c r="AT51" s="3542"/>
      <c r="AU51" s="3536"/>
      <c r="AV51" s="3542"/>
      <c r="AW51" s="3536"/>
      <c r="AX51" s="3540"/>
      <c r="AY51" s="3540"/>
      <c r="AZ51" s="3541" t="str">
        <f>BA50&amp;"-"&amp;BC50</f>
        <v>45839.40326388889-46022.40461805555</v>
      </c>
      <c r="BA51" s="3542"/>
      <c r="BB51" s="3536"/>
      <c r="BC51" s="3542"/>
      <c r="BD51" s="3536"/>
      <c r="BE51" s="3540"/>
      <c r="BF51" s="3540"/>
      <c r="BG51" s="3541" t="str">
        <f>BH50&amp;"-"&amp;BJ50</f>
        <v>46023.40519675926-46203.405439814815</v>
      </c>
      <c r="BH51" s="3542"/>
      <c r="BI51" s="3536"/>
      <c r="BJ51" s="3542"/>
      <c r="BK51" s="3536"/>
      <c r="BL51" s="3540"/>
      <c r="BM51" s="3540"/>
      <c r="BN51" s="3541" t="str">
        <f>BO50&amp;"-"&amp;BQ50</f>
        <v>46204.40604166667-46387.40827546296</v>
      </c>
      <c r="BO51" s="3542"/>
      <c r="BP51" s="3536"/>
      <c r="BQ51" s="3542"/>
      <c r="BR51" s="3536"/>
      <c r="BS51" s="3540"/>
      <c r="BT51" s="3540"/>
      <c r="BU51" s="3541" t="str">
        <f>BV50&amp;"-"&amp;BX50</f>
        <v>46388.41086805556-46568.41111111111</v>
      </c>
      <c r="BV51" s="3542"/>
      <c r="BW51" s="3536"/>
      <c r="BX51" s="3542"/>
      <c r="BY51" s="3536"/>
      <c r="BZ51" s="3540"/>
      <c r="CA51" s="3540"/>
      <c r="CB51" s="3541" t="str">
        <f>CC50&amp;"-"&amp;CE50</f>
        <v>46569.413310185184-46752.41415509259</v>
      </c>
      <c r="CC51" s="3542"/>
      <c r="CD51" s="3536"/>
      <c r="CE51" s="3542"/>
      <c r="CF51" s="3536"/>
      <c r="CG51" s="3540"/>
      <c r="CH51" s="3540"/>
      <c r="CI51" s="3541" t="str">
        <f>CJ50&amp;"-"&amp;CL50</f>
        <v>46753.42108796296-46934.42221064815</v>
      </c>
      <c r="CJ51" s="3542"/>
      <c r="CK51" s="3536"/>
      <c r="CL51" s="3542"/>
      <c r="CM51" s="3536"/>
      <c r="CN51" s="3540"/>
      <c r="CO51" s="3540"/>
      <c r="CP51" s="3541" t="str">
        <f>CQ50&amp;"-"&amp;CS50</f>
        <v>46935.423159722224-47118.42350694445</v>
      </c>
      <c r="CQ51" s="3542"/>
      <c r="CR51" s="3536"/>
      <c r="CS51" s="3542"/>
      <c r="CT51" s="3536"/>
      <c r="CU51" s="3540"/>
      <c r="CV51" s="3540"/>
      <c r="CW51" s="3541" t="str">
        <f>CX50&amp;"-"&amp;CZ50</f>
        <v>47119.42818287037-47299.42909722222</v>
      </c>
      <c r="CX51" s="3542"/>
      <c r="CY51" s="3536"/>
      <c r="CZ51" s="3542"/>
      <c r="DA51" s="3536"/>
      <c r="DB51" s="3540"/>
      <c r="DC51" s="3540"/>
      <c r="DD51" s="3541" t="str">
        <f>DE50&amp;"-"&amp;DG50</f>
        <v>47300.43236111111-47483.43457175926</v>
      </c>
      <c r="DE51" s="3542"/>
      <c r="DF51" s="3536"/>
      <c r="DG51" s="3542"/>
      <c r="DH51" s="3536"/>
      <c r="DI51" s="3540"/>
      <c r="DJ51" s="3540"/>
      <c r="DK51" s="3541" t="str">
        <f>DL50&amp;"-"&amp;DN50</f>
        <v>47484.43680555555-47664.43715277778</v>
      </c>
      <c r="DL51" s="3542"/>
      <c r="DM51" s="3536"/>
      <c r="DN51" s="3542"/>
      <c r="DO51" s="3536"/>
      <c r="DP51" s="3540"/>
      <c r="DQ51" s="3540"/>
      <c r="DR51" s="3541" t="str">
        <f>DS50&amp;"-"&amp;DU50</f>
        <v>47665.43759259259-47848.43869212963</v>
      </c>
      <c r="DS51" s="3542"/>
      <c r="DT51" s="3536"/>
      <c r="DU51" s="3542"/>
      <c r="DV51" s="3536"/>
      <c r="DW51" s="3540"/>
      <c r="DX51" s="3540"/>
      <c r="DY51" s="3541" t="str">
        <f>DZ50&amp;"-"&amp;EB50</f>
        <v>47849.43917824074-48029.43989583333</v>
      </c>
      <c r="DZ51" s="3542"/>
      <c r="EA51" s="3536"/>
      <c r="EB51" s="3542"/>
      <c r="EC51" s="3536"/>
      <c r="ED51" s="3540"/>
      <c r="EE51" s="3540"/>
      <c r="EF51" s="3541" t="str">
        <f>EG50&amp;"-"&amp;EI50</f>
        <v>48030.441342592596-48213.44174768519</v>
      </c>
      <c r="EG51" s="3542"/>
      <c r="EH51" s="3536"/>
      <c r="EI51" s="3542"/>
      <c r="EJ51" s="3536"/>
      <c r="EK51" s="3540"/>
      <c r="EL51" s="3540"/>
      <c r="EM51" s="3541" t="str">
        <f>EN50&amp;"-"&amp;EP50</f>
        <v>48214.44262731481-48395.44295138889</v>
      </c>
      <c r="EN51" s="3542"/>
      <c r="EO51" s="3536"/>
      <c r="EP51" s="3542"/>
      <c r="EQ51" s="3536"/>
      <c r="ER51" s="3540"/>
      <c r="ES51" s="3540"/>
      <c r="ET51" s="3541" t="str">
        <f>EU50&amp;"-"&amp;EW50</f>
        <v>48396.44354166667-48579.44385416667</v>
      </c>
      <c r="EU51" s="3542"/>
      <c r="EV51" s="3536"/>
      <c r="EW51" s="3542"/>
      <c r="EX51" s="3536"/>
      <c r="EY51" s="3540"/>
      <c r="EZ51" s="3540"/>
      <c r="FA51" s="3541" t="str">
        <f>FB50&amp;"-"&amp;FD50</f>
        <v>48580.444502314815-48760.44484953704</v>
      </c>
      <c r="FB51" s="3542"/>
      <c r="FC51" s="3536"/>
      <c r="FD51" s="3542"/>
      <c r="FE51" s="3536"/>
      <c r="FF51" s="3540"/>
      <c r="FG51" s="3540"/>
      <c r="FH51" s="3541" t="str">
        <f>FI50&amp;"-"&amp;FK50</f>
        <v>48761.44513888889-48944.445381944446</v>
      </c>
      <c r="FI51" s="3542"/>
      <c r="FJ51" s="3536"/>
      <c r="FK51" s="3542"/>
      <c r="FL51" s="3536"/>
      <c r="FM51" s="3540"/>
      <c r="FN51" s="3540"/>
      <c r="FO51" s="3541" t="str">
        <f>FP50&amp;"-"&amp;FR50</f>
        <v>48945.44605324074-49125.44630787037</v>
      </c>
      <c r="FP51" s="3542"/>
      <c r="FQ51" s="3536"/>
      <c r="FR51" s="3542"/>
      <c r="FS51" s="3536"/>
      <c r="FT51" s="3540"/>
      <c r="FU51" s="3540"/>
      <c r="FV51" s="3541" t="str">
        <f>FW50&amp;"-"&amp;FY50</f>
        <v>49126.44673611111-49309.447118055556</v>
      </c>
      <c r="FW51" s="3542"/>
      <c r="FX51" s="3536"/>
      <c r="FY51" s="3542"/>
      <c r="FZ51" s="3536"/>
      <c r="GA51" s="4194"/>
      <c r="GB51" s="4191"/>
      <c r="GC51" s="4000"/>
      <c r="GD51" s="4187"/>
      <c r="GE51" s="4187" t="str">
        <f>IF(T51="","",T51)</f>
        <v/>
      </c>
      <c r="GF51" s="4187"/>
      <c r="GG51" s="4187"/>
    </row>
    <row s="4195" customFormat="1" customHeight="1" ht="21">
      <c r="A52" s="4174"/>
      <c r="B52" s="4174"/>
      <c r="C52" s="4174"/>
      <c r="D52" s="4174"/>
      <c r="E52" s="4175"/>
      <c r="F52" s="4175"/>
      <c r="G52" s="4175"/>
      <c r="H52" s="4175"/>
      <c r="I52" s="4176"/>
      <c r="J52" s="4177" t="str">
        <f>I44&amp;".1"</f>
        <v>1.1.1.1.1</v>
      </c>
      <c r="K52" s="4174"/>
      <c r="L52" s="4178"/>
      <c r="M52" s="4179"/>
      <c r="N52" s="4179"/>
      <c r="O52" s="4179"/>
      <c r="P52" s="4180"/>
      <c r="Q52" s="4180"/>
      <c r="R52" s="4196"/>
      <c r="S52" s="4197"/>
      <c r="T52" s="4198" t="s">
        <v>473</v>
      </c>
      <c r="U52" s="4199"/>
      <c r="V52" s="4200"/>
      <c r="W52" s="4201"/>
      <c r="X52" s="4202"/>
      <c r="Y52" s="4203"/>
      <c r="Z52" s="4204"/>
      <c r="AA52" s="4205"/>
      <c r="AB52" s="4206"/>
      <c r="AC52" s="4207"/>
      <c r="AD52" s="4208"/>
      <c r="AE52" s="4209"/>
      <c r="AF52" s="4210"/>
      <c r="AG52" s="4211"/>
      <c r="AH52" s="4212"/>
      <c r="AI52" s="4213"/>
      <c r="AJ52" s="4214"/>
      <c r="AK52" s="4215"/>
      <c r="AL52" s="4216"/>
      <c r="AM52" s="4217"/>
      <c r="AN52" s="4218"/>
      <c r="AO52" s="4219"/>
      <c r="AP52" s="4220"/>
      <c r="AQ52" s="4221"/>
      <c r="AR52" s="4222"/>
      <c r="AS52" s="4223"/>
      <c r="AT52" s="4224"/>
      <c r="AU52" s="4225"/>
      <c r="AV52" s="4226"/>
      <c r="AW52" s="4227"/>
      <c r="AX52" s="4228"/>
      <c r="AY52" s="4229"/>
      <c r="AZ52" s="4230"/>
      <c r="BA52" s="4231"/>
      <c r="BB52" s="4232"/>
      <c r="BC52" s="4233"/>
      <c r="BD52" s="4234"/>
      <c r="BE52" s="4235"/>
      <c r="BF52" s="4236"/>
      <c r="BG52" s="4237"/>
      <c r="BH52" s="4238"/>
      <c r="BI52" s="4239"/>
      <c r="BJ52" s="4240"/>
      <c r="BK52" s="4241"/>
      <c r="BL52" s="4242"/>
      <c r="BM52" s="4243"/>
      <c r="BN52" s="4244"/>
      <c r="BO52" s="4245"/>
      <c r="BP52" s="4246"/>
      <c r="BQ52" s="4247"/>
      <c r="BR52" s="4248"/>
      <c r="BS52" s="4249"/>
      <c r="BT52" s="4250"/>
      <c r="BU52" s="4251"/>
      <c r="BV52" s="4252"/>
      <c r="BW52" s="4253"/>
      <c r="BX52" s="4254"/>
      <c r="BY52" s="4255"/>
      <c r="BZ52" s="4256"/>
      <c r="CA52" s="4257"/>
      <c r="CB52" s="4258"/>
      <c r="CC52" s="4259"/>
      <c r="CD52" s="4260"/>
      <c r="CE52" s="4261"/>
      <c r="CF52" s="4262"/>
      <c r="CG52" s="4263"/>
      <c r="CH52" s="4264"/>
      <c r="CI52" s="4265"/>
      <c r="CJ52" s="4266"/>
      <c r="CK52" s="4267"/>
      <c r="CL52" s="4268"/>
      <c r="CM52" s="4269"/>
      <c r="CN52" s="4270"/>
      <c r="CO52" s="4271"/>
      <c r="CP52" s="4272"/>
      <c r="CQ52" s="4273"/>
      <c r="CR52" s="4274"/>
      <c r="CS52" s="4275"/>
      <c r="CT52" s="4276"/>
      <c r="CU52" s="4277"/>
      <c r="CV52" s="4278"/>
      <c r="CW52" s="4279"/>
      <c r="CX52" s="4280"/>
      <c r="CY52" s="4281"/>
      <c r="CZ52" s="4282"/>
      <c r="DA52" s="4283"/>
      <c r="DB52" s="4284"/>
      <c r="DC52" s="4285"/>
      <c r="DD52" s="4286"/>
      <c r="DE52" s="4287"/>
      <c r="DF52" s="4288"/>
      <c r="DG52" s="4289"/>
      <c r="DH52" s="4290"/>
      <c r="DI52" s="4291"/>
      <c r="DJ52" s="4292"/>
      <c r="DK52" s="4293"/>
      <c r="DL52" s="4294"/>
      <c r="DM52" s="4295"/>
      <c r="DN52" s="4296"/>
      <c r="DO52" s="4297"/>
      <c r="DP52" s="4298"/>
      <c r="DQ52" s="4299"/>
      <c r="DR52" s="4300"/>
      <c r="DS52" s="4301"/>
      <c r="DT52" s="4302"/>
      <c r="DU52" s="4303"/>
      <c r="DV52" s="4304"/>
      <c r="DW52" s="4305"/>
      <c r="DX52" s="4306"/>
      <c r="DY52" s="4307"/>
      <c r="DZ52" s="4308"/>
      <c r="EA52" s="4309"/>
      <c r="EB52" s="4310"/>
      <c r="EC52" s="4311"/>
      <c r="ED52" s="4312"/>
      <c r="EE52" s="4313"/>
      <c r="EF52" s="4314"/>
      <c r="EG52" s="4315"/>
      <c r="EH52" s="4316"/>
      <c r="EI52" s="4317"/>
      <c r="EJ52" s="4318"/>
      <c r="EK52" s="4319"/>
      <c r="EL52" s="4320"/>
      <c r="EM52" s="4321"/>
      <c r="EN52" s="4322"/>
      <c r="EO52" s="4323"/>
      <c r="EP52" s="4324"/>
      <c r="EQ52" s="4325"/>
      <c r="ER52" s="4326"/>
      <c r="ES52" s="4327"/>
      <c r="ET52" s="4328"/>
      <c r="EU52" s="4329"/>
      <c r="EV52" s="4330"/>
      <c r="EW52" s="4331"/>
      <c r="EX52" s="4332"/>
      <c r="EY52" s="4333"/>
      <c r="EZ52" s="4334"/>
      <c r="FA52" s="4335"/>
      <c r="FB52" s="4336"/>
      <c r="FC52" s="4337"/>
      <c r="FD52" s="4338"/>
      <c r="FE52" s="4339"/>
      <c r="FF52" s="4340"/>
      <c r="FG52" s="4341"/>
      <c r="FH52" s="4342"/>
      <c r="FI52" s="4343"/>
      <c r="FJ52" s="4344"/>
      <c r="FK52" s="4345"/>
      <c r="FL52" s="4346"/>
      <c r="FM52" s="4347"/>
      <c r="FN52" s="4348"/>
      <c r="FO52" s="4349"/>
      <c r="FP52" s="4350"/>
      <c r="FQ52" s="4351"/>
      <c r="FR52" s="4352"/>
      <c r="FS52" s="4353"/>
      <c r="FT52" s="4354"/>
      <c r="FU52" s="4355"/>
      <c r="FV52" s="4356"/>
      <c r="FW52" s="4357"/>
      <c r="FX52" s="4358"/>
      <c r="FY52" s="4359"/>
      <c r="FZ52" s="4360"/>
      <c r="GA52" s="4361"/>
      <c r="GB52" s="4362" t="s">
        <v>474</v>
      </c>
      <c r="GC52" s="4000"/>
      <c r="GD52" s="4187"/>
      <c r="GE52" s="4187" t="str">
        <f>IF(T52="","",T52)</f>
        <v>Добавить значение признака дифференциации</v>
      </c>
      <c r="GF52" s="4187"/>
      <c r="GG52" s="4187"/>
    </row>
    <row customHeight="1" ht="21">
      <c r="A53" s="1393" t="s">
        <v>211</v>
      </c>
      <c r="B53" s="1393" t="s">
        <v>212</v>
      </c>
      <c r="C53" s="1393" t="s">
        <v>213</v>
      </c>
      <c r="D53" s="1393" t="s">
        <v>483</v>
      </c>
      <c r="E53" s="2108"/>
      <c r="F53" s="2108"/>
      <c r="G53" s="2108"/>
      <c r="H53" s="2108"/>
      <c r="I53" s="2109"/>
      <c r="J53" s="1393"/>
      <c r="K53" s="1393"/>
      <c r="L53" s="1394"/>
      <c r="P53" s="2111"/>
      <c r="Q53" s="1384"/>
      <c r="R53" s="352"/>
      <c r="S53" s="1308"/>
      <c r="T53" s="364" t="s">
        <v>402</v>
      </c>
      <c r="U53" s="367"/>
      <c r="V53" s="367"/>
      <c r="W53" s="367"/>
      <c r="X53" s="367"/>
      <c r="Y53" s="367"/>
      <c r="Z53" s="367"/>
      <c r="AA53" s="367"/>
      <c r="AB53" s="366"/>
      <c r="AC53" s="367"/>
      <c r="AD53" s="367"/>
      <c r="AE53" s="367"/>
      <c r="AF53" s="367"/>
      <c r="AG53" s="367"/>
      <c r="AH53" s="367"/>
      <c r="AI53" s="366"/>
      <c r="AJ53" s="4363"/>
      <c r="AK53" s="4364"/>
      <c r="AL53" s="4365"/>
      <c r="AM53" s="4366"/>
      <c r="AN53" s="4367"/>
      <c r="AO53" s="4368"/>
      <c r="AP53" s="4369"/>
      <c r="AQ53" s="4370"/>
      <c r="AR53" s="4371"/>
      <c r="AS53" s="4372"/>
      <c r="AT53" s="4373"/>
      <c r="AU53" s="4374"/>
      <c r="AV53" s="4375"/>
      <c r="AW53" s="4376"/>
      <c r="AX53" s="4377"/>
      <c r="AY53" s="4378"/>
      <c r="AZ53" s="4379"/>
      <c r="BA53" s="4380"/>
      <c r="BB53" s="4381"/>
      <c r="BC53" s="4382"/>
      <c r="BD53" s="4383"/>
      <c r="BE53" s="4384"/>
      <c r="BF53" s="4385"/>
      <c r="BG53" s="4386"/>
      <c r="BH53" s="4387"/>
      <c r="BI53" s="4388"/>
      <c r="BJ53" s="4389"/>
      <c r="BK53" s="4390"/>
      <c r="BL53" s="4391"/>
      <c r="BM53" s="4392"/>
      <c r="BN53" s="4393"/>
      <c r="BO53" s="4394"/>
      <c r="BP53" s="4395"/>
      <c r="BQ53" s="4396"/>
      <c r="BR53" s="4397"/>
      <c r="BS53" s="4398"/>
      <c r="BT53" s="4399"/>
      <c r="BU53" s="4400"/>
      <c r="BV53" s="4401"/>
      <c r="BW53" s="4402"/>
      <c r="BX53" s="4403"/>
      <c r="BY53" s="4404"/>
      <c r="BZ53" s="4405"/>
      <c r="CA53" s="4406"/>
      <c r="CB53" s="4407"/>
      <c r="CC53" s="4408"/>
      <c r="CD53" s="4409"/>
      <c r="CE53" s="4410"/>
      <c r="CF53" s="4411"/>
      <c r="CG53" s="4412"/>
      <c r="CH53" s="4413"/>
      <c r="CI53" s="4414"/>
      <c r="CJ53" s="4415"/>
      <c r="CK53" s="4416"/>
      <c r="CL53" s="4417"/>
      <c r="CM53" s="4418"/>
      <c r="CN53" s="4419"/>
      <c r="CO53" s="4420"/>
      <c r="CP53" s="4421"/>
      <c r="CQ53" s="4422"/>
      <c r="CR53" s="4423"/>
      <c r="CS53" s="4424"/>
      <c r="CT53" s="4425"/>
      <c r="CU53" s="4426"/>
      <c r="CV53" s="4427"/>
      <c r="CW53" s="4428"/>
      <c r="CX53" s="4429"/>
      <c r="CY53" s="4430"/>
      <c r="CZ53" s="4431"/>
      <c r="DA53" s="4432"/>
      <c r="DB53" s="4433"/>
      <c r="DC53" s="4434"/>
      <c r="DD53" s="4435"/>
      <c r="DE53" s="4436"/>
      <c r="DF53" s="4437"/>
      <c r="DG53" s="4438"/>
      <c r="DH53" s="4439"/>
      <c r="DI53" s="4440"/>
      <c r="DJ53" s="4441"/>
      <c r="DK53" s="4442"/>
      <c r="DL53" s="4443"/>
      <c r="DM53" s="4444"/>
      <c r="DN53" s="4445"/>
      <c r="DO53" s="4446"/>
      <c r="DP53" s="4447"/>
      <c r="DQ53" s="4448"/>
      <c r="DR53" s="4449"/>
      <c r="DS53" s="4450"/>
      <c r="DT53" s="4451"/>
      <c r="DU53" s="4452"/>
      <c r="DV53" s="4453"/>
      <c r="DW53" s="4454"/>
      <c r="DX53" s="4455"/>
      <c r="DY53" s="4456"/>
      <c r="DZ53" s="4457"/>
      <c r="EA53" s="4458"/>
      <c r="EB53" s="4459"/>
      <c r="EC53" s="4460"/>
      <c r="ED53" s="4461"/>
      <c r="EE53" s="4462"/>
      <c r="EF53" s="4463"/>
      <c r="EG53" s="4464"/>
      <c r="EH53" s="4465"/>
      <c r="EI53" s="4466"/>
      <c r="EJ53" s="4467"/>
      <c r="EK53" s="4468"/>
      <c r="EL53" s="4469"/>
      <c r="EM53" s="4470"/>
      <c r="EN53" s="4471"/>
      <c r="EO53" s="4472"/>
      <c r="EP53" s="4473"/>
      <c r="EQ53" s="4474"/>
      <c r="ER53" s="4475"/>
      <c r="ES53" s="4476"/>
      <c r="ET53" s="4477"/>
      <c r="EU53" s="4478"/>
      <c r="EV53" s="4479"/>
      <c r="EW53" s="4480"/>
      <c r="EX53" s="4481"/>
      <c r="EY53" s="4482"/>
      <c r="EZ53" s="4483"/>
      <c r="FA53" s="4484"/>
      <c r="FB53" s="4485"/>
      <c r="FC53" s="4486"/>
      <c r="FD53" s="4487"/>
      <c r="FE53" s="4488"/>
      <c r="FF53" s="4489"/>
      <c r="FG53" s="4490"/>
      <c r="FH53" s="4491"/>
      <c r="FI53" s="4492"/>
      <c r="FJ53" s="4493"/>
      <c r="FK53" s="4494"/>
      <c r="FL53" s="4495"/>
      <c r="FM53" s="4496"/>
      <c r="FN53" s="4497"/>
      <c r="FO53" s="4498"/>
      <c r="FP53" s="4499"/>
      <c r="FQ53" s="4500"/>
      <c r="FR53" s="4501"/>
      <c r="FS53" s="4502"/>
      <c r="FT53" s="4503"/>
      <c r="FU53" s="4504"/>
      <c r="FV53" s="4505"/>
      <c r="FW53" s="4506"/>
      <c r="FX53" s="4507"/>
      <c r="FY53" s="4508"/>
      <c r="FZ53" s="4509"/>
      <c r="GA53" s="367"/>
      <c r="GB53" s="1470"/>
      <c r="GD53" s="506"/>
      <c r="GE53" s="506" t="str">
        <f>IF(T53="","",T53)</f>
        <v>Добавить группу потребителей</v>
      </c>
      <c r="GF53" s="506"/>
      <c r="GG53" s="506"/>
    </row>
    <row customHeight="1" ht="21">
      <c r="A54" s="1393" t="s">
        <v>211</v>
      </c>
      <c r="B54" s="1393" t="s">
        <v>212</v>
      </c>
      <c r="C54" s="1393" t="s">
        <v>213</v>
      </c>
      <c r="D54" s="1393" t="s">
        <v>483</v>
      </c>
      <c r="E54" s="2108"/>
      <c r="F54" s="2108"/>
      <c r="G54" s="2108"/>
      <c r="H54" s="2107"/>
      <c r="I54" s="1393"/>
      <c r="J54" s="1393"/>
      <c r="K54" s="1393"/>
      <c r="L54" s="1394"/>
      <c r="M54" s="1395"/>
      <c r="N54" s="1395"/>
      <c r="O54" s="543"/>
      <c r="P54" s="356"/>
      <c r="Q54" s="376"/>
      <c r="R54" s="351"/>
      <c r="S54" s="1308"/>
      <c r="T54" s="372" t="s">
        <v>475</v>
      </c>
      <c r="U54" s="367"/>
      <c r="V54" s="367"/>
      <c r="W54" s="367"/>
      <c r="X54" s="367"/>
      <c r="Y54" s="367"/>
      <c r="Z54" s="367"/>
      <c r="AA54" s="367"/>
      <c r="AB54" s="366"/>
      <c r="AC54" s="367"/>
      <c r="AD54" s="367"/>
      <c r="AE54" s="367"/>
      <c r="AF54" s="367"/>
      <c r="AG54" s="367"/>
      <c r="AH54" s="367"/>
      <c r="AI54" s="366"/>
      <c r="AJ54" s="4510"/>
      <c r="AK54" s="4511"/>
      <c r="AL54" s="4512"/>
      <c r="AM54" s="4513"/>
      <c r="AN54" s="4514"/>
      <c r="AO54" s="4515"/>
      <c r="AP54" s="4516"/>
      <c r="AQ54" s="4517"/>
      <c r="AR54" s="4518"/>
      <c r="AS54" s="4519"/>
      <c r="AT54" s="4520"/>
      <c r="AU54" s="4521"/>
      <c r="AV54" s="4522"/>
      <c r="AW54" s="4523"/>
      <c r="AX54" s="4524"/>
      <c r="AY54" s="4525"/>
      <c r="AZ54" s="4526"/>
      <c r="BA54" s="4527"/>
      <c r="BB54" s="4528"/>
      <c r="BC54" s="4529"/>
      <c r="BD54" s="4530"/>
      <c r="BE54" s="4531"/>
      <c r="BF54" s="4532"/>
      <c r="BG54" s="4533"/>
      <c r="BH54" s="4534"/>
      <c r="BI54" s="4535"/>
      <c r="BJ54" s="4536"/>
      <c r="BK54" s="4537"/>
      <c r="BL54" s="4538"/>
      <c r="BM54" s="4539"/>
      <c r="BN54" s="4540"/>
      <c r="BO54" s="4541"/>
      <c r="BP54" s="4542"/>
      <c r="BQ54" s="4543"/>
      <c r="BR54" s="4544"/>
      <c r="BS54" s="4545"/>
      <c r="BT54" s="4546"/>
      <c r="BU54" s="4547"/>
      <c r="BV54" s="4548"/>
      <c r="BW54" s="4549"/>
      <c r="BX54" s="4550"/>
      <c r="BY54" s="4551"/>
      <c r="BZ54" s="4552"/>
      <c r="CA54" s="4553"/>
      <c r="CB54" s="4554"/>
      <c r="CC54" s="4555"/>
      <c r="CD54" s="4556"/>
      <c r="CE54" s="4557"/>
      <c r="CF54" s="4558"/>
      <c r="CG54" s="4559"/>
      <c r="CH54" s="4560"/>
      <c r="CI54" s="4561"/>
      <c r="CJ54" s="4562"/>
      <c r="CK54" s="4563"/>
      <c r="CL54" s="4564"/>
      <c r="CM54" s="4565"/>
      <c r="CN54" s="4566"/>
      <c r="CO54" s="4567"/>
      <c r="CP54" s="4568"/>
      <c r="CQ54" s="4569"/>
      <c r="CR54" s="4570"/>
      <c r="CS54" s="4571"/>
      <c r="CT54" s="4572"/>
      <c r="CU54" s="4573"/>
      <c r="CV54" s="4574"/>
      <c r="CW54" s="4575"/>
      <c r="CX54" s="4576"/>
      <c r="CY54" s="4577"/>
      <c r="CZ54" s="4578"/>
      <c r="DA54" s="4579"/>
      <c r="DB54" s="4580"/>
      <c r="DC54" s="4581"/>
      <c r="DD54" s="4582"/>
      <c r="DE54" s="4583"/>
      <c r="DF54" s="4584"/>
      <c r="DG54" s="4585"/>
      <c r="DH54" s="4586"/>
      <c r="DI54" s="4587"/>
      <c r="DJ54" s="4588"/>
      <c r="DK54" s="4589"/>
      <c r="DL54" s="4590"/>
      <c r="DM54" s="4591"/>
      <c r="DN54" s="4592"/>
      <c r="DO54" s="4593"/>
      <c r="DP54" s="4594"/>
      <c r="DQ54" s="4595"/>
      <c r="DR54" s="4596"/>
      <c r="DS54" s="4597"/>
      <c r="DT54" s="4598"/>
      <c r="DU54" s="4599"/>
      <c r="DV54" s="4600"/>
      <c r="DW54" s="4601"/>
      <c r="DX54" s="4602"/>
      <c r="DY54" s="4603"/>
      <c r="DZ54" s="4604"/>
      <c r="EA54" s="4605"/>
      <c r="EB54" s="4606"/>
      <c r="EC54" s="4607"/>
      <c r="ED54" s="4608"/>
      <c r="EE54" s="4609"/>
      <c r="EF54" s="4610"/>
      <c r="EG54" s="4611"/>
      <c r="EH54" s="4612"/>
      <c r="EI54" s="4613"/>
      <c r="EJ54" s="4614"/>
      <c r="EK54" s="4615"/>
      <c r="EL54" s="4616"/>
      <c r="EM54" s="4617"/>
      <c r="EN54" s="4618"/>
      <c r="EO54" s="4619"/>
      <c r="EP54" s="4620"/>
      <c r="EQ54" s="4621"/>
      <c r="ER54" s="4622"/>
      <c r="ES54" s="4623"/>
      <c r="ET54" s="4624"/>
      <c r="EU54" s="4625"/>
      <c r="EV54" s="4626"/>
      <c r="EW54" s="4627"/>
      <c r="EX54" s="4628"/>
      <c r="EY54" s="4629"/>
      <c r="EZ54" s="4630"/>
      <c r="FA54" s="4631"/>
      <c r="FB54" s="4632"/>
      <c r="FC54" s="4633"/>
      <c r="FD54" s="4634"/>
      <c r="FE54" s="4635"/>
      <c r="FF54" s="4636"/>
      <c r="FG54" s="4637"/>
      <c r="FH54" s="4638"/>
      <c r="FI54" s="4639"/>
      <c r="FJ54" s="4640"/>
      <c r="FK54" s="4641"/>
      <c r="FL54" s="4642"/>
      <c r="FM54" s="4643"/>
      <c r="FN54" s="4644"/>
      <c r="FO54" s="4645"/>
      <c r="FP54" s="4646"/>
      <c r="FQ54" s="4647"/>
      <c r="FR54" s="4648"/>
      <c r="FS54" s="4649"/>
      <c r="FT54" s="4650"/>
      <c r="FU54" s="4651"/>
      <c r="FV54" s="4652"/>
      <c r="FW54" s="4653"/>
      <c r="FX54" s="4654"/>
      <c r="FY54" s="4655"/>
      <c r="FZ54" s="4656"/>
      <c r="GA54" s="367"/>
      <c r="GB54" s="291"/>
      <c r="GD54" s="506"/>
      <c r="GE54" s="506" t="str">
        <f>IF(T54="","",T54)</f>
        <v>Добавить наименование признака дифференциации</v>
      </c>
      <c r="GF54" s="506"/>
      <c r="GG54" s="506"/>
    </row>
    <row s="3273" customFormat="1" customHeight="1" ht="0">
      <c r="A55" s="1373" t="s">
        <v>211</v>
      </c>
      <c r="B55" s="1373" t="s">
        <v>212</v>
      </c>
      <c r="C55" s="1344"/>
      <c r="D55" s="1344"/>
      <c r="E55" s="2108"/>
      <c r="F55" s="2107"/>
      <c r="G55" s="1344"/>
      <c r="H55" s="1344"/>
      <c r="I55" s="1344"/>
      <c r="J55" s="1344"/>
      <c r="K55" s="1344"/>
      <c r="L55" s="1456"/>
      <c r="M55" s="1351"/>
      <c r="N55" s="1351"/>
      <c r="P55" s="1346"/>
      <c r="Q55" s="1347"/>
      <c r="R55" s="1346"/>
      <c r="S55" s="1352"/>
      <c r="T55" s="1355" t="s">
        <v>214</v>
      </c>
      <c r="U55" s="1354"/>
      <c r="V55" s="1354"/>
      <c r="W55" s="1354"/>
      <c r="X55" s="1354"/>
      <c r="Y55" s="1354"/>
      <c r="Z55" s="1354"/>
      <c r="AA55" s="1354"/>
      <c r="AB55" s="1354"/>
      <c r="AC55" s="1354"/>
      <c r="AD55" s="1354"/>
      <c r="AE55" s="1354"/>
      <c r="AF55" s="1354"/>
      <c r="AG55" s="1354"/>
      <c r="AH55" s="1354"/>
      <c r="AI55" s="1354"/>
      <c r="AJ55" s="3988"/>
      <c r="AK55" s="3988"/>
      <c r="AL55" s="3988"/>
      <c r="AM55" s="3988"/>
      <c r="AN55" s="3988"/>
      <c r="AO55" s="3988"/>
      <c r="AP55" s="3988"/>
      <c r="AQ55" s="3988"/>
      <c r="AR55" s="3988"/>
      <c r="AS55" s="3988"/>
      <c r="AT55" s="3988"/>
      <c r="AU55" s="3988"/>
      <c r="AV55" s="3988"/>
      <c r="AW55" s="3988"/>
      <c r="AX55" s="3988"/>
      <c r="AY55" s="3988"/>
      <c r="AZ55" s="3988"/>
      <c r="BA55" s="3988"/>
      <c r="BB55" s="3988"/>
      <c r="BC55" s="3988"/>
      <c r="BD55" s="3988"/>
      <c r="BE55" s="3988"/>
      <c r="BF55" s="3988"/>
      <c r="BG55" s="3988"/>
      <c r="BH55" s="3988"/>
      <c r="BI55" s="3988"/>
      <c r="BJ55" s="3988"/>
      <c r="BK55" s="3988"/>
      <c r="BL55" s="3988"/>
      <c r="BM55" s="3988"/>
      <c r="BN55" s="3988"/>
      <c r="BO55" s="3988"/>
      <c r="BP55" s="3988"/>
      <c r="BQ55" s="3988"/>
      <c r="BR55" s="3988"/>
      <c r="BS55" s="3988"/>
      <c r="BT55" s="3988"/>
      <c r="BU55" s="3988"/>
      <c r="BV55" s="3988"/>
      <c r="BW55" s="3988"/>
      <c r="BX55" s="3988"/>
      <c r="BY55" s="3988"/>
      <c r="BZ55" s="3988"/>
      <c r="CA55" s="3988"/>
      <c r="CB55" s="3988"/>
      <c r="CC55" s="3988"/>
      <c r="CD55" s="3988"/>
      <c r="CE55" s="3988"/>
      <c r="CF55" s="3988"/>
      <c r="CG55" s="3988"/>
      <c r="CH55" s="3988"/>
      <c r="CI55" s="3988"/>
      <c r="CJ55" s="3988"/>
      <c r="CK55" s="3988"/>
      <c r="CL55" s="3988"/>
      <c r="CM55" s="3988"/>
      <c r="CN55" s="3988"/>
      <c r="CO55" s="3988"/>
      <c r="CP55" s="3988"/>
      <c r="CQ55" s="3988"/>
      <c r="CR55" s="3988"/>
      <c r="CS55" s="3988"/>
      <c r="CT55" s="3988"/>
      <c r="CU55" s="3988"/>
      <c r="CV55" s="3988"/>
      <c r="CW55" s="3988"/>
      <c r="CX55" s="3988"/>
      <c r="CY55" s="3988"/>
      <c r="CZ55" s="3988"/>
      <c r="DA55" s="3988"/>
      <c r="DB55" s="3988"/>
      <c r="DC55" s="3988"/>
      <c r="DD55" s="3988"/>
      <c r="DE55" s="3988"/>
      <c r="DF55" s="3988"/>
      <c r="DG55" s="3988"/>
      <c r="DH55" s="3988"/>
      <c r="DI55" s="3988"/>
      <c r="DJ55" s="3988"/>
      <c r="DK55" s="3988"/>
      <c r="DL55" s="3988"/>
      <c r="DM55" s="3988"/>
      <c r="DN55" s="3988"/>
      <c r="DO55" s="3988"/>
      <c r="DP55" s="3988"/>
      <c r="DQ55" s="3988"/>
      <c r="DR55" s="3988"/>
      <c r="DS55" s="3988"/>
      <c r="DT55" s="3988"/>
      <c r="DU55" s="3988"/>
      <c r="DV55" s="3988"/>
      <c r="DW55" s="3988"/>
      <c r="DX55" s="3988"/>
      <c r="DY55" s="3988"/>
      <c r="DZ55" s="3988"/>
      <c r="EA55" s="3988"/>
      <c r="EB55" s="3988"/>
      <c r="EC55" s="3988"/>
      <c r="ED55" s="3988"/>
      <c r="EE55" s="3988"/>
      <c r="EF55" s="3988"/>
      <c r="EG55" s="3988"/>
      <c r="EH55" s="3988"/>
      <c r="EI55" s="3988"/>
      <c r="EJ55" s="3988"/>
      <c r="EK55" s="3988"/>
      <c r="EL55" s="3988"/>
      <c r="EM55" s="3988"/>
      <c r="EN55" s="3988"/>
      <c r="EO55" s="3988"/>
      <c r="EP55" s="3988"/>
      <c r="EQ55" s="3988"/>
      <c r="ER55" s="3988"/>
      <c r="ES55" s="3988"/>
      <c r="ET55" s="3988"/>
      <c r="EU55" s="3988"/>
      <c r="EV55" s="3988"/>
      <c r="EW55" s="3988"/>
      <c r="EX55" s="3988"/>
      <c r="EY55" s="3988"/>
      <c r="EZ55" s="3988"/>
      <c r="FA55" s="3988"/>
      <c r="FB55" s="3988"/>
      <c r="FC55" s="3988"/>
      <c r="FD55" s="3988"/>
      <c r="FE55" s="3988"/>
      <c r="FF55" s="3988"/>
      <c r="FG55" s="3988"/>
      <c r="FH55" s="3988"/>
      <c r="FI55" s="3988"/>
      <c r="FJ55" s="3988"/>
      <c r="FK55" s="3988"/>
      <c r="FL55" s="3988"/>
      <c r="FM55" s="3988"/>
      <c r="FN55" s="3988"/>
      <c r="FO55" s="3988"/>
      <c r="FP55" s="3988"/>
      <c r="FQ55" s="3988"/>
      <c r="FR55" s="3988"/>
      <c r="FS55" s="3988"/>
      <c r="FT55" s="3988"/>
      <c r="FU55" s="3988"/>
      <c r="FV55" s="3988"/>
      <c r="FW55" s="3988"/>
      <c r="FX55" s="3988"/>
      <c r="FY55" s="3988"/>
      <c r="FZ55" s="3988"/>
      <c r="GA55" s="1354"/>
      <c r="GB55" s="1354"/>
      <c r="GD55" s="795"/>
      <c r="GE55" s="795" t="str">
        <f>IF(T55="","",T55)</f>
        <v>Добавить централизованную систему для дифференциации</v>
      </c>
      <c r="GF55" s="795"/>
      <c r="GG55" s="795"/>
    </row>
    <row s="2613" customFormat="1" customHeight="1" ht="0">
      <c r="A56" s="1373" t="s">
        <v>211</v>
      </c>
      <c r="B56" s="1373"/>
      <c r="C56" s="1373"/>
      <c r="D56" s="1373"/>
      <c r="E56" s="2107"/>
      <c r="F56" s="1373"/>
      <c r="G56" s="1373"/>
      <c r="H56" s="1373"/>
      <c r="I56" s="1373"/>
      <c r="J56" s="1373"/>
      <c r="K56" s="1373"/>
      <c r="L56" s="1376"/>
      <c r="M56" s="1351"/>
      <c r="N56" s="1351"/>
      <c r="O56" s="524"/>
      <c r="P56" s="385"/>
      <c r="Q56" s="1374"/>
      <c r="R56" s="385"/>
      <c r="S56" s="1352"/>
      <c r="T56" s="1355" t="s">
        <v>215</v>
      </c>
      <c r="U56" s="1354"/>
      <c r="V56" s="1354"/>
      <c r="W56" s="1354"/>
      <c r="X56" s="1354"/>
      <c r="Y56" s="1354"/>
      <c r="Z56" s="1354"/>
      <c r="AA56" s="1354"/>
      <c r="AB56" s="1354"/>
      <c r="AC56" s="1354"/>
      <c r="AD56" s="1354"/>
      <c r="AE56" s="1354"/>
      <c r="AF56" s="1354"/>
      <c r="AG56" s="1354"/>
      <c r="AH56" s="1354"/>
      <c r="AI56" s="1354"/>
      <c r="AJ56" s="3988"/>
      <c r="AK56" s="3988"/>
      <c r="AL56" s="3988"/>
      <c r="AM56" s="3988"/>
      <c r="AN56" s="3988"/>
      <c r="AO56" s="3988"/>
      <c r="AP56" s="3988"/>
      <c r="AQ56" s="3988"/>
      <c r="AR56" s="3988"/>
      <c r="AS56" s="3988"/>
      <c r="AT56" s="3988"/>
      <c r="AU56" s="3988"/>
      <c r="AV56" s="3988"/>
      <c r="AW56" s="3988"/>
      <c r="AX56" s="3988"/>
      <c r="AY56" s="3988"/>
      <c r="AZ56" s="3988"/>
      <c r="BA56" s="3988"/>
      <c r="BB56" s="3988"/>
      <c r="BC56" s="3988"/>
      <c r="BD56" s="3988"/>
      <c r="BE56" s="3988"/>
      <c r="BF56" s="3988"/>
      <c r="BG56" s="3988"/>
      <c r="BH56" s="3988"/>
      <c r="BI56" s="3988"/>
      <c r="BJ56" s="3988"/>
      <c r="BK56" s="3988"/>
      <c r="BL56" s="3988"/>
      <c r="BM56" s="3988"/>
      <c r="BN56" s="3988"/>
      <c r="BO56" s="3988"/>
      <c r="BP56" s="3988"/>
      <c r="BQ56" s="3988"/>
      <c r="BR56" s="3988"/>
      <c r="BS56" s="3988"/>
      <c r="BT56" s="3988"/>
      <c r="BU56" s="3988"/>
      <c r="BV56" s="3988"/>
      <c r="BW56" s="3988"/>
      <c r="BX56" s="3988"/>
      <c r="BY56" s="3988"/>
      <c r="BZ56" s="3988"/>
      <c r="CA56" s="3988"/>
      <c r="CB56" s="3988"/>
      <c r="CC56" s="3988"/>
      <c r="CD56" s="3988"/>
      <c r="CE56" s="3988"/>
      <c r="CF56" s="3988"/>
      <c r="CG56" s="3988"/>
      <c r="CH56" s="3988"/>
      <c r="CI56" s="3988"/>
      <c r="CJ56" s="3988"/>
      <c r="CK56" s="3988"/>
      <c r="CL56" s="3988"/>
      <c r="CM56" s="3988"/>
      <c r="CN56" s="3988"/>
      <c r="CO56" s="3988"/>
      <c r="CP56" s="3988"/>
      <c r="CQ56" s="3988"/>
      <c r="CR56" s="3988"/>
      <c r="CS56" s="3988"/>
      <c r="CT56" s="3988"/>
      <c r="CU56" s="3988"/>
      <c r="CV56" s="3988"/>
      <c r="CW56" s="3988"/>
      <c r="CX56" s="3988"/>
      <c r="CY56" s="3988"/>
      <c r="CZ56" s="3988"/>
      <c r="DA56" s="3988"/>
      <c r="DB56" s="3988"/>
      <c r="DC56" s="3988"/>
      <c r="DD56" s="3988"/>
      <c r="DE56" s="3988"/>
      <c r="DF56" s="3988"/>
      <c r="DG56" s="3988"/>
      <c r="DH56" s="3988"/>
      <c r="DI56" s="3988"/>
      <c r="DJ56" s="3988"/>
      <c r="DK56" s="3988"/>
      <c r="DL56" s="3988"/>
      <c r="DM56" s="3988"/>
      <c r="DN56" s="3988"/>
      <c r="DO56" s="3988"/>
      <c r="DP56" s="3988"/>
      <c r="DQ56" s="3988"/>
      <c r="DR56" s="3988"/>
      <c r="DS56" s="3988"/>
      <c r="DT56" s="3988"/>
      <c r="DU56" s="3988"/>
      <c r="DV56" s="3988"/>
      <c r="DW56" s="3988"/>
      <c r="DX56" s="3988"/>
      <c r="DY56" s="3988"/>
      <c r="DZ56" s="3988"/>
      <c r="EA56" s="3988"/>
      <c r="EB56" s="3988"/>
      <c r="EC56" s="3988"/>
      <c r="ED56" s="3988"/>
      <c r="EE56" s="3988"/>
      <c r="EF56" s="3988"/>
      <c r="EG56" s="3988"/>
      <c r="EH56" s="3988"/>
      <c r="EI56" s="3988"/>
      <c r="EJ56" s="3988"/>
      <c r="EK56" s="3988"/>
      <c r="EL56" s="3988"/>
      <c r="EM56" s="3988"/>
      <c r="EN56" s="3988"/>
      <c r="EO56" s="3988"/>
      <c r="EP56" s="3988"/>
      <c r="EQ56" s="3988"/>
      <c r="ER56" s="3988"/>
      <c r="ES56" s="3988"/>
      <c r="ET56" s="3988"/>
      <c r="EU56" s="3988"/>
      <c r="EV56" s="3988"/>
      <c r="EW56" s="3988"/>
      <c r="EX56" s="3988"/>
      <c r="EY56" s="3988"/>
      <c r="EZ56" s="3988"/>
      <c r="FA56" s="3988"/>
      <c r="FB56" s="3988"/>
      <c r="FC56" s="3988"/>
      <c r="FD56" s="3988"/>
      <c r="FE56" s="3988"/>
      <c r="FF56" s="3988"/>
      <c r="FG56" s="3988"/>
      <c r="FH56" s="3988"/>
      <c r="FI56" s="3988"/>
      <c r="FJ56" s="3988"/>
      <c r="FK56" s="3988"/>
      <c r="FL56" s="3988"/>
      <c r="FM56" s="3988"/>
      <c r="FN56" s="3988"/>
      <c r="FO56" s="3988"/>
      <c r="FP56" s="3988"/>
      <c r="FQ56" s="3988"/>
      <c r="FR56" s="3988"/>
      <c r="FS56" s="3988"/>
      <c r="FT56" s="3988"/>
      <c r="FU56" s="3988"/>
      <c r="FV56" s="3988"/>
      <c r="FW56" s="3988"/>
      <c r="FX56" s="3988"/>
      <c r="FY56" s="3988"/>
      <c r="FZ56" s="3988"/>
      <c r="GA56" s="1354"/>
      <c r="GB56" s="1354"/>
      <c r="GD56" s="506"/>
      <c r="GE56" s="506" t="str">
        <f>IF(T56="","",T56)</f>
        <v>Добавить территорию для дифференциации</v>
      </c>
      <c r="GF56" s="506"/>
      <c r="GG56" s="506"/>
    </row>
    <row s="3273" customFormat="1" customHeight="1" ht="0">
      <c r="A57" s="1344"/>
      <c r="B57" s="1344"/>
      <c r="C57" s="1344"/>
      <c r="D57" s="1344"/>
      <c r="E57" s="1373"/>
      <c r="F57" s="1344"/>
      <c r="G57" s="1344"/>
      <c r="H57" s="1344"/>
      <c r="I57" s="1344"/>
      <c r="J57" s="1344"/>
      <c r="K57" s="1344"/>
      <c r="L57" s="1456"/>
      <c r="M57" s="1351"/>
      <c r="N57" s="1351"/>
      <c r="P57" s="1346"/>
      <c r="Q57" s="1347"/>
      <c r="R57" s="1346"/>
      <c r="S57" s="1352"/>
      <c r="T57" s="1355" t="s">
        <v>216</v>
      </c>
      <c r="U57" s="1354"/>
      <c r="V57" s="1354"/>
      <c r="W57" s="1354"/>
      <c r="X57" s="1354"/>
      <c r="Y57" s="1354"/>
      <c r="Z57" s="1354"/>
      <c r="AA57" s="1354"/>
      <c r="AB57" s="1354"/>
      <c r="AC57" s="1354"/>
      <c r="AD57" s="1354"/>
      <c r="AE57" s="1354"/>
      <c r="AF57" s="1354"/>
      <c r="AG57" s="1354"/>
      <c r="AH57" s="1354"/>
      <c r="AI57" s="1354"/>
      <c r="AJ57" s="3988"/>
      <c r="AK57" s="3988"/>
      <c r="AL57" s="3988"/>
      <c r="AM57" s="3988"/>
      <c r="AN57" s="3988"/>
      <c r="AO57" s="3988"/>
      <c r="AP57" s="3988"/>
      <c r="AQ57" s="3988"/>
      <c r="AR57" s="3988"/>
      <c r="AS57" s="3988"/>
      <c r="AT57" s="3988"/>
      <c r="AU57" s="3988"/>
      <c r="AV57" s="3988"/>
      <c r="AW57" s="3988"/>
      <c r="AX57" s="3988"/>
      <c r="AY57" s="3988"/>
      <c r="AZ57" s="3988"/>
      <c r="BA57" s="3988"/>
      <c r="BB57" s="3988"/>
      <c r="BC57" s="3988"/>
      <c r="BD57" s="3988"/>
      <c r="BE57" s="3988"/>
      <c r="BF57" s="3988"/>
      <c r="BG57" s="3988"/>
      <c r="BH57" s="3988"/>
      <c r="BI57" s="3988"/>
      <c r="BJ57" s="3988"/>
      <c r="BK57" s="3988"/>
      <c r="BL57" s="3988"/>
      <c r="BM57" s="3988"/>
      <c r="BN57" s="3988"/>
      <c r="BO57" s="3988"/>
      <c r="BP57" s="3988"/>
      <c r="BQ57" s="3988"/>
      <c r="BR57" s="3988"/>
      <c r="BS57" s="3988"/>
      <c r="BT57" s="3988"/>
      <c r="BU57" s="3988"/>
      <c r="BV57" s="3988"/>
      <c r="BW57" s="3988"/>
      <c r="BX57" s="3988"/>
      <c r="BY57" s="3988"/>
      <c r="BZ57" s="3988"/>
      <c r="CA57" s="3988"/>
      <c r="CB57" s="3988"/>
      <c r="CC57" s="3988"/>
      <c r="CD57" s="3988"/>
      <c r="CE57" s="3988"/>
      <c r="CF57" s="3988"/>
      <c r="CG57" s="3988"/>
      <c r="CH57" s="3988"/>
      <c r="CI57" s="3988"/>
      <c r="CJ57" s="3988"/>
      <c r="CK57" s="3988"/>
      <c r="CL57" s="3988"/>
      <c r="CM57" s="3988"/>
      <c r="CN57" s="3988"/>
      <c r="CO57" s="3988"/>
      <c r="CP57" s="3988"/>
      <c r="CQ57" s="3988"/>
      <c r="CR57" s="3988"/>
      <c r="CS57" s="3988"/>
      <c r="CT57" s="3988"/>
      <c r="CU57" s="3988"/>
      <c r="CV57" s="3988"/>
      <c r="CW57" s="3988"/>
      <c r="CX57" s="3988"/>
      <c r="CY57" s="3988"/>
      <c r="CZ57" s="3988"/>
      <c r="DA57" s="3988"/>
      <c r="DB57" s="3988"/>
      <c r="DC57" s="3988"/>
      <c r="DD57" s="3988"/>
      <c r="DE57" s="3988"/>
      <c r="DF57" s="3988"/>
      <c r="DG57" s="3988"/>
      <c r="DH57" s="3988"/>
      <c r="DI57" s="3988"/>
      <c r="DJ57" s="3988"/>
      <c r="DK57" s="3988"/>
      <c r="DL57" s="3988"/>
      <c r="DM57" s="3988"/>
      <c r="DN57" s="3988"/>
      <c r="DO57" s="3988"/>
      <c r="DP57" s="3988"/>
      <c r="DQ57" s="3988"/>
      <c r="DR57" s="3988"/>
      <c r="DS57" s="3988"/>
      <c r="DT57" s="3988"/>
      <c r="DU57" s="3988"/>
      <c r="DV57" s="3988"/>
      <c r="DW57" s="3988"/>
      <c r="DX57" s="3988"/>
      <c r="DY57" s="3988"/>
      <c r="DZ57" s="3988"/>
      <c r="EA57" s="3988"/>
      <c r="EB57" s="3988"/>
      <c r="EC57" s="3988"/>
      <c r="ED57" s="3988"/>
      <c r="EE57" s="3988"/>
      <c r="EF57" s="3988"/>
      <c r="EG57" s="3988"/>
      <c r="EH57" s="3988"/>
      <c r="EI57" s="3988"/>
      <c r="EJ57" s="3988"/>
      <c r="EK57" s="3988"/>
      <c r="EL57" s="3988"/>
      <c r="EM57" s="3988"/>
      <c r="EN57" s="3988"/>
      <c r="EO57" s="3988"/>
      <c r="EP57" s="3988"/>
      <c r="EQ57" s="3988"/>
      <c r="ER57" s="3988"/>
      <c r="ES57" s="3988"/>
      <c r="ET57" s="3988"/>
      <c r="EU57" s="3988"/>
      <c r="EV57" s="3988"/>
      <c r="EW57" s="3988"/>
      <c r="EX57" s="3988"/>
      <c r="EY57" s="3988"/>
      <c r="EZ57" s="3988"/>
      <c r="FA57" s="3988"/>
      <c r="FB57" s="3988"/>
      <c r="FC57" s="3988"/>
      <c r="FD57" s="3988"/>
      <c r="FE57" s="3988"/>
      <c r="FF57" s="3988"/>
      <c r="FG57" s="3988"/>
      <c r="FH57" s="3988"/>
      <c r="FI57" s="3988"/>
      <c r="FJ57" s="3988"/>
      <c r="FK57" s="3988"/>
      <c r="FL57" s="3988"/>
      <c r="FM57" s="3988"/>
      <c r="FN57" s="3988"/>
      <c r="FO57" s="3988"/>
      <c r="FP57" s="3988"/>
      <c r="FQ57" s="3988"/>
      <c r="FR57" s="3988"/>
      <c r="FS57" s="3988"/>
      <c r="FT57" s="3988"/>
      <c r="FU57" s="3988"/>
      <c r="FV57" s="3988"/>
      <c r="FW57" s="3988"/>
      <c r="FX57" s="3988"/>
      <c r="FY57" s="3988"/>
      <c r="FZ57" s="3988"/>
      <c r="GA57" s="1354"/>
      <c r="GB57" s="1354"/>
      <c r="GD57" s="795"/>
      <c r="GE57" s="795" t="str">
        <f>IF(T57="","",T57)</f>
        <v>Добавить наименование тарифа</v>
      </c>
      <c r="GF57" s="795"/>
      <c r="GG57" s="795"/>
    </row>
    <row customHeight="1" ht="11.25">
      <c r="M58" s="1168"/>
      <c r="N58" s="1168"/>
      <c r="O58" s="543"/>
      <c r="P58" s="1163"/>
      <c r="Q58" s="1163"/>
      <c r="R58" s="1163"/>
      <c r="S58" s="1163"/>
      <c r="AJ58" s="3513"/>
      <c r="AK58" s="3513"/>
      <c r="AL58" s="3513"/>
      <c r="AM58" s="3513"/>
      <c r="AN58" s="3513"/>
      <c r="AO58" s="3513"/>
      <c r="AP58" s="3513"/>
      <c r="AQ58" s="3513"/>
      <c r="AR58" s="3513"/>
      <c r="AS58" s="3513"/>
      <c r="AT58" s="3513"/>
      <c r="AU58" s="3513"/>
      <c r="AV58" s="3513"/>
      <c r="AW58" s="3513"/>
      <c r="AX58" s="3513"/>
      <c r="AY58" s="3513"/>
      <c r="AZ58" s="3513"/>
      <c r="BA58" s="3513"/>
      <c r="BB58" s="3513"/>
      <c r="BC58" s="3513"/>
      <c r="BD58" s="3513"/>
      <c r="BE58" s="3513"/>
      <c r="BF58" s="3513"/>
      <c r="BG58" s="3513"/>
      <c r="BH58" s="3513"/>
      <c r="BI58" s="3513"/>
      <c r="BJ58" s="3513"/>
      <c r="BK58" s="3513"/>
      <c r="BL58" s="3513"/>
      <c r="BM58" s="3513"/>
      <c r="BN58" s="3513"/>
      <c r="BO58" s="3513"/>
      <c r="BP58" s="3513"/>
      <c r="BQ58" s="3513"/>
      <c r="BR58" s="3513"/>
      <c r="BS58" s="3513"/>
      <c r="BT58" s="3513"/>
      <c r="BU58" s="3513"/>
      <c r="BV58" s="3513"/>
      <c r="BW58" s="3513"/>
      <c r="BX58" s="3513"/>
      <c r="BY58" s="3513"/>
      <c r="BZ58" s="3513"/>
      <c r="CA58" s="3513"/>
      <c r="CB58" s="3513"/>
      <c r="CC58" s="3513"/>
      <c r="CD58" s="3513"/>
      <c r="CE58" s="3513"/>
      <c r="CF58" s="3513"/>
      <c r="CG58" s="3513"/>
      <c r="CH58" s="3513"/>
      <c r="CI58" s="3513"/>
      <c r="CJ58" s="3513"/>
      <c r="CK58" s="3513"/>
      <c r="CL58" s="3513"/>
      <c r="CM58" s="3513"/>
      <c r="CN58" s="3513"/>
      <c r="CO58" s="3513"/>
      <c r="CP58" s="3513"/>
      <c r="CQ58" s="3513"/>
      <c r="CR58" s="3513"/>
      <c r="CS58" s="3513"/>
      <c r="CT58" s="3513"/>
      <c r="CU58" s="3513"/>
      <c r="CV58" s="3513"/>
      <c r="CW58" s="3513"/>
      <c r="CX58" s="3513"/>
      <c r="CY58" s="3513"/>
      <c r="CZ58" s="3513"/>
      <c r="DA58" s="3513"/>
      <c r="DB58" s="3513"/>
      <c r="DC58" s="3513"/>
      <c r="DD58" s="3513"/>
      <c r="DE58" s="3513"/>
      <c r="DF58" s="3513"/>
      <c r="DG58" s="3513"/>
      <c r="DH58" s="3513"/>
      <c r="DI58" s="3513"/>
      <c r="DJ58" s="3513"/>
      <c r="DK58" s="3513"/>
      <c r="DL58" s="3513"/>
      <c r="DM58" s="3513"/>
      <c r="DN58" s="3513"/>
      <c r="DO58" s="3513"/>
      <c r="DP58" s="3513"/>
      <c r="DQ58" s="3513"/>
      <c r="DR58" s="3513"/>
      <c r="DS58" s="3513"/>
      <c r="DT58" s="3513"/>
      <c r="DU58" s="3513"/>
      <c r="DV58" s="3513"/>
      <c r="DW58" s="3513"/>
      <c r="DX58" s="3513"/>
      <c r="DY58" s="3513"/>
      <c r="DZ58" s="3513"/>
      <c r="EA58" s="3513"/>
      <c r="EB58" s="3513"/>
      <c r="EC58" s="3513"/>
      <c r="ED58" s="3513"/>
      <c r="EE58" s="3513"/>
      <c r="EF58" s="3513"/>
      <c r="EG58" s="3513"/>
      <c r="EH58" s="3513"/>
      <c r="EI58" s="3513"/>
      <c r="EJ58" s="3513"/>
      <c r="EK58" s="3513"/>
      <c r="EL58" s="3513"/>
      <c r="EM58" s="3513"/>
      <c r="EN58" s="3513"/>
      <c r="EO58" s="3513"/>
      <c r="EP58" s="3513"/>
      <c r="EQ58" s="3513"/>
      <c r="ER58" s="3513"/>
      <c r="ES58" s="3513"/>
      <c r="ET58" s="3513"/>
      <c r="EU58" s="3513"/>
      <c r="EV58" s="3513"/>
      <c r="EW58" s="3513"/>
      <c r="EX58" s="3513"/>
      <c r="EY58" s="3513"/>
      <c r="EZ58" s="3513"/>
      <c r="FA58" s="3513"/>
      <c r="FB58" s="3513"/>
      <c r="FC58" s="3513"/>
      <c r="FD58" s="3513"/>
      <c r="FE58" s="3513"/>
      <c r="FF58" s="3513"/>
      <c r="FG58" s="3513"/>
      <c r="FH58" s="3513"/>
      <c r="FI58" s="3513"/>
      <c r="FJ58" s="3513"/>
      <c r="FK58" s="3513"/>
      <c r="FL58" s="3513"/>
      <c r="FM58" s="3513"/>
      <c r="FN58" s="3513"/>
      <c r="FO58" s="3513"/>
      <c r="FP58" s="3513"/>
      <c r="FQ58" s="3513"/>
      <c r="FR58" s="3513"/>
      <c r="FS58" s="3513"/>
      <c r="FT58" s="3513"/>
      <c r="FU58" s="3513"/>
      <c r="FV58" s="3513"/>
      <c r="FW58" s="3513"/>
      <c r="FX58" s="3513"/>
      <c r="FY58" s="3513"/>
      <c r="FZ58" s="3513"/>
      <c r="GC58" s="1163"/>
      <c r="GD58" s="1163"/>
      <c r="GE58" s="1163"/>
      <c r="GF58" s="1163"/>
      <c r="GG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4657"/>
      <c r="AK59" s="4657"/>
      <c r="AL59" s="4657"/>
      <c r="AM59" s="4657"/>
      <c r="AN59" s="4657"/>
      <c r="AO59" s="4657"/>
      <c r="AP59" s="4657"/>
      <c r="AQ59" s="4657"/>
      <c r="AR59" s="4657"/>
      <c r="AS59" s="4657"/>
      <c r="AT59" s="4657"/>
      <c r="AU59" s="4657"/>
      <c r="AV59" s="4657"/>
      <c r="AW59" s="4657"/>
      <c r="AX59" s="4657"/>
      <c r="AY59" s="4657"/>
      <c r="AZ59" s="4657"/>
      <c r="BA59" s="4657"/>
      <c r="BB59" s="4657"/>
      <c r="BC59" s="4657"/>
      <c r="BD59" s="4657"/>
      <c r="BE59" s="4657"/>
      <c r="BF59" s="4657"/>
      <c r="BG59" s="4657"/>
      <c r="BH59" s="4657"/>
      <c r="BI59" s="4657"/>
      <c r="BJ59" s="4657"/>
      <c r="BK59" s="4657"/>
      <c r="BL59" s="4657"/>
      <c r="BM59" s="4657"/>
      <c r="BN59" s="4657"/>
      <c r="BO59" s="4657"/>
      <c r="BP59" s="4657"/>
      <c r="BQ59" s="4657"/>
      <c r="BR59" s="4657"/>
      <c r="BS59" s="4657"/>
      <c r="BT59" s="4657"/>
      <c r="BU59" s="4657"/>
      <c r="BV59" s="4657"/>
      <c r="BW59" s="4657"/>
      <c r="BX59" s="4657"/>
      <c r="BY59" s="4657"/>
      <c r="BZ59" s="4657"/>
      <c r="CA59" s="4657"/>
      <c r="CB59" s="4657"/>
      <c r="CC59" s="4657"/>
      <c r="CD59" s="4657"/>
      <c r="CE59" s="4657"/>
      <c r="CF59" s="4657"/>
      <c r="CG59" s="4657"/>
      <c r="CH59" s="4657"/>
      <c r="CI59" s="4657"/>
      <c r="CJ59" s="4657"/>
      <c r="CK59" s="4657"/>
      <c r="CL59" s="4657"/>
      <c r="CM59" s="4657"/>
      <c r="CN59" s="4657"/>
      <c r="CO59" s="4657"/>
      <c r="CP59" s="4657"/>
      <c r="CQ59" s="4657"/>
      <c r="CR59" s="4657"/>
      <c r="CS59" s="4657"/>
      <c r="CT59" s="4657"/>
      <c r="CU59" s="4657"/>
      <c r="CV59" s="4657"/>
      <c r="CW59" s="4657"/>
      <c r="CX59" s="4657"/>
      <c r="CY59" s="4657"/>
      <c r="CZ59" s="4657"/>
      <c r="DA59" s="4657"/>
      <c r="DB59" s="4657"/>
      <c r="DC59" s="4657"/>
      <c r="DD59" s="4657"/>
      <c r="DE59" s="4657"/>
      <c r="DF59" s="4657"/>
      <c r="DG59" s="4657"/>
      <c r="DH59" s="4657"/>
      <c r="DI59" s="4657"/>
      <c r="DJ59" s="4657"/>
      <c r="DK59" s="4657"/>
      <c r="DL59" s="4657"/>
      <c r="DM59" s="4657"/>
      <c r="DN59" s="4657"/>
      <c r="DO59" s="4657"/>
      <c r="DP59" s="4657"/>
      <c r="DQ59" s="4657"/>
      <c r="DR59" s="4657"/>
      <c r="DS59" s="4657"/>
      <c r="DT59" s="4657"/>
      <c r="DU59" s="4657"/>
      <c r="DV59" s="4657"/>
      <c r="DW59" s="4657"/>
      <c r="DX59" s="4657"/>
      <c r="DY59" s="4657"/>
      <c r="DZ59" s="4657"/>
      <c r="EA59" s="4657"/>
      <c r="EB59" s="4657"/>
      <c r="EC59" s="4657"/>
      <c r="ED59" s="4657"/>
      <c r="EE59" s="4657"/>
      <c r="EF59" s="4657"/>
      <c r="EG59" s="4657"/>
      <c r="EH59" s="4657"/>
      <c r="EI59" s="4657"/>
      <c r="EJ59" s="4657"/>
      <c r="EK59" s="4657"/>
      <c r="EL59" s="4657"/>
      <c r="EM59" s="4657"/>
      <c r="EN59" s="4657"/>
      <c r="EO59" s="4657"/>
      <c r="EP59" s="4657"/>
      <c r="EQ59" s="4657"/>
      <c r="ER59" s="4657"/>
      <c r="ES59" s="4657"/>
      <c r="ET59" s="4657"/>
      <c r="EU59" s="4657"/>
      <c r="EV59" s="4657"/>
      <c r="EW59" s="4657"/>
      <c r="EX59" s="4657"/>
      <c r="EY59" s="4657"/>
      <c r="EZ59" s="4657"/>
      <c r="FA59" s="4657"/>
      <c r="FB59" s="4657"/>
      <c r="FC59" s="4657"/>
      <c r="FD59" s="4657"/>
      <c r="FE59" s="4657"/>
      <c r="FF59" s="4657"/>
      <c r="FG59" s="4657"/>
      <c r="FH59" s="4657"/>
      <c r="FI59" s="4657"/>
      <c r="FJ59" s="4657"/>
      <c r="FK59" s="4657"/>
      <c r="FL59" s="4657"/>
      <c r="FM59" s="4657"/>
      <c r="FN59" s="4657"/>
      <c r="FO59" s="4657"/>
      <c r="FP59" s="4657"/>
      <c r="FQ59" s="4657"/>
      <c r="FR59" s="4657"/>
      <c r="FS59" s="4657"/>
      <c r="FT59" s="4657"/>
      <c r="FU59" s="4657"/>
      <c r="FV59" s="4657"/>
      <c r="FW59" s="4657"/>
      <c r="FX59" s="4657"/>
      <c r="FY59" s="4657"/>
      <c r="FZ59" s="4657"/>
      <c r="GA59" s="2106"/>
      <c r="GB59" s="2106"/>
    </row>
    <row customHeight="1" ht="14.25">
      <c r="O60" s="543"/>
      <c r="AJ60" s="3513"/>
      <c r="AK60" s="3513"/>
      <c r="AL60" s="3513"/>
      <c r="AM60" s="3513"/>
      <c r="AN60" s="3513"/>
      <c r="AO60" s="3513"/>
      <c r="AP60" s="3513"/>
      <c r="AQ60" s="3513"/>
      <c r="AR60" s="3513"/>
      <c r="AS60" s="3513"/>
      <c r="AT60" s="3513"/>
      <c r="AU60" s="3513"/>
      <c r="AV60" s="3513"/>
      <c r="AW60" s="3513"/>
      <c r="AX60" s="3513"/>
      <c r="AY60" s="3513"/>
      <c r="AZ60" s="3513"/>
      <c r="BA60" s="3513"/>
      <c r="BB60" s="3513"/>
      <c r="BC60" s="3513"/>
      <c r="BD60" s="3513"/>
      <c r="BE60" s="3513"/>
      <c r="BF60" s="3513"/>
      <c r="BG60" s="3513"/>
      <c r="BH60" s="3513"/>
      <c r="BI60" s="3513"/>
      <c r="BJ60" s="3513"/>
      <c r="BK60" s="3513"/>
      <c r="BL60" s="3513"/>
      <c r="BM60" s="3513"/>
      <c r="BN60" s="3513"/>
      <c r="BO60" s="3513"/>
      <c r="BP60" s="3513"/>
      <c r="BQ60" s="3513"/>
      <c r="BR60" s="3513"/>
      <c r="BS60" s="3513"/>
      <c r="BT60" s="3513"/>
      <c r="BU60" s="3513"/>
      <c r="BV60" s="3513"/>
      <c r="BW60" s="3513"/>
      <c r="BX60" s="3513"/>
      <c r="BY60" s="3513"/>
      <c r="BZ60" s="3513"/>
      <c r="CA60" s="3513"/>
      <c r="CB60" s="3513"/>
      <c r="CC60" s="3513"/>
      <c r="CD60" s="3513"/>
      <c r="CE60" s="3513"/>
      <c r="CF60" s="3513"/>
      <c r="CG60" s="3513"/>
      <c r="CH60" s="3513"/>
      <c r="CI60" s="3513"/>
      <c r="CJ60" s="3513"/>
      <c r="CK60" s="3513"/>
      <c r="CL60" s="3513"/>
      <c r="CM60" s="3513"/>
      <c r="CN60" s="3513"/>
      <c r="CO60" s="3513"/>
      <c r="CP60" s="3513"/>
      <c r="CQ60" s="3513"/>
      <c r="CR60" s="3513"/>
      <c r="CS60" s="3513"/>
      <c r="CT60" s="3513"/>
      <c r="CU60" s="3513"/>
      <c r="CV60" s="3513"/>
      <c r="CW60" s="3513"/>
      <c r="CX60" s="3513"/>
      <c r="CY60" s="3513"/>
      <c r="CZ60" s="3513"/>
      <c r="DA60" s="3513"/>
      <c r="DB60" s="3513"/>
      <c r="DC60" s="3513"/>
      <c r="DD60" s="3513"/>
      <c r="DE60" s="3513"/>
      <c r="DF60" s="3513"/>
      <c r="DG60" s="3513"/>
      <c r="DH60" s="3513"/>
      <c r="DI60" s="3513"/>
      <c r="DJ60" s="3513"/>
      <c r="DK60" s="3513"/>
      <c r="DL60" s="3513"/>
      <c r="DM60" s="3513"/>
      <c r="DN60" s="3513"/>
      <c r="DO60" s="3513"/>
      <c r="DP60" s="3513"/>
      <c r="DQ60" s="3513"/>
      <c r="DR60" s="3513"/>
      <c r="DS60" s="3513"/>
      <c r="DT60" s="3513"/>
      <c r="DU60" s="3513"/>
      <c r="DV60" s="3513"/>
      <c r="DW60" s="3513"/>
      <c r="DX60" s="3513"/>
      <c r="DY60" s="3513"/>
      <c r="DZ60" s="3513"/>
      <c r="EA60" s="3513"/>
      <c r="EB60" s="3513"/>
      <c r="EC60" s="3513"/>
      <c r="ED60" s="3513"/>
      <c r="EE60" s="3513"/>
      <c r="EF60" s="3513"/>
      <c r="EG60" s="3513"/>
      <c r="EH60" s="3513"/>
      <c r="EI60" s="3513"/>
      <c r="EJ60" s="3513"/>
      <c r="EK60" s="3513"/>
      <c r="EL60" s="3513"/>
      <c r="EM60" s="3513"/>
      <c r="EN60" s="3513"/>
      <c r="EO60" s="3513"/>
      <c r="EP60" s="3513"/>
      <c r="EQ60" s="3513"/>
      <c r="ER60" s="3513"/>
      <c r="ES60" s="3513"/>
      <c r="ET60" s="3513"/>
      <c r="EU60" s="3513"/>
      <c r="EV60" s="3513"/>
      <c r="EW60" s="3513"/>
      <c r="EX60" s="3513"/>
      <c r="EY60" s="3513"/>
      <c r="EZ60" s="3513"/>
      <c r="FA60" s="3513"/>
      <c r="FB60" s="3513"/>
      <c r="FC60" s="3513"/>
      <c r="FD60" s="3513"/>
      <c r="FE60" s="3513"/>
      <c r="FF60" s="3513"/>
      <c r="FG60" s="3513"/>
      <c r="FH60" s="3513"/>
      <c r="FI60" s="3513"/>
      <c r="FJ60" s="3513"/>
      <c r="FK60" s="3513"/>
      <c r="FL60" s="3513"/>
      <c r="FM60" s="3513"/>
      <c r="FN60" s="3513"/>
      <c r="FO60" s="3513"/>
      <c r="FP60" s="3513"/>
      <c r="FQ60" s="3513"/>
      <c r="FR60" s="3513"/>
      <c r="FS60" s="3513"/>
      <c r="FT60" s="3513"/>
      <c r="FU60" s="3513"/>
      <c r="FV60" s="3513"/>
      <c r="FW60" s="3513"/>
      <c r="FX60" s="3513"/>
      <c r="FY60" s="3513"/>
      <c r="FZ60" s="3513"/>
    </row>
    <row customHeight="1" ht="14.25">
      <c r="O61" s="543"/>
      <c r="S61" s="1273"/>
      <c r="T61" s="2106"/>
      <c r="U61" s="2106"/>
      <c r="V61" s="2106"/>
      <c r="W61" s="2106"/>
      <c r="X61" s="2106"/>
      <c r="Y61" s="2106"/>
      <c r="Z61" s="2106"/>
      <c r="AA61" s="2106"/>
      <c r="AB61" s="2106"/>
      <c r="AC61" s="2106"/>
      <c r="AD61" s="2106"/>
      <c r="AE61" s="2106"/>
      <c r="AF61" s="2106"/>
      <c r="AG61" s="2106"/>
      <c r="AH61" s="2106"/>
      <c r="AI61" s="2106"/>
      <c r="AJ61" s="4657"/>
      <c r="AK61" s="4657"/>
      <c r="AL61" s="4657"/>
      <c r="AM61" s="4657"/>
      <c r="AN61" s="4657"/>
      <c r="AO61" s="4657"/>
      <c r="AP61" s="4657"/>
      <c r="AQ61" s="4657"/>
      <c r="AR61" s="4657"/>
      <c r="AS61" s="4657"/>
      <c r="AT61" s="4657"/>
      <c r="AU61" s="4657"/>
      <c r="AV61" s="4657"/>
      <c r="AW61" s="4657"/>
      <c r="AX61" s="4657"/>
      <c r="AY61" s="4657"/>
      <c r="AZ61" s="4657"/>
      <c r="BA61" s="4657"/>
      <c r="BB61" s="4657"/>
      <c r="BC61" s="4657"/>
      <c r="BD61" s="4657"/>
      <c r="BE61" s="4657"/>
      <c r="BF61" s="4657"/>
      <c r="BG61" s="4657"/>
      <c r="BH61" s="4657"/>
      <c r="BI61" s="4657"/>
      <c r="BJ61" s="4657"/>
      <c r="BK61" s="4657"/>
      <c r="BL61" s="4657"/>
      <c r="BM61" s="4657"/>
      <c r="BN61" s="4657"/>
      <c r="BO61" s="4657"/>
      <c r="BP61" s="4657"/>
      <c r="BQ61" s="4657"/>
      <c r="BR61" s="4657"/>
      <c r="BS61" s="4657"/>
      <c r="BT61" s="4657"/>
      <c r="BU61" s="4657"/>
      <c r="BV61" s="4657"/>
      <c r="BW61" s="4657"/>
      <c r="BX61" s="4657"/>
      <c r="BY61" s="4657"/>
      <c r="BZ61" s="4657"/>
      <c r="CA61" s="4657"/>
      <c r="CB61" s="4657"/>
      <c r="CC61" s="4657"/>
      <c r="CD61" s="4657"/>
      <c r="CE61" s="4657"/>
      <c r="CF61" s="4657"/>
      <c r="CG61" s="4657"/>
      <c r="CH61" s="4657"/>
      <c r="CI61" s="4657"/>
      <c r="CJ61" s="4657"/>
      <c r="CK61" s="4657"/>
      <c r="CL61" s="4657"/>
      <c r="CM61" s="4657"/>
      <c r="CN61" s="4657"/>
      <c r="CO61" s="4657"/>
      <c r="CP61" s="4657"/>
      <c r="CQ61" s="4657"/>
      <c r="CR61" s="4657"/>
      <c r="CS61" s="4657"/>
      <c r="CT61" s="4657"/>
      <c r="CU61" s="4657"/>
      <c r="CV61" s="4657"/>
      <c r="CW61" s="4657"/>
      <c r="CX61" s="4657"/>
      <c r="CY61" s="4657"/>
      <c r="CZ61" s="4657"/>
      <c r="DA61" s="4657"/>
      <c r="DB61" s="4657"/>
      <c r="DC61" s="4657"/>
      <c r="DD61" s="4657"/>
      <c r="DE61" s="4657"/>
      <c r="DF61" s="4657"/>
      <c r="DG61" s="4657"/>
      <c r="DH61" s="4657"/>
      <c r="DI61" s="4657"/>
      <c r="DJ61" s="4657"/>
      <c r="DK61" s="4657"/>
      <c r="DL61" s="4657"/>
      <c r="DM61" s="4657"/>
      <c r="DN61" s="4657"/>
      <c r="DO61" s="4657"/>
      <c r="DP61" s="4657"/>
      <c r="DQ61" s="4657"/>
      <c r="DR61" s="4657"/>
      <c r="DS61" s="4657"/>
      <c r="DT61" s="4657"/>
      <c r="DU61" s="4657"/>
      <c r="DV61" s="4657"/>
      <c r="DW61" s="4657"/>
      <c r="DX61" s="4657"/>
      <c r="DY61" s="4657"/>
      <c r="DZ61" s="4657"/>
      <c r="EA61" s="4657"/>
      <c r="EB61" s="4657"/>
      <c r="EC61" s="4657"/>
      <c r="ED61" s="4657"/>
      <c r="EE61" s="4657"/>
      <c r="EF61" s="4657"/>
      <c r="EG61" s="4657"/>
      <c r="EH61" s="4657"/>
      <c r="EI61" s="4657"/>
      <c r="EJ61" s="4657"/>
      <c r="EK61" s="4657"/>
      <c r="EL61" s="4657"/>
      <c r="EM61" s="4657"/>
      <c r="EN61" s="4657"/>
      <c r="EO61" s="4657"/>
      <c r="EP61" s="4657"/>
      <c r="EQ61" s="4657"/>
      <c r="ER61" s="4657"/>
      <c r="ES61" s="4657"/>
      <c r="ET61" s="4657"/>
      <c r="EU61" s="4657"/>
      <c r="EV61" s="4657"/>
      <c r="EW61" s="4657"/>
      <c r="EX61" s="4657"/>
      <c r="EY61" s="4657"/>
      <c r="EZ61" s="4657"/>
      <c r="FA61" s="4657"/>
      <c r="FB61" s="4657"/>
      <c r="FC61" s="4657"/>
      <c r="FD61" s="4657"/>
      <c r="FE61" s="4657"/>
      <c r="FF61" s="4657"/>
      <c r="FG61" s="4657"/>
      <c r="FH61" s="4657"/>
      <c r="FI61" s="4657"/>
      <c r="FJ61" s="4657"/>
      <c r="FK61" s="4657"/>
      <c r="FL61" s="4657"/>
      <c r="FM61" s="4657"/>
      <c r="FN61" s="4657"/>
      <c r="FO61" s="4657"/>
      <c r="FP61" s="4657"/>
      <c r="FQ61" s="4657"/>
      <c r="FR61" s="4657"/>
      <c r="FS61" s="4657"/>
      <c r="FT61" s="4657"/>
      <c r="FU61" s="4657"/>
      <c r="FV61" s="4657"/>
      <c r="FW61" s="4657"/>
      <c r="FX61" s="4657"/>
      <c r="FY61" s="4657"/>
      <c r="FZ61" s="4657"/>
      <c r="GA61" s="2106"/>
      <c r="GB61" s="2106"/>
    </row>
  </sheetData>
  <sheetProtection formatColumns="0" formatRows="0" autoFilter="0" sort="0" insertRows="0" insertColumns="1" deleteRows="0" deleteColumns="0"/>
  <mergeCells count="640">
    <mergeCell ref="T59:GB59"/>
    <mergeCell ref="T61:GB61"/>
    <mergeCell ref="Q45:Q48"/>
    <mergeCell ref="V45:AB45"/>
    <mergeCell ref="AC45:GA45"/>
    <mergeCell ref="AF46:AF47"/>
    <mergeCell ref="AG46:AG47"/>
    <mergeCell ref="GB46:GB47"/>
    <mergeCell ref="AH46:AH47"/>
    <mergeCell ref="AI46:AI47"/>
    <mergeCell ref="E41:E56"/>
    <mergeCell ref="V41:AB41"/>
    <mergeCell ref="AC41:GA41"/>
    <mergeCell ref="F42:F55"/>
    <mergeCell ref="V42:AB42"/>
    <mergeCell ref="AC42:GA42"/>
    <mergeCell ref="G43:G54"/>
    <mergeCell ref="Y38:AA38"/>
    <mergeCell ref="AD38:AE38"/>
    <mergeCell ref="AF38:AH38"/>
    <mergeCell ref="Z39:AA39"/>
    <mergeCell ref="H44:H54"/>
    <mergeCell ref="I44:I53"/>
    <mergeCell ref="P44:P53"/>
    <mergeCell ref="V44:AB44"/>
    <mergeCell ref="AC44:GA44"/>
    <mergeCell ref="J45:J48"/>
    <mergeCell ref="AG39:AH39"/>
    <mergeCell ref="Z40:AA40"/>
    <mergeCell ref="AG40:AH40"/>
    <mergeCell ref="K46:K47"/>
    <mergeCell ref="V43:AB43"/>
    <mergeCell ref="AC43:GA43"/>
    <mergeCell ref="AC29:AH29"/>
    <mergeCell ref="S30:T30"/>
    <mergeCell ref="V30:AA30"/>
    <mergeCell ref="AC30:AH30"/>
    <mergeCell ref="V35:AB35"/>
    <mergeCell ref="AC35:AI35"/>
    <mergeCell ref="S36:GA36"/>
    <mergeCell ref="GB36:GB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GA37:GA39"/>
    <mergeCell ref="W38:X38"/>
    <mergeCell ref="GB7:GB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GA2"/>
    <mergeCell ref="F3:F12"/>
    <mergeCell ref="V3:AB3"/>
    <mergeCell ref="AC3:GA3"/>
    <mergeCell ref="G4:G11"/>
    <mergeCell ref="V4:AB4"/>
    <mergeCell ref="AC4:GA4"/>
    <mergeCell ref="H5:H11"/>
    <mergeCell ref="AI7:AI8"/>
    <mergeCell ref="K7:K8"/>
    <mergeCell ref="Y7:Y8"/>
    <mergeCell ref="Z7:Z8"/>
    <mergeCell ref="AA7:AA8"/>
    <mergeCell ref="AB7:AB8"/>
    <mergeCell ref="I5:I10"/>
    <mergeCell ref="P5:P10"/>
    <mergeCell ref="V5:AB5"/>
    <mergeCell ref="AC5:GA5"/>
    <mergeCell ref="J6:J9"/>
    <mergeCell ref="Q6:Q9"/>
    <mergeCell ref="V6:AB6"/>
    <mergeCell ref="AC6:GA6"/>
    <mergeCell ref="GB50:GB51"/>
    <mergeCell ref="AG50:AG51"/>
    <mergeCell ref="AH50:AH51"/>
    <mergeCell ref="AF50:AF51"/>
    <mergeCell ref="AI50:AI51"/>
    <mergeCell ref="K50:K51"/>
    <mergeCell ref="Y50:Y51"/>
    <mergeCell ref="Z50:Z51"/>
    <mergeCell ref="AA50:AA51"/>
    <mergeCell ref="AB50:AB51"/>
    <mergeCell ref="J49:J52"/>
    <mergeCell ref="Q49:Q52"/>
    <mergeCell ref="V49:AB49"/>
    <mergeCell ref="AC49:GA49"/>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50:AM51"/>
    <mergeCell ref="AN50:AN51"/>
    <mergeCell ref="AO50:AO51"/>
    <mergeCell ref="AP50:AP51"/>
    <mergeCell ref="AN46:AN47"/>
    <mergeCell ref="AO46:AO47"/>
    <mergeCell ref="AM46:AM47"/>
    <mergeCell ref="AP46:AP47"/>
    <mergeCell ref="Z46:Z47"/>
    <mergeCell ref="AA46:AA47"/>
    <mergeCell ref="Y46:Y47"/>
    <mergeCell ref="AB46:AB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AT50:AT51"/>
    <mergeCell ref="AU50:AU51"/>
    <mergeCell ref="AV50:AV51"/>
    <mergeCell ref="AW50:AW51"/>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A50:BA51"/>
    <mergeCell ref="BB50:BB51"/>
    <mergeCell ref="BC50:BC51"/>
    <mergeCell ref="BD50:BD51"/>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H50:BH51"/>
    <mergeCell ref="BI50:BI51"/>
    <mergeCell ref="BJ50:BJ51"/>
    <mergeCell ref="BK50:BK51"/>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46:BO47"/>
    <mergeCell ref="BP46:BP47"/>
    <mergeCell ref="BQ46:BQ47"/>
    <mergeCell ref="BR46:BR47"/>
    <mergeCell ref="BO50:BO51"/>
    <mergeCell ref="BP50:BP51"/>
    <mergeCell ref="BQ50:BQ51"/>
    <mergeCell ref="BR50:BR51"/>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W40:BX40"/>
    <mergeCell ref="BV46:BV47"/>
    <mergeCell ref="BW46:BW47"/>
    <mergeCell ref="BX46:BX47"/>
    <mergeCell ref="BY46:BY47"/>
    <mergeCell ref="BV50:BV51"/>
    <mergeCell ref="BW50:BW51"/>
    <mergeCell ref="BX50:BX51"/>
    <mergeCell ref="BY50:BY51"/>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D40:CE40"/>
    <mergeCell ref="CC46:CC47"/>
    <mergeCell ref="CD46:CD47"/>
    <mergeCell ref="CE46:CE47"/>
    <mergeCell ref="CF46:CF47"/>
    <mergeCell ref="CC50:CC51"/>
    <mergeCell ref="CD50:CD51"/>
    <mergeCell ref="CE50:CE51"/>
    <mergeCell ref="CF50:CF51"/>
    <mergeCell ref="CJ7:CJ8"/>
    <mergeCell ref="CK7:CK8"/>
    <mergeCell ref="CL7:CL8"/>
    <mergeCell ref="CM7:CM8"/>
    <mergeCell ref="CG27:CL27"/>
    <mergeCell ref="CG28:CL28"/>
    <mergeCell ref="CG29:CL29"/>
    <mergeCell ref="CG30:CL30"/>
    <mergeCell ref="CG32:CL32"/>
    <mergeCell ref="CG33:CL33"/>
    <mergeCell ref="CG35:CM35"/>
    <mergeCell ref="CG37:CL37"/>
    <mergeCell ref="CM37:CM39"/>
    <mergeCell ref="CH38:CI38"/>
    <mergeCell ref="CJ38:CL38"/>
    <mergeCell ref="CK39:CL39"/>
    <mergeCell ref="CK40:CL40"/>
    <mergeCell ref="CJ46:CJ47"/>
    <mergeCell ref="CK46:CK47"/>
    <mergeCell ref="CL46:CL47"/>
    <mergeCell ref="CM46:CM47"/>
    <mergeCell ref="CJ50:CJ51"/>
    <mergeCell ref="CK50:CK51"/>
    <mergeCell ref="CL50:CL51"/>
    <mergeCell ref="CM50:CM51"/>
    <mergeCell ref="CQ7:CQ8"/>
    <mergeCell ref="CR7:CR8"/>
    <mergeCell ref="CS7:CS8"/>
    <mergeCell ref="CT7:CT8"/>
    <mergeCell ref="CN27:CS27"/>
    <mergeCell ref="CN28:CS28"/>
    <mergeCell ref="CN29:CS29"/>
    <mergeCell ref="CN30:CS30"/>
    <mergeCell ref="CN32:CS32"/>
    <mergeCell ref="CN33:CS33"/>
    <mergeCell ref="CN35:CT35"/>
    <mergeCell ref="CN37:CS37"/>
    <mergeCell ref="CT37:CT39"/>
    <mergeCell ref="CO38:CP38"/>
    <mergeCell ref="CQ38:CS38"/>
    <mergeCell ref="CR39:CS39"/>
    <mergeCell ref="CR40:CS40"/>
    <mergeCell ref="CQ46:CQ47"/>
    <mergeCell ref="CR46:CR47"/>
    <mergeCell ref="CS46:CS47"/>
    <mergeCell ref="CT46:CT47"/>
    <mergeCell ref="CQ50:CQ51"/>
    <mergeCell ref="CR50:CR51"/>
    <mergeCell ref="CS50:CS51"/>
    <mergeCell ref="CT50:CT51"/>
    <mergeCell ref="CX7:CX8"/>
    <mergeCell ref="CY7:CY8"/>
    <mergeCell ref="CZ7:CZ8"/>
    <mergeCell ref="DA7:DA8"/>
    <mergeCell ref="CU27:CZ27"/>
    <mergeCell ref="CU28:CZ28"/>
    <mergeCell ref="CU29:CZ29"/>
    <mergeCell ref="CU30:CZ30"/>
    <mergeCell ref="CU32:CZ32"/>
    <mergeCell ref="CU33:CZ33"/>
    <mergeCell ref="CU35:DA35"/>
    <mergeCell ref="CU37:CZ37"/>
    <mergeCell ref="DA37:DA39"/>
    <mergeCell ref="CV38:CW38"/>
    <mergeCell ref="CX38:CZ38"/>
    <mergeCell ref="CY39:CZ39"/>
    <mergeCell ref="CY40:CZ40"/>
    <mergeCell ref="CX46:CX47"/>
    <mergeCell ref="CY46:CY47"/>
    <mergeCell ref="CZ46:CZ47"/>
    <mergeCell ref="DA46:DA47"/>
    <mergeCell ref="CX50:CX51"/>
    <mergeCell ref="CY50:CY51"/>
    <mergeCell ref="CZ50:CZ51"/>
    <mergeCell ref="DA50:DA51"/>
    <mergeCell ref="DE7:DE8"/>
    <mergeCell ref="DF7:DF8"/>
    <mergeCell ref="DG7:DG8"/>
    <mergeCell ref="DH7:DH8"/>
    <mergeCell ref="DB27:DG27"/>
    <mergeCell ref="DB28:DG28"/>
    <mergeCell ref="DB29:DG29"/>
    <mergeCell ref="DB30:DG30"/>
    <mergeCell ref="DB32:DG32"/>
    <mergeCell ref="DB33:DG33"/>
    <mergeCell ref="DB35:DH35"/>
    <mergeCell ref="DB37:DG37"/>
    <mergeCell ref="DH37:DH39"/>
    <mergeCell ref="DC38:DD38"/>
    <mergeCell ref="DE38:DG38"/>
    <mergeCell ref="DF39:DG39"/>
    <mergeCell ref="DF40:DG40"/>
    <mergeCell ref="DE46:DE47"/>
    <mergeCell ref="DF46:DF47"/>
    <mergeCell ref="DG46:DG47"/>
    <mergeCell ref="DH46:DH47"/>
    <mergeCell ref="DE50:DE51"/>
    <mergeCell ref="DF50:DF51"/>
    <mergeCell ref="DG50:DG51"/>
    <mergeCell ref="DH50:DH51"/>
    <mergeCell ref="DL7:DL8"/>
    <mergeCell ref="DM7:DM8"/>
    <mergeCell ref="DN7:DN8"/>
    <mergeCell ref="DO7:DO8"/>
    <mergeCell ref="DI27:DN27"/>
    <mergeCell ref="DI28:DN28"/>
    <mergeCell ref="DI29:DN29"/>
    <mergeCell ref="DI30:DN30"/>
    <mergeCell ref="DI32:DN32"/>
    <mergeCell ref="DI33:DN33"/>
    <mergeCell ref="DI35:DO35"/>
    <mergeCell ref="DI37:DN37"/>
    <mergeCell ref="DO37:DO39"/>
    <mergeCell ref="DJ38:DK38"/>
    <mergeCell ref="DL38:DN38"/>
    <mergeCell ref="DM39:DN39"/>
    <mergeCell ref="DM40:DN40"/>
    <mergeCell ref="DL46:DL47"/>
    <mergeCell ref="DM46:DM47"/>
    <mergeCell ref="DN46:DN47"/>
    <mergeCell ref="DO46:DO47"/>
    <mergeCell ref="DL50:DL51"/>
    <mergeCell ref="DM50:DM51"/>
    <mergeCell ref="DN50:DN51"/>
    <mergeCell ref="DO50:DO51"/>
    <mergeCell ref="DS7:DS8"/>
    <mergeCell ref="DT7:DT8"/>
    <mergeCell ref="DU7:DU8"/>
    <mergeCell ref="DV7:DV8"/>
    <mergeCell ref="DP27:DU27"/>
    <mergeCell ref="DP28:DU28"/>
    <mergeCell ref="DP29:DU29"/>
    <mergeCell ref="DP30:DU30"/>
    <mergeCell ref="DP32:DU32"/>
    <mergeCell ref="DP33:DU33"/>
    <mergeCell ref="DP35:DV35"/>
    <mergeCell ref="DP37:DU37"/>
    <mergeCell ref="DV37:DV39"/>
    <mergeCell ref="DQ38:DR38"/>
    <mergeCell ref="DS38:DU38"/>
    <mergeCell ref="DT39:DU39"/>
    <mergeCell ref="DT40:DU40"/>
    <mergeCell ref="DS46:DS47"/>
    <mergeCell ref="DT46:DT47"/>
    <mergeCell ref="DU46:DU47"/>
    <mergeCell ref="DV46:DV47"/>
    <mergeCell ref="DS50:DS51"/>
    <mergeCell ref="DT50:DT51"/>
    <mergeCell ref="DU50:DU51"/>
    <mergeCell ref="DV50:DV51"/>
    <mergeCell ref="DZ7:DZ8"/>
    <mergeCell ref="EA7:EA8"/>
    <mergeCell ref="EB7:EB8"/>
    <mergeCell ref="EC7:EC8"/>
    <mergeCell ref="DW27:EB27"/>
    <mergeCell ref="DW28:EB28"/>
    <mergeCell ref="DW29:EB29"/>
    <mergeCell ref="DW30:EB30"/>
    <mergeCell ref="DW32:EB32"/>
    <mergeCell ref="DW33:EB33"/>
    <mergeCell ref="DW35:EC35"/>
    <mergeCell ref="DW37:EB37"/>
    <mergeCell ref="EC37:EC39"/>
    <mergeCell ref="DX38:DY38"/>
    <mergeCell ref="DZ38:EB38"/>
    <mergeCell ref="EA39:EB39"/>
    <mergeCell ref="EA40:EB40"/>
    <mergeCell ref="DZ46:DZ47"/>
    <mergeCell ref="EA46:EA47"/>
    <mergeCell ref="EB46:EB47"/>
    <mergeCell ref="EC46:EC47"/>
    <mergeCell ref="DZ50:DZ51"/>
    <mergeCell ref="EA50:EA51"/>
    <mergeCell ref="EB50:EB51"/>
    <mergeCell ref="EC50:EC51"/>
    <mergeCell ref="EG7:EG8"/>
    <mergeCell ref="EH7:EH8"/>
    <mergeCell ref="EI7:EI8"/>
    <mergeCell ref="EJ7:EJ8"/>
    <mergeCell ref="ED27:EI27"/>
    <mergeCell ref="ED28:EI28"/>
    <mergeCell ref="ED29:EI29"/>
    <mergeCell ref="ED30:EI30"/>
    <mergeCell ref="ED32:EI32"/>
    <mergeCell ref="ED33:EI33"/>
    <mergeCell ref="ED35:EJ35"/>
    <mergeCell ref="ED37:EI37"/>
    <mergeCell ref="EJ37:EJ39"/>
    <mergeCell ref="EE38:EF38"/>
    <mergeCell ref="EG38:EI38"/>
    <mergeCell ref="EH39:EI39"/>
    <mergeCell ref="EH40:EI40"/>
    <mergeCell ref="EG46:EG47"/>
    <mergeCell ref="EH46:EH47"/>
    <mergeCell ref="EI46:EI47"/>
    <mergeCell ref="EJ46:EJ47"/>
    <mergeCell ref="EG50:EG51"/>
    <mergeCell ref="EH50:EH51"/>
    <mergeCell ref="EI50:EI51"/>
    <mergeCell ref="EJ50:EJ51"/>
    <mergeCell ref="EN7:EN8"/>
    <mergeCell ref="EO7:EO8"/>
    <mergeCell ref="EP7:EP8"/>
    <mergeCell ref="EQ7:EQ8"/>
    <mergeCell ref="EK27:EP27"/>
    <mergeCell ref="EK28:EP28"/>
    <mergeCell ref="EK29:EP29"/>
    <mergeCell ref="EK30:EP30"/>
    <mergeCell ref="EK32:EP32"/>
    <mergeCell ref="EK33:EP33"/>
    <mergeCell ref="EK35:EQ35"/>
    <mergeCell ref="EK37:EP37"/>
    <mergeCell ref="EQ37:EQ39"/>
    <mergeCell ref="EL38:EM38"/>
    <mergeCell ref="EN38:EP38"/>
    <mergeCell ref="EO39:EP39"/>
    <mergeCell ref="EO40:EP40"/>
    <mergeCell ref="EN46:EN47"/>
    <mergeCell ref="EO46:EO47"/>
    <mergeCell ref="EP46:EP47"/>
    <mergeCell ref="EQ46:EQ47"/>
    <mergeCell ref="EN50:EN51"/>
    <mergeCell ref="EO50:EO51"/>
    <mergeCell ref="EP50:EP51"/>
    <mergeCell ref="EQ50:EQ51"/>
    <mergeCell ref="EU7:EU8"/>
    <mergeCell ref="EV7:EV8"/>
    <mergeCell ref="EW7:EW8"/>
    <mergeCell ref="EX7:EX8"/>
    <mergeCell ref="ER27:EW27"/>
    <mergeCell ref="ER28:EW28"/>
    <mergeCell ref="ER29:EW29"/>
    <mergeCell ref="ER30:EW30"/>
    <mergeCell ref="ER32:EW32"/>
    <mergeCell ref="ER33:EW33"/>
    <mergeCell ref="ER35:EX35"/>
    <mergeCell ref="ER37:EW37"/>
    <mergeCell ref="EX37:EX39"/>
    <mergeCell ref="ES38:ET38"/>
    <mergeCell ref="EU38:EW38"/>
    <mergeCell ref="EV39:EW39"/>
    <mergeCell ref="EV40:EW40"/>
    <mergeCell ref="EU46:EU47"/>
    <mergeCell ref="EV46:EV47"/>
    <mergeCell ref="EW46:EW47"/>
    <mergeCell ref="EX46:EX47"/>
    <mergeCell ref="EU50:EU51"/>
    <mergeCell ref="EV50:EV51"/>
    <mergeCell ref="EW50:EW51"/>
    <mergeCell ref="EX50:EX51"/>
    <mergeCell ref="FB7:FB8"/>
    <mergeCell ref="FC7:FC8"/>
    <mergeCell ref="FD7:FD8"/>
    <mergeCell ref="FE7:FE8"/>
    <mergeCell ref="EY27:FD27"/>
    <mergeCell ref="EY28:FD28"/>
    <mergeCell ref="EY29:FD29"/>
    <mergeCell ref="EY30:FD30"/>
    <mergeCell ref="EY32:FD32"/>
    <mergeCell ref="EY33:FD33"/>
    <mergeCell ref="EY35:FE35"/>
    <mergeCell ref="EY37:FD37"/>
    <mergeCell ref="FE37:FE39"/>
    <mergeCell ref="EZ38:FA38"/>
    <mergeCell ref="FB38:FD38"/>
    <mergeCell ref="FC39:FD39"/>
    <mergeCell ref="FC40:FD40"/>
    <mergeCell ref="FB46:FB47"/>
    <mergeCell ref="FC46:FC47"/>
    <mergeCell ref="FD46:FD47"/>
    <mergeCell ref="FE46:FE47"/>
    <mergeCell ref="FB50:FB51"/>
    <mergeCell ref="FC50:FC51"/>
    <mergeCell ref="FD50:FD51"/>
    <mergeCell ref="FE50:FE51"/>
    <mergeCell ref="FI7:FI8"/>
    <mergeCell ref="FJ7:FJ8"/>
    <mergeCell ref="FK7:FK8"/>
    <mergeCell ref="FL7:FL8"/>
    <mergeCell ref="FF27:FK27"/>
    <mergeCell ref="FF28:FK28"/>
    <mergeCell ref="FF29:FK29"/>
    <mergeCell ref="FF30:FK30"/>
    <mergeCell ref="FF32:FK32"/>
    <mergeCell ref="FF33:FK33"/>
    <mergeCell ref="FF35:FL35"/>
    <mergeCell ref="FF37:FK37"/>
    <mergeCell ref="FL37:FL39"/>
    <mergeCell ref="FG38:FH38"/>
    <mergeCell ref="FI38:FK38"/>
    <mergeCell ref="FJ39:FK39"/>
    <mergeCell ref="FJ40:FK40"/>
    <mergeCell ref="FI46:FI47"/>
    <mergeCell ref="FJ46:FJ47"/>
    <mergeCell ref="FK46:FK47"/>
    <mergeCell ref="FL46:FL47"/>
    <mergeCell ref="FI50:FI51"/>
    <mergeCell ref="FJ50:FJ51"/>
    <mergeCell ref="FK50:FK51"/>
    <mergeCell ref="FL50:FL51"/>
    <mergeCell ref="FP7:FP8"/>
    <mergeCell ref="FQ7:FQ8"/>
    <mergeCell ref="FR7:FR8"/>
    <mergeCell ref="FS7:FS8"/>
    <mergeCell ref="FM27:FR27"/>
    <mergeCell ref="FM28:FR28"/>
    <mergeCell ref="FM29:FR29"/>
    <mergeCell ref="FM30:FR30"/>
    <mergeCell ref="FM32:FR32"/>
    <mergeCell ref="FM33:FR33"/>
    <mergeCell ref="FM35:FS35"/>
    <mergeCell ref="FM37:FR37"/>
    <mergeCell ref="FS37:FS39"/>
    <mergeCell ref="FN38:FO38"/>
    <mergeCell ref="FP38:FR38"/>
    <mergeCell ref="FQ39:FR39"/>
    <mergeCell ref="FQ40:FR40"/>
    <mergeCell ref="FP46:FP47"/>
    <mergeCell ref="FQ46:FQ47"/>
    <mergeCell ref="FR46:FR47"/>
    <mergeCell ref="FS46:FS47"/>
    <mergeCell ref="FP50:FP51"/>
    <mergeCell ref="FQ50:FQ51"/>
    <mergeCell ref="FR50:FR51"/>
    <mergeCell ref="FS50:FS51"/>
    <mergeCell ref="FW7:FW8"/>
    <mergeCell ref="FX7:FX8"/>
    <mergeCell ref="FY7:FY8"/>
    <mergeCell ref="FZ7:FZ8"/>
    <mergeCell ref="FT27:FY27"/>
    <mergeCell ref="FT28:FY28"/>
    <mergeCell ref="FT29:FY29"/>
    <mergeCell ref="FT30:FY30"/>
    <mergeCell ref="FT32:FY32"/>
    <mergeCell ref="FT33:FY33"/>
    <mergeCell ref="FT35:FZ35"/>
    <mergeCell ref="FT37:FY37"/>
    <mergeCell ref="FZ37:FZ39"/>
    <mergeCell ref="FU38:FV38"/>
    <mergeCell ref="FW38:FY38"/>
    <mergeCell ref="FX39:FY39"/>
    <mergeCell ref="FX40:FY40"/>
    <mergeCell ref="FW46:FW47"/>
    <mergeCell ref="FX46:FX47"/>
    <mergeCell ref="FY46:FY47"/>
    <mergeCell ref="FZ46:FZ47"/>
    <mergeCell ref="FW50:FW51"/>
    <mergeCell ref="FX50:FX51"/>
    <mergeCell ref="FY50:FY51"/>
    <mergeCell ref="FZ50:FZ51"/>
  </mergeCells>
  <dataValidations count="8">
    <dataValidation type="list" allowBlank="1" showInputMessage="1" errorTitle="Ошибка" error="Выберите значение из списка" prompt="Выберите значение из списка" sqref="V983085:GA983085 V65581:GA65581 V131117:GA131117 V196653:GA196653 V262189:GA262189 V327725:GA327725 V393261:GA393261 V458797:GA458797 V524333:GA524333 V589869:GA589869 V655405:GA655405 V720941:GA720941 V786477:GA786477 V852013:GA852013 V917549:GA917549">
      <formula1>kind_of_cons</formula1>
    </dataValidation>
    <dataValidation allowBlank="1" sqref="S131120:GB131126 S196656:GB196662 S262192:GB262198 S327728:GB327734 S393264:GB393270 S458800:GB458806 S524336:GB524342 S589872:GB589878 S655408:GB655414 S720944:GB720950 S786480:GB786486 S852016:GB852022 S917552:GB917558 S983088:GB983094 S65584:GB65590"/>
    <dataValidation allowBlank="1" showInputMessage="1" showErrorMessage="1" prompt="Для выбора выполните двойной щелчок левой клавиши мыши по соответствующей ячейке."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524334:FZ524334 AI196654:FZ196654 AI589870:FZ589870 AI655406:FZ655406 AI15 AI720942:FZ720942 AI786478:FZ786478 AI852014:FZ852014 AI917550:FZ917550 AI983086:FZ983086 AI65582:FZ65582 AI131118:FZ131118 AI458798:FZ458798 AI262190:FZ262190 AI7 AN7 AP7 AU7 AW7 BB7 BD7 BI7 BK7 BP7 BR7 BW7 BY7 CD7 CF7 CK7 CM7 CR7 CT7 CY7 DA7 DF7 DH7 DM7 DO7 DT7 DV7 EA7 EC7 EH7 EJ7 EO7 EQ7 EV7 EX7 FC7 FE7 FJ7 FL7 FQ7 FS7 FX7 FZ7 AG46 AI327726:FZ327726 AG15 AG7 Z7 AB7 AI393262:FZ393262 AI46 AN46 AP46 AU46 AW46 BB46 BD46 BI46 BK46 BP46 BR46 BW46 BY46 CD46 CF46 CK46 CM46 CR46 CT46 CY46 DA46 DF46 DH46 DM46 DO46 DT46 DV46 EA46 EC46 EH46 EJ46 EO46 EQ46 EV46 EX46 FC46 FE46 FJ46 FL46 FQ46 FS46 FX46 FZ46 Z46 AB46 Z50 AB50 AG50 AI50 AN50 AP50 AU50 AW50 BB50 BD50 BI50 BK50 BP50 BR50 BW50 BY50 CD50 CF50 CK50 CM50 CR50 CT50 CY50 DA50 DF50 DH50 DM50 DO50 DT50 DV50 EA50 EC50 EH50 EJ50 EO50 EQ50 EV50 EX50 FC50 FE50 FJ50 FL50 FQ50 FS50 FX50 FZ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AH7 AF7 Y7 AA7 Y46 AA46 Y50 AA50 AF50 AH50 AM7 AO7 AM46 AO46 AM50 AO50 AT7 AV7 AT46 AV46 AT50 AV50 BA7 BC7 BA46 BC46 BA50 BC50 BH7 BJ7 BH46 BJ46 BH50 BJ50 BO7 BQ7 BO46 BQ46 BO50 BQ50 BV7 BX7 BV46 BX46 BV50 BX50 CC7 CE7 CC46 CE46 CC50 CE50 CJ7 CL7 CJ46 CL46 CJ50 CL50 CQ7 CS7 CQ46 CS46 CQ50 CS50 CX7 CZ7 CX46 CZ46 CX50 CZ50 DE7 DG7 DE46 DG46 DE50 DG50 DL7 DN7 DL46 DN46 DL50 DN50 DS7 DU7 DS46 DU46 DS50 DU50 DZ7 EB7 DZ46 EB46 DZ50 EB50 EG7 EI7 EG46 EI46 EG50 EI50 EN7 EP7 EN46 EP46 EN50 EP50 EU7 EW7 EU46 EW46 EU50 EW50 FB7 FD7 FB46 FD46 FB50 FD50 FI7 FK7 FI46 FK46 FI50 FK50 FP7 FR7 FP46 FR46 FP50 FR50 FW7 FY7 FW46 FY46 FW50 FY50"/>
    <dataValidation type="list" allowBlank="1" showInputMessage="1" showErrorMessage="1" errorTitle="Ошибка" error="Выберите значение из списка" sqref="T65582 T131118 T196654 T262190 T327726 T393262 T458798 T524334 T589870 T655406 T720942 T786478 T852014 T917550 T983086">
      <formula1>kind_of_heat_transfer</formula1>
    </dataValidation>
    <dataValidation type="textLength" operator="lessThanOrEqual" allowBlank="1" showInputMessage="1" showErrorMessage="1" errorTitle="Ошибка" error="Допускается ввод не более 900 символов!" sqref="GB65576:GB65583 GB131112:GB131119 GB196648:GB196655 GB262184:GB262191 GB327720:GB327727 GB393256:GB393263 GB458792:GB458799 GB524328:GB524335 GB589864:GB589871 GB655400:GB655407 GB720936:GB720943 GB786472:GB786479 GB852008:GB852015 GB917544:GB917551 GB983080:GB983087 T46 T7 AC5:AI5 GA5 AC44:AI44 GA44 T50">
      <formula1>900</formula1>
    </dataValidation>
    <dataValidation type="list" allowBlank="1" showInputMessage="1" showErrorMessage="1" errorTitle="Ошибка" error="Выберите значение из списка" sqref="V983084 V65580 V131116 V196652 V262188 V327724 V393260 V458796 V524332 V589868 V655404 V720940 V786476 V852012 V917548 AC983084 AC65580 AC131116 AC196652 AC262188 AC327724 AC393260 AC458796 AC524332 AC589868 AC655404 AC720940 AC786476 AC852012 AC917548">
      <formula1>kind_of_scheme_in</formula1>
    </dataValidation>
    <dataValidation allowBlank="1" promptTitle="checkPeriodRange" sqref="X65583 X131119 X196655 X262191 X327727 X393263 X458799 X524335 X589871 X655407 X720943 X786479 X852015 X917551 X983087 AE16 AE65583 AE131119 AE196655 AE262191 AE327727 AE393263 AE458799 AE524335 AE589871 AE655407 AE720943 AE786479 AE852015 AE917551 AE983087 AE47 AE8 X8 X47 X51 AE51 AL8 AL47 AL51 AS8 AS47 AS51 AZ8 AZ47 AZ51 BG8 BG47 BG51 BN8 BN47 BN51 BU8 BU47 BU51 CB8 CB47 CB51 CI8 CI47 CI51 CP8 CP47 CP51 CW8 CW47 CW51 DD8 DD47 DD51 DK8 DK47 DK51 DR8 DR47 DR51 DY8 DY47 DY51 EF8 EF47 EF51 EM8 EM47 EM51 ET8 ET47 ET51 FA8 FA47 FA51 FH8 FH47 FH51 FO8 FO47 FO51 FV8 FV47 FV5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3B12DF-9564-4ABC-2E88-85699A38F3C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4664" width="19.140625" hidden="1" customWidth="1"/>
    <col min="13" max="14" style="3294" width="12.28125" hidden="1" customWidth="1"/>
    <col min="15" max="15" style="3294" width="23.421875" hidden="1" customWidth="1"/>
    <col min="16" max="16" style="4669"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468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469</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470</v>
      </c>
      <c r="U5" s="288"/>
      <c r="V5" s="2194"/>
      <c r="W5" s="2195"/>
      <c r="X5" s="2195"/>
      <c r="Y5" s="2195"/>
      <c r="Z5" s="2195"/>
      <c r="AA5" s="2195"/>
      <c r="AB5" s="2196"/>
      <c r="AC5" s="2197"/>
      <c r="AD5" s="2198"/>
      <c r="AE5" s="2198"/>
      <c r="AF5" s="2198"/>
      <c r="AG5" s="2198"/>
      <c r="AH5" s="2198"/>
      <c r="AI5" s="2198"/>
      <c r="AJ5" s="2199"/>
      <c r="AK5" s="1286" t="s">
        <v>471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396</v>
      </c>
      <c r="P6" s="2111"/>
      <c r="Q6" s="2111">
        <v>1</v>
      </c>
      <c r="R6" s="353"/>
      <c r="S6" s="1487">
        <f>$J6</f>
      </c>
      <c r="T6" s="274" t="s">
        <v>397</v>
      </c>
      <c r="U6" s="288"/>
      <c r="V6" s="2095"/>
      <c r="W6" s="2096"/>
      <c r="X6" s="2096"/>
      <c r="Y6" s="2096"/>
      <c r="Z6" s="2096"/>
      <c r="AA6" s="2096"/>
      <c r="AB6" s="2097"/>
      <c r="AC6" s="2095"/>
      <c r="AD6" s="2096"/>
      <c r="AE6" s="2096"/>
      <c r="AF6" s="2096"/>
      <c r="AG6" s="2096"/>
      <c r="AH6" s="2096"/>
      <c r="AI6" s="2096"/>
      <c r="AJ6" s="2097"/>
      <c r="AK6" s="1337" t="s">
        <v>472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473</v>
      </c>
      <c r="U9" s="367"/>
      <c r="V9" s="367"/>
      <c r="W9" s="367"/>
      <c r="X9" s="367"/>
      <c r="Y9" s="367"/>
      <c r="Z9" s="367"/>
      <c r="AA9" s="367"/>
      <c r="AB9" s="367"/>
      <c r="AC9" s="367"/>
      <c r="AD9" s="367"/>
      <c r="AE9" s="367"/>
      <c r="AF9" s="367"/>
      <c r="AG9" s="367"/>
      <c r="AH9" s="367"/>
      <c r="AI9" s="367"/>
      <c r="AJ9" s="367"/>
      <c r="AK9" s="1286" t="s">
        <v>474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214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405</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 (филиал в г. Глазове)</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строительства, жилищно-коммунального хозяйства и энергетики УР</v>
      </c>
      <c r="W27" s="2100"/>
      <c r="X27" s="2100"/>
      <c r="Y27" s="2100"/>
      <c r="Z27" s="2100"/>
      <c r="AA27" s="2100"/>
      <c r="AB27" s="322"/>
      <c r="AC27" s="2100" t="str">
        <f>IF(TITLE_NAME_OR_PR_CHANGE="",IF(TITLE_NAME_OR_PR="","",TITLE_NAME_OR_PR),TITLE_NAME_OR_PR_CHANGE)</f>
        <v>Министерство строительства, жилищно-коммунального хозяйства и энергетики УР</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45272.383726851855</v>
      </c>
      <c r="W28" s="2099"/>
      <c r="X28" s="2099"/>
      <c r="Y28" s="2099"/>
      <c r="Z28" s="2099"/>
      <c r="AA28" s="2099"/>
      <c r="AB28" s="322"/>
      <c r="AC28" s="2099" t="str">
        <f>IF(TITLE_DATE_PR_CHANGE="",IF(TITLE_DATE_PR="","",TITLE_DATE_PR),TITLE_DATE_PR_CHANGE)</f>
        <v>45272.383726851855</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30/68</v>
      </c>
      <c r="W29" s="2100"/>
      <c r="X29" s="2100"/>
      <c r="Y29" s="2100"/>
      <c r="Z29" s="2100"/>
      <c r="AA29" s="2100"/>
      <c r="AB29" s="322"/>
      <c r="AC29" s="2100" t="str">
        <f>IF(TITLE_NUMBER_PR_CHANGE="",IF(TITLE_NUMBER_PR="","",TITLE_NUMBER_PR),TITLE_NUMBER_PR_CHANGE)</f>
        <v>30/68</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www.udmurt.ru</v>
      </c>
      <c r="W30" s="2100"/>
      <c r="X30" s="2100"/>
      <c r="Y30" s="2100"/>
      <c r="Z30" s="2100"/>
      <c r="AA30" s="2100"/>
      <c r="AB30" s="322"/>
      <c r="AC30" s="2100" t="str">
        <f>IF(TITLE_IST_PUB_CHANGE="",IF(TITLE_IST_PUB="","",TITLE_IST_PUB),TITLE_IST_PUB_CHANGE)</f>
        <v>www.udmurt.ru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45272.383726851855</v>
      </c>
      <c r="W32" s="2099"/>
      <c r="X32" s="2099"/>
      <c r="Y32" s="2099"/>
      <c r="Z32" s="2099"/>
      <c r="AA32" s="2099"/>
      <c r="AB32" s="322"/>
      <c r="AC32" s="2099" t="str">
        <f>IF(TITLE_DATE_PR_CHANGE="",IF(TITLE_DATE_PR="","",TITLE_DATE_PR),TITLE_DATE_PR_CHANGE)</f>
        <v>45272.383726851855</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30/68</v>
      </c>
      <c r="W33" s="2100"/>
      <c r="X33" s="2100"/>
      <c r="Y33" s="2100"/>
      <c r="Z33" s="2100"/>
      <c r="AA33" s="2100"/>
      <c r="AB33" s="322"/>
      <c r="AC33" s="2100" t="str">
        <f>IF(TITLE_NUMBER_PR_CHANGE="",IF(TITLE_NUMBER_PR="","",TITLE_NUMBER_PR),TITLE_NUMBER_PR_CHANGE)</f>
        <v>30/68</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288</v>
      </c>
      <c r="T36" s="1971"/>
      <c r="U36" s="1971"/>
      <c r="V36" s="1971"/>
      <c r="W36" s="1971"/>
      <c r="X36" s="1971"/>
      <c r="Y36" s="1971"/>
      <c r="Z36" s="1971"/>
      <c r="AA36" s="1971"/>
      <c r="AB36" s="1971"/>
      <c r="AC36" s="1971"/>
      <c r="AD36" s="1971"/>
      <c r="AE36" s="1971"/>
      <c r="AF36" s="1971"/>
      <c r="AG36" s="1971"/>
      <c r="AH36" s="1971"/>
      <c r="AI36" s="1971"/>
      <c r="AJ36" s="1971"/>
      <c r="AK36" s="1971" t="s">
        <v>289</v>
      </c>
    </row>
    <row customHeight="1" ht="14.25">
      <c r="Q37" s="377"/>
      <c r="R37" s="377"/>
      <c r="S37" s="2125" t="s">
        <v>86</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482" t="s">
        <v>477</v>
      </c>
      <c r="W38" s="2118" t="s">
        <v>423</v>
      </c>
      <c r="X38" s="2120"/>
      <c r="Y38" s="2118" t="s">
        <v>424</v>
      </c>
      <c r="Z38" s="2119"/>
      <c r="AA38" s="2120"/>
      <c r="AB38" s="2130"/>
      <c r="AC38" s="1482" t="s">
        <v>477</v>
      </c>
      <c r="AD38" s="2118" t="s">
        <v>423</v>
      </c>
      <c r="AE38" s="2120"/>
      <c r="AF38" s="2118" t="s">
        <v>424</v>
      </c>
      <c r="AG38" s="2119"/>
      <c r="AH38" s="2120"/>
      <c r="AI38" s="2130"/>
      <c r="AJ38" s="2133"/>
      <c r="AK38" s="1971"/>
    </row>
    <row customHeight="1" ht="33.75">
      <c r="A39" s="1400"/>
      <c r="B39" s="1400" t="s">
        <v>133</v>
      </c>
      <c r="C39" s="1400" t="s">
        <v>134</v>
      </c>
      <c r="D39" s="1400" t="s">
        <v>135</v>
      </c>
      <c r="E39" s="1394" t="s">
        <v>425</v>
      </c>
      <c r="F39" s="1394" t="s">
        <v>426</v>
      </c>
      <c r="G39" s="1394" t="s">
        <v>427</v>
      </c>
      <c r="H39" s="1394"/>
      <c r="I39" s="1394" t="s">
        <v>478</v>
      </c>
      <c r="J39" s="1394" t="s">
        <v>430</v>
      </c>
      <c r="K39" s="1394" t="s">
        <v>479</v>
      </c>
      <c r="L39" s="1394" t="s">
        <v>406</v>
      </c>
      <c r="Q39" s="377"/>
      <c r="R39" s="377"/>
      <c r="S39" s="2125"/>
      <c r="T39" s="2062"/>
      <c r="U39" s="290"/>
      <c r="V39" s="1482" t="s">
        <v>480</v>
      </c>
      <c r="W39" s="1237" t="s">
        <v>481</v>
      </c>
      <c r="X39" s="1237" t="s">
        <v>482</v>
      </c>
      <c r="Y39" s="1485" t="s">
        <v>434</v>
      </c>
      <c r="Z39" s="2121" t="s">
        <v>435</v>
      </c>
      <c r="AA39" s="2122"/>
      <c r="AB39" s="2131"/>
      <c r="AC39" s="1482" t="s">
        <v>480</v>
      </c>
      <c r="AD39" s="1237" t="s">
        <v>481</v>
      </c>
      <c r="AE39" s="1237" t="s">
        <v>482</v>
      </c>
      <c r="AF39" s="1485" t="s">
        <v>434</v>
      </c>
      <c r="AG39" s="2121" t="s">
        <v>435</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219</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219</v>
      </c>
      <c r="B42" s="1393" t="s">
        <v>220</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388</v>
      </c>
      <c r="AM42" s="506"/>
      <c r="AN42" s="506" t="str">
        <f>IF(T42="","",T42)</f>
        <v>Территория действия тарифа</v>
      </c>
      <c r="AO42" s="506"/>
      <c r="AP42" s="506"/>
    </row>
    <row customHeight="1" ht="23.25">
      <c r="A43" s="1393" t="s">
        <v>219</v>
      </c>
      <c r="B43" s="1393" t="s">
        <v>220</v>
      </c>
      <c r="C43" s="1393" t="s">
        <v>221</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468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469</v>
      </c>
      <c r="AM43" s="506"/>
      <c r="AN43" s="506" t="str">
        <f>IF(T43="","",T43)</f>
        <v>Наименование централизованной системы холодного водоснабжения</v>
      </c>
      <c r="AO43" s="506"/>
      <c r="AP43" s="506"/>
    </row>
    <row customHeight="1" ht="23.25">
      <c r="A44" s="1393" t="s">
        <v>219</v>
      </c>
      <c r="B44" s="1393" t="s">
        <v>220</v>
      </c>
      <c r="C44" s="1393" t="s">
        <v>221</v>
      </c>
      <c r="D44" s="1393" t="s">
        <v>488</v>
      </c>
      <c r="E44" s="2108"/>
      <c r="F44" s="2108"/>
      <c r="G44" s="2108"/>
      <c r="H44" s="2108"/>
      <c r="I44" s="2109" t="str">
        <f>S43&amp;".1"</f>
        <v>...1</v>
      </c>
      <c r="J44" s="1393"/>
      <c r="K44" s="1393"/>
      <c r="L44" s="1394"/>
      <c r="P44" s="2111">
        <v>1</v>
      </c>
      <c r="Q44" s="1480"/>
      <c r="R44" s="352"/>
      <c r="S44" s="1487" t="str">
        <f>$I44</f>
        <v>...1</v>
      </c>
      <c r="T44" s="273" t="s">
        <v>470</v>
      </c>
      <c r="U44" s="288"/>
      <c r="V44" s="2194"/>
      <c r="W44" s="2195"/>
      <c r="X44" s="2195"/>
      <c r="Y44" s="2195"/>
      <c r="Z44" s="2195"/>
      <c r="AA44" s="2195"/>
      <c r="AB44" s="2196"/>
      <c r="AC44" s="2197"/>
      <c r="AD44" s="2198"/>
      <c r="AE44" s="2198"/>
      <c r="AF44" s="2198"/>
      <c r="AG44" s="2198"/>
      <c r="AH44" s="2198"/>
      <c r="AI44" s="2198"/>
      <c r="AJ44" s="2199"/>
      <c r="AK44" s="1286" t="s">
        <v>471</v>
      </c>
      <c r="AM44" s="506"/>
      <c r="AN44" s="506" t="str">
        <f>IF(T44="","",T44)</f>
        <v>Наименование признака дифференциации</v>
      </c>
      <c r="AO44" s="506"/>
      <c r="AP44" s="506"/>
    </row>
    <row customHeight="1" ht="23.25">
      <c r="A45" s="1393" t="s">
        <v>219</v>
      </c>
      <c r="B45" s="1393" t="s">
        <v>220</v>
      </c>
      <c r="C45" s="1393" t="s">
        <v>221</v>
      </c>
      <c r="D45" s="1393" t="s">
        <v>488</v>
      </c>
      <c r="E45" s="2108"/>
      <c r="F45" s="2108"/>
      <c r="G45" s="2108"/>
      <c r="H45" s="2108"/>
      <c r="I45" s="2110"/>
      <c r="J45" s="2109" t="str">
        <f>I44&amp;".1"</f>
        <v>...1.1</v>
      </c>
      <c r="K45" s="1393"/>
      <c r="L45" s="1394" t="s">
        <v>396</v>
      </c>
      <c r="P45" s="2111"/>
      <c r="Q45" s="2111">
        <v>1</v>
      </c>
      <c r="R45" s="353"/>
      <c r="S45" s="1487" t="str">
        <f>$J45</f>
        <v>...1.1</v>
      </c>
      <c r="T45" s="274" t="s">
        <v>397</v>
      </c>
      <c r="U45" s="288"/>
      <c r="V45" s="2095"/>
      <c r="W45" s="2096"/>
      <c r="X45" s="2096"/>
      <c r="Y45" s="2096"/>
      <c r="Z45" s="2096"/>
      <c r="AA45" s="2096"/>
      <c r="AB45" s="2097"/>
      <c r="AC45" s="2095"/>
      <c r="AD45" s="2096"/>
      <c r="AE45" s="2096"/>
      <c r="AF45" s="2096"/>
      <c r="AG45" s="2096"/>
      <c r="AH45" s="2096"/>
      <c r="AI45" s="2096"/>
      <c r="AJ45" s="2097"/>
      <c r="AK45" s="1337" t="s">
        <v>472</v>
      </c>
      <c r="AM45" s="506"/>
      <c r="AN45" s="506" t="str">
        <f>IF(T45="","",T45)</f>
        <v>Группа потребителей</v>
      </c>
      <c r="AO45" s="506"/>
      <c r="AP45" s="506"/>
    </row>
    <row customHeight="1" ht="23.25">
      <c r="A46" s="1393" t="s">
        <v>219</v>
      </c>
      <c r="B46" s="1393" t="s">
        <v>220</v>
      </c>
      <c r="C46" s="1393" t="s">
        <v>221</v>
      </c>
      <c r="D46" s="1393" t="s">
        <v>488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60</v>
      </c>
      <c r="AA46" s="2112"/>
      <c r="AB46" s="1981" t="s">
        <v>60</v>
      </c>
      <c r="AC46" s="757"/>
      <c r="AD46" s="757"/>
      <c r="AE46" s="1285"/>
      <c r="AF46" s="2112"/>
      <c r="AG46" s="1981" t="s">
        <v>60</v>
      </c>
      <c r="AH46" s="2114"/>
      <c r="AI46" s="1981" t="s">
        <v>60</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219</v>
      </c>
      <c r="B47" s="1393" t="s">
        <v>220</v>
      </c>
      <c r="C47" s="1393" t="s">
        <v>221</v>
      </c>
      <c r="D47" s="1393" t="s">
        <v>488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219</v>
      </c>
      <c r="B48" s="1393" t="s">
        <v>220</v>
      </c>
      <c r="C48" s="1393" t="s">
        <v>221</v>
      </c>
      <c r="D48" s="1393" t="s">
        <v>488</v>
      </c>
      <c r="E48" s="2108"/>
      <c r="F48" s="2108"/>
      <c r="G48" s="2108"/>
      <c r="H48" s="2108"/>
      <c r="I48" s="2110"/>
      <c r="J48" s="2109"/>
      <c r="K48" s="1393"/>
      <c r="L48" s="1394"/>
      <c r="P48" s="2111"/>
      <c r="Q48" s="2111"/>
      <c r="R48" s="352"/>
      <c r="S48" s="1308"/>
      <c r="T48" s="275" t="s">
        <v>473</v>
      </c>
      <c r="U48" s="367"/>
      <c r="V48" s="367"/>
      <c r="W48" s="367"/>
      <c r="X48" s="367"/>
      <c r="Y48" s="367"/>
      <c r="Z48" s="367"/>
      <c r="AA48" s="367"/>
      <c r="AB48" s="367"/>
      <c r="AC48" s="367"/>
      <c r="AD48" s="367"/>
      <c r="AE48" s="367"/>
      <c r="AF48" s="367"/>
      <c r="AG48" s="367"/>
      <c r="AH48" s="367"/>
      <c r="AI48" s="367"/>
      <c r="AJ48" s="367"/>
      <c r="AK48" s="1286" t="s">
        <v>474</v>
      </c>
      <c r="AM48" s="506"/>
      <c r="AN48" s="506" t="str">
        <f>IF(T48="","",T48)</f>
        <v>Добавить значение признака дифференциации</v>
      </c>
      <c r="AO48" s="506"/>
      <c r="AP48" s="506"/>
    </row>
    <row customHeight="1" ht="21">
      <c r="A49" s="1393" t="s">
        <v>219</v>
      </c>
      <c r="B49" s="1393" t="s">
        <v>220</v>
      </c>
      <c r="C49" s="1393" t="s">
        <v>221</v>
      </c>
      <c r="D49" s="1393" t="s">
        <v>488</v>
      </c>
      <c r="E49" s="2108"/>
      <c r="F49" s="2108"/>
      <c r="G49" s="2108"/>
      <c r="H49" s="2108"/>
      <c r="I49" s="2109"/>
      <c r="J49" s="1393"/>
      <c r="K49" s="1393"/>
      <c r="L49" s="1394"/>
      <c r="P49" s="2111"/>
      <c r="Q49" s="1480"/>
      <c r="R49" s="352"/>
      <c r="S49" s="1308"/>
      <c r="T49" s="364" t="s">
        <v>402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219</v>
      </c>
      <c r="B50" s="1393" t="s">
        <v>220</v>
      </c>
      <c r="C50" s="1393" t="s">
        <v>221</v>
      </c>
      <c r="D50" s="1393" t="s">
        <v>488</v>
      </c>
      <c r="E50" s="2108"/>
      <c r="F50" s="2108"/>
      <c r="G50" s="2108"/>
      <c r="H50" s="2107"/>
      <c r="I50" s="1393"/>
      <c r="J50" s="1393"/>
      <c r="K50" s="1393"/>
      <c r="L50" s="1394"/>
      <c r="M50" s="1395"/>
      <c r="N50" s="1395"/>
      <c r="O50" s="543"/>
      <c r="P50" s="356"/>
      <c r="Q50" s="376"/>
      <c r="R50" s="351"/>
      <c r="S50" s="1308"/>
      <c r="T50" s="372" t="s">
        <v>475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219</v>
      </c>
      <c r="B51" s="1373" t="s">
        <v>220</v>
      </c>
      <c r="C51" s="1344"/>
      <c r="D51" s="1344"/>
      <c r="E51" s="2108"/>
      <c r="F51" s="2107"/>
      <c r="G51" s="1344"/>
      <c r="H51" s="1344"/>
      <c r="I51" s="1344"/>
      <c r="J51" s="1344"/>
      <c r="K51" s="1344"/>
      <c r="L51" s="1488"/>
      <c r="M51" s="1351"/>
      <c r="N51" s="1351"/>
      <c r="P51" s="1346"/>
      <c r="Q51" s="1347"/>
      <c r="R51" s="1346"/>
      <c r="S51" s="1352"/>
      <c r="T51" s="1355" t="s">
        <v>214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219</v>
      </c>
      <c r="B52" s="1373"/>
      <c r="C52" s="1373"/>
      <c r="D52" s="1373"/>
      <c r="E52" s="2107"/>
      <c r="F52" s="1373"/>
      <c r="G52" s="1373"/>
      <c r="H52" s="1373"/>
      <c r="I52" s="1373"/>
      <c r="J52" s="1373"/>
      <c r="K52" s="1373"/>
      <c r="L52" s="1376"/>
      <c r="M52" s="1351"/>
      <c r="N52" s="1351"/>
      <c r="O52" s="524"/>
      <c r="P52" s="385"/>
      <c r="Q52" s="1374"/>
      <c r="R52" s="385"/>
      <c r="S52" s="1352"/>
      <c r="T52" s="1355" t="s">
        <v>215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216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E57B1-B97C-57FE-BC99-C48BFC37612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4664" width="19.140625" hidden="1" customWidth="1"/>
    <col min="13" max="14" style="3294" width="12.28125" hidden="1" customWidth="1"/>
    <col min="15" max="15" style="3294" width="23.421875" hidden="1" customWidth="1"/>
    <col min="16" max="16" style="4669"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468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469</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470</v>
      </c>
      <c r="U5" s="288"/>
      <c r="V5" s="2194"/>
      <c r="W5" s="2195"/>
      <c r="X5" s="2195"/>
      <c r="Y5" s="2195"/>
      <c r="Z5" s="2195"/>
      <c r="AA5" s="2195"/>
      <c r="AB5" s="2196"/>
      <c r="AC5" s="2197"/>
      <c r="AD5" s="2198"/>
      <c r="AE5" s="2198"/>
      <c r="AF5" s="2198"/>
      <c r="AG5" s="2198"/>
      <c r="AH5" s="2198"/>
      <c r="AI5" s="2198"/>
      <c r="AJ5" s="2199"/>
      <c r="AK5" s="1286" t="s">
        <v>471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396</v>
      </c>
      <c r="P6" s="2111"/>
      <c r="Q6" s="2111">
        <v>1</v>
      </c>
      <c r="R6" s="353"/>
      <c r="S6" s="1487">
        <f>$J6</f>
      </c>
      <c r="T6" s="274" t="s">
        <v>397</v>
      </c>
      <c r="U6" s="288"/>
      <c r="V6" s="2095"/>
      <c r="W6" s="2096"/>
      <c r="X6" s="2096"/>
      <c r="Y6" s="2096"/>
      <c r="Z6" s="2096"/>
      <c r="AA6" s="2096"/>
      <c r="AB6" s="2097"/>
      <c r="AC6" s="2095"/>
      <c r="AD6" s="2096"/>
      <c r="AE6" s="2096"/>
      <c r="AF6" s="2096"/>
      <c r="AG6" s="2096"/>
      <c r="AH6" s="2096"/>
      <c r="AI6" s="2096"/>
      <c r="AJ6" s="2097"/>
      <c r="AK6" s="1337" t="s">
        <v>472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473</v>
      </c>
      <c r="U9" s="367"/>
      <c r="V9" s="367"/>
      <c r="W9" s="367"/>
      <c r="X9" s="367"/>
      <c r="Y9" s="367"/>
      <c r="Z9" s="367"/>
      <c r="AA9" s="367"/>
      <c r="AB9" s="367"/>
      <c r="AC9" s="367"/>
      <c r="AD9" s="367"/>
      <c r="AE9" s="367"/>
      <c r="AF9" s="367"/>
      <c r="AG9" s="367"/>
      <c r="AH9" s="367"/>
      <c r="AI9" s="367"/>
      <c r="AJ9" s="367"/>
      <c r="AK9" s="1286" t="s">
        <v>474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214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405</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 (филиал в г. Глазове)</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строительства, жилищно-коммунального хозяйства и энергетики УР</v>
      </c>
      <c r="W27" s="2100"/>
      <c r="X27" s="2100"/>
      <c r="Y27" s="2100"/>
      <c r="Z27" s="2100"/>
      <c r="AA27" s="2100"/>
      <c r="AB27" s="322"/>
      <c r="AC27" s="2100" t="str">
        <f>IF(TITLE_NAME_OR_PR_CHANGE="",IF(TITLE_NAME_OR_PR="","",TITLE_NAME_OR_PR),TITLE_NAME_OR_PR_CHANGE)</f>
        <v>Министерство строительства, жилищно-коммунального хозяйства и энергетики УР</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45272.383726851855</v>
      </c>
      <c r="W28" s="2099"/>
      <c r="X28" s="2099"/>
      <c r="Y28" s="2099"/>
      <c r="Z28" s="2099"/>
      <c r="AA28" s="2099"/>
      <c r="AB28" s="322"/>
      <c r="AC28" s="2099" t="str">
        <f>IF(TITLE_DATE_PR_CHANGE="",IF(TITLE_DATE_PR="","",TITLE_DATE_PR),TITLE_DATE_PR_CHANGE)</f>
        <v>45272.383726851855</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30/68</v>
      </c>
      <c r="W29" s="2100"/>
      <c r="X29" s="2100"/>
      <c r="Y29" s="2100"/>
      <c r="Z29" s="2100"/>
      <c r="AA29" s="2100"/>
      <c r="AB29" s="322"/>
      <c r="AC29" s="2100" t="str">
        <f>IF(TITLE_NUMBER_PR_CHANGE="",IF(TITLE_NUMBER_PR="","",TITLE_NUMBER_PR),TITLE_NUMBER_PR_CHANGE)</f>
        <v>30/68</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www.udmurt.ru</v>
      </c>
      <c r="W30" s="2100"/>
      <c r="X30" s="2100"/>
      <c r="Y30" s="2100"/>
      <c r="Z30" s="2100"/>
      <c r="AA30" s="2100"/>
      <c r="AB30" s="322"/>
      <c r="AC30" s="2100" t="str">
        <f>IF(TITLE_IST_PUB_CHANGE="",IF(TITLE_IST_PUB="","",TITLE_IST_PUB),TITLE_IST_PUB_CHANGE)</f>
        <v>www.udmurt.ru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45272.383726851855</v>
      </c>
      <c r="W32" s="2099"/>
      <c r="X32" s="2099"/>
      <c r="Y32" s="2099"/>
      <c r="Z32" s="2099"/>
      <c r="AA32" s="2099"/>
      <c r="AB32" s="322"/>
      <c r="AC32" s="2099" t="str">
        <f>IF(TITLE_DATE_PR_CHANGE="",IF(TITLE_DATE_PR="","",TITLE_DATE_PR),TITLE_DATE_PR_CHANGE)</f>
        <v>45272.383726851855</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30/68</v>
      </c>
      <c r="W33" s="2100"/>
      <c r="X33" s="2100"/>
      <c r="Y33" s="2100"/>
      <c r="Z33" s="2100"/>
      <c r="AA33" s="2100"/>
      <c r="AB33" s="322"/>
      <c r="AC33" s="2100" t="str">
        <f>IF(TITLE_NUMBER_PR_CHANGE="",IF(TITLE_NUMBER_PR="","",TITLE_NUMBER_PR),TITLE_NUMBER_PR_CHANGE)</f>
        <v>30/68</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288</v>
      </c>
      <c r="T36" s="1971"/>
      <c r="U36" s="1971"/>
      <c r="V36" s="1971"/>
      <c r="W36" s="1971"/>
      <c r="X36" s="1971"/>
      <c r="Y36" s="1971"/>
      <c r="Z36" s="1971"/>
      <c r="AA36" s="1971"/>
      <c r="AB36" s="1971"/>
      <c r="AC36" s="1971"/>
      <c r="AD36" s="1971"/>
      <c r="AE36" s="1971"/>
      <c r="AF36" s="1971"/>
      <c r="AG36" s="1971"/>
      <c r="AH36" s="1971"/>
      <c r="AI36" s="1971"/>
      <c r="AJ36" s="1971"/>
      <c r="AK36" s="1971" t="s">
        <v>289</v>
      </c>
    </row>
    <row customHeight="1" ht="14.25">
      <c r="Q37" s="377"/>
      <c r="R37" s="377"/>
      <c r="S37" s="2125" t="s">
        <v>86</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482" t="s">
        <v>477</v>
      </c>
      <c r="W38" s="2118" t="s">
        <v>423</v>
      </c>
      <c r="X38" s="2120"/>
      <c r="Y38" s="2118" t="s">
        <v>424</v>
      </c>
      <c r="Z38" s="2119"/>
      <c r="AA38" s="2120"/>
      <c r="AB38" s="2130"/>
      <c r="AC38" s="1482" t="s">
        <v>477</v>
      </c>
      <c r="AD38" s="2118" t="s">
        <v>423</v>
      </c>
      <c r="AE38" s="2120"/>
      <c r="AF38" s="2118" t="s">
        <v>424</v>
      </c>
      <c r="AG38" s="2119"/>
      <c r="AH38" s="2120"/>
      <c r="AI38" s="2130"/>
      <c r="AJ38" s="2133"/>
      <c r="AK38" s="1971"/>
    </row>
    <row customHeight="1" ht="33.75">
      <c r="A39" s="1400"/>
      <c r="B39" s="1400" t="s">
        <v>133</v>
      </c>
      <c r="C39" s="1400" t="s">
        <v>134</v>
      </c>
      <c r="D39" s="1400" t="s">
        <v>135</v>
      </c>
      <c r="E39" s="1394" t="s">
        <v>425</v>
      </c>
      <c r="F39" s="1394" t="s">
        <v>426</v>
      </c>
      <c r="G39" s="1394" t="s">
        <v>427</v>
      </c>
      <c r="H39" s="1394"/>
      <c r="I39" s="1394" t="s">
        <v>478</v>
      </c>
      <c r="J39" s="1394" t="s">
        <v>430</v>
      </c>
      <c r="K39" s="1394" t="s">
        <v>479</v>
      </c>
      <c r="L39" s="1394" t="s">
        <v>406</v>
      </c>
      <c r="Q39" s="377"/>
      <c r="R39" s="377"/>
      <c r="S39" s="2125"/>
      <c r="T39" s="2062"/>
      <c r="U39" s="290"/>
      <c r="V39" s="1482" t="s">
        <v>480</v>
      </c>
      <c r="W39" s="1237" t="s">
        <v>481</v>
      </c>
      <c r="X39" s="1237" t="s">
        <v>482</v>
      </c>
      <c r="Y39" s="1485" t="s">
        <v>434</v>
      </c>
      <c r="Z39" s="2121" t="s">
        <v>435</v>
      </c>
      <c r="AA39" s="2122"/>
      <c r="AB39" s="2131"/>
      <c r="AC39" s="1482" t="s">
        <v>480</v>
      </c>
      <c r="AD39" s="1237" t="s">
        <v>481</v>
      </c>
      <c r="AE39" s="1237" t="s">
        <v>482</v>
      </c>
      <c r="AF39" s="1485" t="s">
        <v>434</v>
      </c>
      <c r="AG39" s="2121" t="s">
        <v>435</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224</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224</v>
      </c>
      <c r="B42" s="1393" t="s">
        <v>225</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388</v>
      </c>
      <c r="AM42" s="506"/>
      <c r="AN42" s="506" t="str">
        <f>IF(T42="","",T42)</f>
        <v>Территория действия тарифа</v>
      </c>
      <c r="AO42" s="506"/>
      <c r="AP42" s="506"/>
    </row>
    <row customHeight="1" ht="23.25">
      <c r="A43" s="1393" t="s">
        <v>224</v>
      </c>
      <c r="B43" s="1393" t="s">
        <v>225</v>
      </c>
      <c r="C43" s="1393" t="s">
        <v>226</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468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469</v>
      </c>
      <c r="AM43" s="506"/>
      <c r="AN43" s="506" t="str">
        <f>IF(T43="","",T43)</f>
        <v>Наименование централизованной системы холодного водоснабжения</v>
      </c>
      <c r="AO43" s="506"/>
      <c r="AP43" s="506"/>
    </row>
    <row customHeight="1" ht="23.25">
      <c r="A44" s="1393" t="s">
        <v>224</v>
      </c>
      <c r="B44" s="1393" t="s">
        <v>225</v>
      </c>
      <c r="C44" s="1393" t="s">
        <v>226</v>
      </c>
      <c r="D44" s="1393" t="s">
        <v>489</v>
      </c>
      <c r="E44" s="2108"/>
      <c r="F44" s="2108"/>
      <c r="G44" s="2108"/>
      <c r="H44" s="2108"/>
      <c r="I44" s="2109" t="str">
        <f>S43&amp;".1"</f>
        <v>...1</v>
      </c>
      <c r="J44" s="1393"/>
      <c r="K44" s="1393"/>
      <c r="L44" s="1394"/>
      <c r="P44" s="2111">
        <v>1</v>
      </c>
      <c r="Q44" s="1480"/>
      <c r="R44" s="352"/>
      <c r="S44" s="1487" t="str">
        <f>$I44</f>
        <v>...1</v>
      </c>
      <c r="T44" s="273" t="s">
        <v>470</v>
      </c>
      <c r="U44" s="288"/>
      <c r="V44" s="2194"/>
      <c r="W44" s="2195"/>
      <c r="X44" s="2195"/>
      <c r="Y44" s="2195"/>
      <c r="Z44" s="2195"/>
      <c r="AA44" s="2195"/>
      <c r="AB44" s="2196"/>
      <c r="AC44" s="2197"/>
      <c r="AD44" s="2198"/>
      <c r="AE44" s="2198"/>
      <c r="AF44" s="2198"/>
      <c r="AG44" s="2198"/>
      <c r="AH44" s="2198"/>
      <c r="AI44" s="2198"/>
      <c r="AJ44" s="2199"/>
      <c r="AK44" s="1286" t="s">
        <v>471</v>
      </c>
      <c r="AM44" s="506"/>
      <c r="AN44" s="506" t="str">
        <f>IF(T44="","",T44)</f>
        <v>Наименование признака дифференциации</v>
      </c>
      <c r="AO44" s="506"/>
      <c r="AP44" s="506"/>
    </row>
    <row customHeight="1" ht="23.25">
      <c r="A45" s="1393" t="s">
        <v>224</v>
      </c>
      <c r="B45" s="1393" t="s">
        <v>225</v>
      </c>
      <c r="C45" s="1393" t="s">
        <v>226</v>
      </c>
      <c r="D45" s="1393" t="s">
        <v>489</v>
      </c>
      <c r="E45" s="2108"/>
      <c r="F45" s="2108"/>
      <c r="G45" s="2108"/>
      <c r="H45" s="2108"/>
      <c r="I45" s="2110"/>
      <c r="J45" s="2109" t="str">
        <f>I44&amp;".1"</f>
        <v>...1.1</v>
      </c>
      <c r="K45" s="1393"/>
      <c r="L45" s="1394" t="s">
        <v>396</v>
      </c>
      <c r="P45" s="2111"/>
      <c r="Q45" s="2111">
        <v>1</v>
      </c>
      <c r="R45" s="353"/>
      <c r="S45" s="1487" t="str">
        <f>$J45</f>
        <v>...1.1</v>
      </c>
      <c r="T45" s="274" t="s">
        <v>397</v>
      </c>
      <c r="U45" s="288"/>
      <c r="V45" s="2095"/>
      <c r="W45" s="2096"/>
      <c r="X45" s="2096"/>
      <c r="Y45" s="2096"/>
      <c r="Z45" s="2096"/>
      <c r="AA45" s="2096"/>
      <c r="AB45" s="2097"/>
      <c r="AC45" s="2095"/>
      <c r="AD45" s="2096"/>
      <c r="AE45" s="2096"/>
      <c r="AF45" s="2096"/>
      <c r="AG45" s="2096"/>
      <c r="AH45" s="2096"/>
      <c r="AI45" s="2096"/>
      <c r="AJ45" s="2097"/>
      <c r="AK45" s="1337" t="s">
        <v>472</v>
      </c>
      <c r="AM45" s="506"/>
      <c r="AN45" s="506" t="str">
        <f>IF(T45="","",T45)</f>
        <v>Группа потребителей</v>
      </c>
      <c r="AO45" s="506"/>
      <c r="AP45" s="506"/>
    </row>
    <row customHeight="1" ht="23.25">
      <c r="A46" s="1393" t="s">
        <v>224</v>
      </c>
      <c r="B46" s="1393" t="s">
        <v>225</v>
      </c>
      <c r="C46" s="1393" t="s">
        <v>226</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60</v>
      </c>
      <c r="AA46" s="2112"/>
      <c r="AB46" s="1981" t="s">
        <v>60</v>
      </c>
      <c r="AC46" s="757"/>
      <c r="AD46" s="757"/>
      <c r="AE46" s="1285"/>
      <c r="AF46" s="2112"/>
      <c r="AG46" s="1981" t="s">
        <v>60</v>
      </c>
      <c r="AH46" s="2114"/>
      <c r="AI46" s="1981" t="s">
        <v>60</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224</v>
      </c>
      <c r="B47" s="1393" t="s">
        <v>225</v>
      </c>
      <c r="C47" s="1393" t="s">
        <v>226</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224</v>
      </c>
      <c r="B48" s="1393" t="s">
        <v>225</v>
      </c>
      <c r="C48" s="1393" t="s">
        <v>226</v>
      </c>
      <c r="D48" s="1393" t="s">
        <v>489</v>
      </c>
      <c r="E48" s="2108"/>
      <c r="F48" s="2108"/>
      <c r="G48" s="2108"/>
      <c r="H48" s="2108"/>
      <c r="I48" s="2110"/>
      <c r="J48" s="2109"/>
      <c r="K48" s="1393"/>
      <c r="L48" s="1394"/>
      <c r="P48" s="2111"/>
      <c r="Q48" s="2111"/>
      <c r="R48" s="352"/>
      <c r="S48" s="1308"/>
      <c r="T48" s="275" t="s">
        <v>473</v>
      </c>
      <c r="U48" s="367"/>
      <c r="V48" s="367"/>
      <c r="W48" s="367"/>
      <c r="X48" s="367"/>
      <c r="Y48" s="367"/>
      <c r="Z48" s="367"/>
      <c r="AA48" s="367"/>
      <c r="AB48" s="367"/>
      <c r="AC48" s="367"/>
      <c r="AD48" s="367"/>
      <c r="AE48" s="367"/>
      <c r="AF48" s="367"/>
      <c r="AG48" s="367"/>
      <c r="AH48" s="367"/>
      <c r="AI48" s="367"/>
      <c r="AJ48" s="367"/>
      <c r="AK48" s="1286" t="s">
        <v>474</v>
      </c>
      <c r="AM48" s="506"/>
      <c r="AN48" s="506" t="str">
        <f>IF(T48="","",T48)</f>
        <v>Добавить значение признака дифференциации</v>
      </c>
      <c r="AO48" s="506"/>
      <c r="AP48" s="506"/>
    </row>
    <row customHeight="1" ht="21">
      <c r="A49" s="1393" t="s">
        <v>224</v>
      </c>
      <c r="B49" s="1393" t="s">
        <v>225</v>
      </c>
      <c r="C49" s="1393" t="s">
        <v>226</v>
      </c>
      <c r="D49" s="1393" t="s">
        <v>489</v>
      </c>
      <c r="E49" s="2108"/>
      <c r="F49" s="2108"/>
      <c r="G49" s="2108"/>
      <c r="H49" s="2108"/>
      <c r="I49" s="2109"/>
      <c r="J49" s="1393"/>
      <c r="K49" s="1393"/>
      <c r="L49" s="1394"/>
      <c r="P49" s="2111"/>
      <c r="Q49" s="1480"/>
      <c r="R49" s="352"/>
      <c r="S49" s="1308"/>
      <c r="T49" s="364" t="s">
        <v>402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224</v>
      </c>
      <c r="B50" s="1393" t="s">
        <v>225</v>
      </c>
      <c r="C50" s="1393" t="s">
        <v>226</v>
      </c>
      <c r="D50" s="1393" t="s">
        <v>489</v>
      </c>
      <c r="E50" s="2108"/>
      <c r="F50" s="2108"/>
      <c r="G50" s="2108"/>
      <c r="H50" s="2107"/>
      <c r="I50" s="1393"/>
      <c r="J50" s="1393"/>
      <c r="K50" s="1393"/>
      <c r="L50" s="1394"/>
      <c r="M50" s="1395"/>
      <c r="N50" s="1395"/>
      <c r="O50" s="543"/>
      <c r="P50" s="356"/>
      <c r="Q50" s="376"/>
      <c r="R50" s="351"/>
      <c r="S50" s="1308"/>
      <c r="T50" s="372" t="s">
        <v>475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224</v>
      </c>
      <c r="B51" s="1373" t="s">
        <v>225</v>
      </c>
      <c r="C51" s="1344"/>
      <c r="D51" s="1344"/>
      <c r="E51" s="2108"/>
      <c r="F51" s="2107"/>
      <c r="G51" s="1344"/>
      <c r="H51" s="1344"/>
      <c r="I51" s="1344"/>
      <c r="J51" s="1344"/>
      <c r="K51" s="1344"/>
      <c r="L51" s="1488"/>
      <c r="M51" s="1351"/>
      <c r="N51" s="1351"/>
      <c r="P51" s="1346"/>
      <c r="Q51" s="1347"/>
      <c r="R51" s="1346"/>
      <c r="S51" s="1352"/>
      <c r="T51" s="1355" t="s">
        <v>214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224</v>
      </c>
      <c r="B52" s="1373"/>
      <c r="C52" s="1373"/>
      <c r="D52" s="1373"/>
      <c r="E52" s="2107"/>
      <c r="F52" s="1373"/>
      <c r="G52" s="1373"/>
      <c r="H52" s="1373"/>
      <c r="I52" s="1373"/>
      <c r="J52" s="1373"/>
      <c r="K52" s="1373"/>
      <c r="L52" s="1376"/>
      <c r="M52" s="1351"/>
      <c r="N52" s="1351"/>
      <c r="O52" s="524"/>
      <c r="P52" s="385"/>
      <c r="Q52" s="1374"/>
      <c r="R52" s="385"/>
      <c r="S52" s="1352"/>
      <c r="T52" s="1355" t="s">
        <v>215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216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A15822-3FC6-4F22-B1B4-83CBA4A6E9B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4664" width="19.140625" hidden="1" customWidth="1"/>
    <col min="13" max="14" style="3294" width="12.28125" hidden="1" customWidth="1"/>
    <col min="15" max="15" style="3294" width="23.421875" hidden="1" customWidth="1"/>
    <col min="16" max="16" style="4669"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468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469</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470</v>
      </c>
      <c r="U5" s="288"/>
      <c r="V5" s="2194"/>
      <c r="W5" s="2195"/>
      <c r="X5" s="2195"/>
      <c r="Y5" s="2195"/>
      <c r="Z5" s="2195"/>
      <c r="AA5" s="2195"/>
      <c r="AB5" s="2196"/>
      <c r="AC5" s="2197"/>
      <c r="AD5" s="2198"/>
      <c r="AE5" s="2198"/>
      <c r="AF5" s="2198"/>
      <c r="AG5" s="2198"/>
      <c r="AH5" s="2198"/>
      <c r="AI5" s="2198"/>
      <c r="AJ5" s="2199"/>
      <c r="AK5" s="1286" t="s">
        <v>471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396</v>
      </c>
      <c r="P6" s="2111"/>
      <c r="Q6" s="2111">
        <v>1</v>
      </c>
      <c r="R6" s="353"/>
      <c r="S6" s="1487">
        <f>$J6</f>
      </c>
      <c r="T6" s="274" t="s">
        <v>397</v>
      </c>
      <c r="U6" s="288"/>
      <c r="V6" s="2095"/>
      <c r="W6" s="2096"/>
      <c r="X6" s="2096"/>
      <c r="Y6" s="2096"/>
      <c r="Z6" s="2096"/>
      <c r="AA6" s="2096"/>
      <c r="AB6" s="2097"/>
      <c r="AC6" s="2095"/>
      <c r="AD6" s="2096"/>
      <c r="AE6" s="2096"/>
      <c r="AF6" s="2096"/>
      <c r="AG6" s="2096"/>
      <c r="AH6" s="2096"/>
      <c r="AI6" s="2096"/>
      <c r="AJ6" s="2097"/>
      <c r="AK6" s="1337" t="s">
        <v>472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473</v>
      </c>
      <c r="U9" s="367"/>
      <c r="V9" s="367"/>
      <c r="W9" s="367"/>
      <c r="X9" s="367"/>
      <c r="Y9" s="367"/>
      <c r="Z9" s="367"/>
      <c r="AA9" s="367"/>
      <c r="AB9" s="367"/>
      <c r="AC9" s="367"/>
      <c r="AD9" s="367"/>
      <c r="AE9" s="367"/>
      <c r="AF9" s="367"/>
      <c r="AG9" s="367"/>
      <c r="AH9" s="367"/>
      <c r="AI9" s="367"/>
      <c r="AJ9" s="367"/>
      <c r="AK9" s="1286" t="s">
        <v>474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214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405</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 (филиал в г. Глазове)</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строительства, жилищно-коммунального хозяйства и энергетики УР</v>
      </c>
      <c r="W27" s="2100"/>
      <c r="X27" s="2100"/>
      <c r="Y27" s="2100"/>
      <c r="Z27" s="2100"/>
      <c r="AA27" s="2100"/>
      <c r="AB27" s="322"/>
      <c r="AC27" s="2100" t="str">
        <f>IF(TITLE_NAME_OR_PR_CHANGE="",IF(TITLE_NAME_OR_PR="","",TITLE_NAME_OR_PR),TITLE_NAME_OR_PR_CHANGE)</f>
        <v>Министерство строительства, жилищно-коммунального хозяйства и энергетики УР</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45272.383726851855</v>
      </c>
      <c r="W28" s="2099"/>
      <c r="X28" s="2099"/>
      <c r="Y28" s="2099"/>
      <c r="Z28" s="2099"/>
      <c r="AA28" s="2099"/>
      <c r="AB28" s="322"/>
      <c r="AC28" s="2099" t="str">
        <f>IF(TITLE_DATE_PR_CHANGE="",IF(TITLE_DATE_PR="","",TITLE_DATE_PR),TITLE_DATE_PR_CHANGE)</f>
        <v>45272.383726851855</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30/68</v>
      </c>
      <c r="W29" s="2100"/>
      <c r="X29" s="2100"/>
      <c r="Y29" s="2100"/>
      <c r="Z29" s="2100"/>
      <c r="AA29" s="2100"/>
      <c r="AB29" s="322"/>
      <c r="AC29" s="2100" t="str">
        <f>IF(TITLE_NUMBER_PR_CHANGE="",IF(TITLE_NUMBER_PR="","",TITLE_NUMBER_PR),TITLE_NUMBER_PR_CHANGE)</f>
        <v>30/68</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www.udmurt.ru</v>
      </c>
      <c r="W30" s="2100"/>
      <c r="X30" s="2100"/>
      <c r="Y30" s="2100"/>
      <c r="Z30" s="2100"/>
      <c r="AA30" s="2100"/>
      <c r="AB30" s="322"/>
      <c r="AC30" s="2100" t="str">
        <f>IF(TITLE_IST_PUB_CHANGE="",IF(TITLE_IST_PUB="","",TITLE_IST_PUB),TITLE_IST_PUB_CHANGE)</f>
        <v>www.udmurt.ru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45272.383726851855</v>
      </c>
      <c r="W32" s="2099"/>
      <c r="X32" s="2099"/>
      <c r="Y32" s="2099"/>
      <c r="Z32" s="2099"/>
      <c r="AA32" s="2099"/>
      <c r="AB32" s="322"/>
      <c r="AC32" s="2099" t="str">
        <f>IF(TITLE_DATE_PR_CHANGE="",IF(TITLE_DATE_PR="","",TITLE_DATE_PR),TITLE_DATE_PR_CHANGE)</f>
        <v>45272.383726851855</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30/68</v>
      </c>
      <c r="W33" s="2100"/>
      <c r="X33" s="2100"/>
      <c r="Y33" s="2100"/>
      <c r="Z33" s="2100"/>
      <c r="AA33" s="2100"/>
      <c r="AB33" s="322"/>
      <c r="AC33" s="2100" t="str">
        <f>IF(TITLE_NUMBER_PR_CHANGE="",IF(TITLE_NUMBER_PR="","",TITLE_NUMBER_PR),TITLE_NUMBER_PR_CHANGE)</f>
        <v>30/68</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288</v>
      </c>
      <c r="T36" s="1971"/>
      <c r="U36" s="1971"/>
      <c r="V36" s="1971"/>
      <c r="W36" s="1971"/>
      <c r="X36" s="1971"/>
      <c r="Y36" s="1971"/>
      <c r="Z36" s="1971"/>
      <c r="AA36" s="1971"/>
      <c r="AB36" s="1971"/>
      <c r="AC36" s="1971"/>
      <c r="AD36" s="1971"/>
      <c r="AE36" s="1971"/>
      <c r="AF36" s="1971"/>
      <c r="AG36" s="1971"/>
      <c r="AH36" s="1971"/>
      <c r="AI36" s="1971"/>
      <c r="AJ36" s="1971"/>
      <c r="AK36" s="1971" t="s">
        <v>289</v>
      </c>
    </row>
    <row customHeight="1" ht="14.25">
      <c r="Q37" s="377"/>
      <c r="R37" s="377"/>
      <c r="S37" s="2125" t="s">
        <v>86</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482" t="s">
        <v>477</v>
      </c>
      <c r="W38" s="2118" t="s">
        <v>423</v>
      </c>
      <c r="X38" s="2120"/>
      <c r="Y38" s="2118" t="s">
        <v>424</v>
      </c>
      <c r="Z38" s="2119"/>
      <c r="AA38" s="2120"/>
      <c r="AB38" s="2130"/>
      <c r="AC38" s="1482" t="s">
        <v>477</v>
      </c>
      <c r="AD38" s="2118" t="s">
        <v>423</v>
      </c>
      <c r="AE38" s="2120"/>
      <c r="AF38" s="2118" t="s">
        <v>424</v>
      </c>
      <c r="AG38" s="2119"/>
      <c r="AH38" s="2120"/>
      <c r="AI38" s="2130"/>
      <c r="AJ38" s="2133"/>
      <c r="AK38" s="1971"/>
    </row>
    <row customHeight="1" ht="33.75">
      <c r="A39" s="1400"/>
      <c r="B39" s="1400" t="s">
        <v>133</v>
      </c>
      <c r="C39" s="1400" t="s">
        <v>134</v>
      </c>
      <c r="D39" s="1400" t="s">
        <v>135</v>
      </c>
      <c r="E39" s="1394" t="s">
        <v>425</v>
      </c>
      <c r="F39" s="1394" t="s">
        <v>426</v>
      </c>
      <c r="G39" s="1394" t="s">
        <v>427</v>
      </c>
      <c r="H39" s="1394"/>
      <c r="I39" s="1394" t="s">
        <v>478</v>
      </c>
      <c r="J39" s="1394" t="s">
        <v>430</v>
      </c>
      <c r="K39" s="1394" t="s">
        <v>479</v>
      </c>
      <c r="L39" s="1394" t="s">
        <v>406</v>
      </c>
      <c r="Q39" s="377"/>
      <c r="R39" s="377"/>
      <c r="S39" s="2125"/>
      <c r="T39" s="2062"/>
      <c r="U39" s="290"/>
      <c r="V39" s="1482" t="s">
        <v>480</v>
      </c>
      <c r="W39" s="1237" t="s">
        <v>481</v>
      </c>
      <c r="X39" s="1237" t="s">
        <v>482</v>
      </c>
      <c r="Y39" s="1485" t="s">
        <v>434</v>
      </c>
      <c r="Z39" s="2121" t="s">
        <v>435</v>
      </c>
      <c r="AA39" s="2122"/>
      <c r="AB39" s="2131"/>
      <c r="AC39" s="1482" t="s">
        <v>480</v>
      </c>
      <c r="AD39" s="1237" t="s">
        <v>481</v>
      </c>
      <c r="AE39" s="1237" t="s">
        <v>482</v>
      </c>
      <c r="AF39" s="1485" t="s">
        <v>434</v>
      </c>
      <c r="AG39" s="2121" t="s">
        <v>435</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229</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229</v>
      </c>
      <c r="B42" s="1393" t="s">
        <v>230</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388</v>
      </c>
      <c r="AM42" s="506"/>
      <c r="AN42" s="506" t="str">
        <f>IF(T42="","",T42)</f>
        <v>Территория действия тарифа</v>
      </c>
      <c r="AO42" s="506"/>
      <c r="AP42" s="506"/>
    </row>
    <row customHeight="1" ht="23.25">
      <c r="A43" s="1393" t="s">
        <v>229</v>
      </c>
      <c r="B43" s="1393" t="s">
        <v>230</v>
      </c>
      <c r="C43" s="1393" t="s">
        <v>231</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468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469</v>
      </c>
      <c r="AM43" s="506"/>
      <c r="AN43" s="506" t="str">
        <f>IF(T43="","",T43)</f>
        <v>Наименование централизованной системы холодного водоснабжения</v>
      </c>
      <c r="AO43" s="506"/>
      <c r="AP43" s="506"/>
    </row>
    <row customHeight="1" ht="23.25">
      <c r="A44" s="1393" t="s">
        <v>229</v>
      </c>
      <c r="B44" s="1393" t="s">
        <v>230</v>
      </c>
      <c r="C44" s="1393" t="s">
        <v>231</v>
      </c>
      <c r="D44" s="1393" t="s">
        <v>490</v>
      </c>
      <c r="E44" s="2108"/>
      <c r="F44" s="2108"/>
      <c r="G44" s="2108"/>
      <c r="H44" s="2108"/>
      <c r="I44" s="2109" t="str">
        <f>S43&amp;".1"</f>
        <v>...1</v>
      </c>
      <c r="J44" s="1393"/>
      <c r="K44" s="1393"/>
      <c r="L44" s="1394"/>
      <c r="P44" s="2111">
        <v>1</v>
      </c>
      <c r="Q44" s="1480"/>
      <c r="R44" s="352"/>
      <c r="S44" s="1487" t="str">
        <f>$I44</f>
        <v>...1</v>
      </c>
      <c r="T44" s="273" t="s">
        <v>470</v>
      </c>
      <c r="U44" s="288"/>
      <c r="V44" s="2194"/>
      <c r="W44" s="2195"/>
      <c r="X44" s="2195"/>
      <c r="Y44" s="2195"/>
      <c r="Z44" s="2195"/>
      <c r="AA44" s="2195"/>
      <c r="AB44" s="2196"/>
      <c r="AC44" s="2197"/>
      <c r="AD44" s="2198"/>
      <c r="AE44" s="2198"/>
      <c r="AF44" s="2198"/>
      <c r="AG44" s="2198"/>
      <c r="AH44" s="2198"/>
      <c r="AI44" s="2198"/>
      <c r="AJ44" s="2199"/>
      <c r="AK44" s="1286" t="s">
        <v>471</v>
      </c>
      <c r="AM44" s="506"/>
      <c r="AN44" s="506" t="str">
        <f>IF(T44="","",T44)</f>
        <v>Наименование признака дифференциации</v>
      </c>
      <c r="AO44" s="506"/>
      <c r="AP44" s="506"/>
    </row>
    <row customHeight="1" ht="23.25">
      <c r="A45" s="1393" t="s">
        <v>229</v>
      </c>
      <c r="B45" s="1393" t="s">
        <v>230</v>
      </c>
      <c r="C45" s="1393" t="s">
        <v>231</v>
      </c>
      <c r="D45" s="1393" t="s">
        <v>490</v>
      </c>
      <c r="E45" s="2108"/>
      <c r="F45" s="2108"/>
      <c r="G45" s="2108"/>
      <c r="H45" s="2108"/>
      <c r="I45" s="2110"/>
      <c r="J45" s="2109" t="str">
        <f>I44&amp;".1"</f>
        <v>...1.1</v>
      </c>
      <c r="K45" s="1393"/>
      <c r="L45" s="1394" t="s">
        <v>396</v>
      </c>
      <c r="P45" s="2111"/>
      <c r="Q45" s="2111">
        <v>1</v>
      </c>
      <c r="R45" s="353"/>
      <c r="S45" s="1487" t="str">
        <f>$J45</f>
        <v>...1.1</v>
      </c>
      <c r="T45" s="274" t="s">
        <v>397</v>
      </c>
      <c r="U45" s="288"/>
      <c r="V45" s="2095"/>
      <c r="W45" s="2096"/>
      <c r="X45" s="2096"/>
      <c r="Y45" s="2096"/>
      <c r="Z45" s="2096"/>
      <c r="AA45" s="2096"/>
      <c r="AB45" s="2097"/>
      <c r="AC45" s="2095"/>
      <c r="AD45" s="2096"/>
      <c r="AE45" s="2096"/>
      <c r="AF45" s="2096"/>
      <c r="AG45" s="2096"/>
      <c r="AH45" s="2096"/>
      <c r="AI45" s="2096"/>
      <c r="AJ45" s="2097"/>
      <c r="AK45" s="1337" t="s">
        <v>472</v>
      </c>
      <c r="AM45" s="506"/>
      <c r="AN45" s="506" t="str">
        <f>IF(T45="","",T45)</f>
        <v>Группа потребителей</v>
      </c>
      <c r="AO45" s="506"/>
      <c r="AP45" s="506"/>
    </row>
    <row customHeight="1" ht="23.25">
      <c r="A46" s="1393" t="s">
        <v>229</v>
      </c>
      <c r="B46" s="1393" t="s">
        <v>230</v>
      </c>
      <c r="C46" s="1393" t="s">
        <v>231</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60</v>
      </c>
      <c r="AA46" s="2112"/>
      <c r="AB46" s="1981" t="s">
        <v>60</v>
      </c>
      <c r="AC46" s="757"/>
      <c r="AD46" s="757"/>
      <c r="AE46" s="1285"/>
      <c r="AF46" s="2112"/>
      <c r="AG46" s="1981" t="s">
        <v>60</v>
      </c>
      <c r="AH46" s="2114"/>
      <c r="AI46" s="1981" t="s">
        <v>60</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229</v>
      </c>
      <c r="B47" s="1393" t="s">
        <v>230</v>
      </c>
      <c r="C47" s="1393" t="s">
        <v>231</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229</v>
      </c>
      <c r="B48" s="1393" t="s">
        <v>230</v>
      </c>
      <c r="C48" s="1393" t="s">
        <v>231</v>
      </c>
      <c r="D48" s="1393" t="s">
        <v>490</v>
      </c>
      <c r="E48" s="2108"/>
      <c r="F48" s="2108"/>
      <c r="G48" s="2108"/>
      <c r="H48" s="2108"/>
      <c r="I48" s="2110"/>
      <c r="J48" s="2109"/>
      <c r="K48" s="1393"/>
      <c r="L48" s="1394"/>
      <c r="P48" s="2111"/>
      <c r="Q48" s="2111"/>
      <c r="R48" s="352"/>
      <c r="S48" s="1308"/>
      <c r="T48" s="275" t="s">
        <v>473</v>
      </c>
      <c r="U48" s="367"/>
      <c r="V48" s="367"/>
      <c r="W48" s="367"/>
      <c r="X48" s="367"/>
      <c r="Y48" s="367"/>
      <c r="Z48" s="367"/>
      <c r="AA48" s="367"/>
      <c r="AB48" s="367"/>
      <c r="AC48" s="367"/>
      <c r="AD48" s="367"/>
      <c r="AE48" s="367"/>
      <c r="AF48" s="367"/>
      <c r="AG48" s="367"/>
      <c r="AH48" s="367"/>
      <c r="AI48" s="367"/>
      <c r="AJ48" s="367"/>
      <c r="AK48" s="1286" t="s">
        <v>474</v>
      </c>
      <c r="AM48" s="506"/>
      <c r="AN48" s="506" t="str">
        <f>IF(T48="","",T48)</f>
        <v>Добавить значение признака дифференциации</v>
      </c>
      <c r="AO48" s="506"/>
      <c r="AP48" s="506"/>
    </row>
    <row customHeight="1" ht="21">
      <c r="A49" s="1393" t="s">
        <v>229</v>
      </c>
      <c r="B49" s="1393" t="s">
        <v>230</v>
      </c>
      <c r="C49" s="1393" t="s">
        <v>231</v>
      </c>
      <c r="D49" s="1393" t="s">
        <v>490</v>
      </c>
      <c r="E49" s="2108"/>
      <c r="F49" s="2108"/>
      <c r="G49" s="2108"/>
      <c r="H49" s="2108"/>
      <c r="I49" s="2109"/>
      <c r="J49" s="1393"/>
      <c r="K49" s="1393"/>
      <c r="L49" s="1394"/>
      <c r="P49" s="2111"/>
      <c r="Q49" s="1480"/>
      <c r="R49" s="352"/>
      <c r="S49" s="1308"/>
      <c r="T49" s="364" t="s">
        <v>402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229</v>
      </c>
      <c r="B50" s="1393" t="s">
        <v>230</v>
      </c>
      <c r="C50" s="1393" t="s">
        <v>231</v>
      </c>
      <c r="D50" s="1393" t="s">
        <v>490</v>
      </c>
      <c r="E50" s="2108"/>
      <c r="F50" s="2108"/>
      <c r="G50" s="2108"/>
      <c r="H50" s="2107"/>
      <c r="I50" s="1393"/>
      <c r="J50" s="1393"/>
      <c r="K50" s="1393"/>
      <c r="L50" s="1394"/>
      <c r="M50" s="1395"/>
      <c r="N50" s="1395"/>
      <c r="O50" s="543"/>
      <c r="P50" s="356"/>
      <c r="Q50" s="376"/>
      <c r="R50" s="351"/>
      <c r="S50" s="1308"/>
      <c r="T50" s="372" t="s">
        <v>475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229</v>
      </c>
      <c r="B51" s="1373" t="s">
        <v>230</v>
      </c>
      <c r="C51" s="1344"/>
      <c r="D51" s="1344"/>
      <c r="E51" s="2108"/>
      <c r="F51" s="2107"/>
      <c r="G51" s="1344"/>
      <c r="H51" s="1344"/>
      <c r="I51" s="1344"/>
      <c r="J51" s="1344"/>
      <c r="K51" s="1344"/>
      <c r="L51" s="1488"/>
      <c r="M51" s="1351"/>
      <c r="N51" s="1351"/>
      <c r="P51" s="1346"/>
      <c r="Q51" s="1347"/>
      <c r="R51" s="1346"/>
      <c r="S51" s="1352"/>
      <c r="T51" s="1355" t="s">
        <v>214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229</v>
      </c>
      <c r="B52" s="1373"/>
      <c r="C52" s="1373"/>
      <c r="D52" s="1373"/>
      <c r="E52" s="2107"/>
      <c r="F52" s="1373"/>
      <c r="G52" s="1373"/>
      <c r="H52" s="1373"/>
      <c r="I52" s="1373"/>
      <c r="J52" s="1373"/>
      <c r="K52" s="1373"/>
      <c r="L52" s="1376"/>
      <c r="M52" s="1351"/>
      <c r="N52" s="1351"/>
      <c r="O52" s="524"/>
      <c r="P52" s="385"/>
      <c r="Q52" s="1374"/>
      <c r="R52" s="385"/>
      <c r="S52" s="1352"/>
      <c r="T52" s="1355" t="s">
        <v>215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216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B2D498-AE32-191F-02F4-ABB580300A41}"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4691"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387</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388</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468</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469</v>
      </c>
      <c r="BE4" s="506"/>
      <c r="BF4" s="506" t="str">
        <f>IF(T4="","",T4)</f>
        <v>Наименование централизованной системы холодного водоснабжения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392</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393</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60</v>
      </c>
      <c r="AB8" s="1774"/>
      <c r="AC8" s="1489" t="s">
        <v>60</v>
      </c>
      <c r="AD8" s="2044" t="s">
        <v>60</v>
      </c>
      <c r="AE8" s="2180"/>
      <c r="AF8" s="2057">
        <v>1</v>
      </c>
      <c r="AG8" s="2202"/>
      <c r="AH8" s="1981" t="s">
        <v>60</v>
      </c>
      <c r="AI8" s="2180"/>
      <c r="AJ8" s="2057">
        <v>1</v>
      </c>
      <c r="AK8" s="2201" t="s">
        <v>24</v>
      </c>
      <c r="AL8" s="1981" t="s">
        <v>60</v>
      </c>
      <c r="AM8" s="2029"/>
      <c r="AN8" s="2057">
        <v>1</v>
      </c>
      <c r="AO8" s="2206"/>
      <c r="AP8" s="2207" t="s">
        <v>60</v>
      </c>
      <c r="AQ8" s="301"/>
      <c r="AR8" s="1493">
        <v>1</v>
      </c>
      <c r="AS8" s="1496" t="s">
        <v>24</v>
      </c>
      <c r="AT8" s="757"/>
      <c r="AU8" s="1285"/>
      <c r="AV8" s="757"/>
      <c r="AW8" s="1285"/>
      <c r="AX8" s="1774"/>
      <c r="AY8" s="1489" t="s">
        <v>60</v>
      </c>
      <c r="AZ8" s="1774"/>
      <c r="BA8" s="1489" t="s">
        <v>60</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454</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214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215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490" t="s">
        <v>60</v>
      </c>
      <c r="AZ20" s="1776"/>
      <c r="BA20" s="1490" t="s">
        <v>60</v>
      </c>
    </row>
    <row customHeight="1" ht="14.25" hidden="1">
      <c r="BD21" s="502"/>
      <c r="BE21" s="502"/>
      <c r="BF21" s="502"/>
      <c r="BG21" s="502"/>
      <c r="BH21" s="502"/>
    </row>
    <row customHeight="1" ht="14.25" hidden="1">
      <c r="O22" s="1397" t="s">
        <v>405</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8" customFormat="1" customHeight="1" ht="14.25" hidden="1">
      <c r="M24" s="1538"/>
      <c r="N24" s="1538"/>
      <c r="O24" s="1539" t="s">
        <v>406</v>
      </c>
      <c r="P24" s="1538"/>
      <c r="Q24" s="1540"/>
      <c r="R24" s="1540"/>
      <c r="AA24" s="1537" t="s">
        <v>408</v>
      </c>
      <c r="AC24" s="1537" t="s">
        <v>409</v>
      </c>
      <c r="AD24" s="1537" t="s">
        <v>455</v>
      </c>
      <c r="AH24" s="1537" t="s">
        <v>455</v>
      </c>
      <c r="AK24" s="1537" t="s">
        <v>496</v>
      </c>
      <c r="AL24" s="1537" t="s">
        <v>455</v>
      </c>
      <c r="AP24" s="1537" t="s">
        <v>455</v>
      </c>
      <c r="AY24" s="1537" t="s">
        <v>408</v>
      </c>
      <c r="BA24" s="1537" t="s">
        <v>409</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"РИР" (филиал в г. Глазове)</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строительства, жилищно-коммунального хозяйства и энергетики УР</v>
      </c>
      <c r="W31" s="2100"/>
      <c r="X31" s="2100"/>
      <c r="Y31" s="2100"/>
      <c r="Z31" s="2100"/>
      <c r="AA31" s="2100"/>
      <c r="AB31" s="2100"/>
      <c r="AC31" s="322"/>
      <c r="AD31" s="2100" t="str">
        <f>IF(TITLE_NAME_OR_PR_CHANGE="",IF(TITLE_NAME_OR_PR="","",TITLE_NAME_OR_PR),TITLE_NAME_OR_PR_CHANGE)</f>
        <v>Министерство строительства, жилищно-коммунального хозяйства и энергетики УР</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411</v>
      </c>
      <c r="T32" s="2098"/>
      <c r="U32" s="1402"/>
      <c r="V32" s="2099" t="str">
        <f>IF(TITLE_DATE_PR_CHANGE="",IF(TITLE_DATE_PR="","",TITLE_DATE_PR),TITLE_DATE_PR_CHANGE)</f>
        <v>45272.383726851855</v>
      </c>
      <c r="W32" s="2099"/>
      <c r="X32" s="2099"/>
      <c r="Y32" s="2099"/>
      <c r="Z32" s="2099"/>
      <c r="AA32" s="2099"/>
      <c r="AB32" s="2099"/>
      <c r="AC32" s="322"/>
      <c r="AD32" s="2099" t="str">
        <f>IF(TITLE_DATE_PR_CHANGE="",IF(TITLE_DATE_PR="","",TITLE_DATE_PR),TITLE_DATE_PR_CHANGE)</f>
        <v>45272.383726851855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412</v>
      </c>
      <c r="T33" s="2098"/>
      <c r="U33" s="1402"/>
      <c r="V33" s="2100" t="str">
        <f>IF(TITLE_NUMBER_PR_CHANGE="",IF(TITLE_NUMBER_PR="","",TITLE_NUMBER_PR),TITLE_NUMBER_PR_CHANGE)</f>
        <v>30/68</v>
      </c>
      <c r="W33" s="2100"/>
      <c r="X33" s="2100"/>
      <c r="Y33" s="2100"/>
      <c r="Z33" s="2100"/>
      <c r="AA33" s="2100"/>
      <c r="AB33" s="2100"/>
      <c r="AC33" s="322"/>
      <c r="AD33" s="2100" t="str">
        <f>IF(TITLE_NUMBER_PR_CHANGE="",IF(TITLE_NUMBER_PR="","",TITLE_NUMBER_PR),TITLE_NUMBER_PR_CHANGE)</f>
        <v>30/68</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www.udmurt.ru</v>
      </c>
      <c r="W34" s="2100"/>
      <c r="X34" s="2100"/>
      <c r="Y34" s="2100"/>
      <c r="Z34" s="2100"/>
      <c r="AA34" s="2100"/>
      <c r="AB34" s="2100"/>
      <c r="AC34" s="322"/>
      <c r="AD34" s="2100" t="str">
        <f>IF(TITLE_IST_PUB_CHANGE="",IF(TITLE_IST_PUB="","",TITLE_IST_PUB),TITLE_IST_PUB_CHANGE)</f>
        <v>www.udmurt.ru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411</v>
      </c>
      <c r="T36" s="2098"/>
      <c r="U36" s="1402"/>
      <c r="V36" s="2099" t="str">
        <f>IF(TITLE_DATE_PR_CHANGE="",IF(TITLE_DATE_PR="","",TITLE_DATE_PR),TITLE_DATE_PR_CHANGE)</f>
        <v>45272.383726851855</v>
      </c>
      <c r="W36" s="2099"/>
      <c r="X36" s="2099"/>
      <c r="Y36" s="2099"/>
      <c r="Z36" s="2099"/>
      <c r="AA36" s="2099"/>
      <c r="AB36" s="2099"/>
      <c r="AC36" s="322"/>
      <c r="AD36" s="2099" t="str">
        <f>IF(TITLE_DATE_PR_CHANGE="",IF(TITLE_DATE_PR="","",TITLE_DATE_PR),TITLE_DATE_PR_CHANGE)</f>
        <v>45272.383726851855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412</v>
      </c>
      <c r="T37" s="2098"/>
      <c r="U37" s="1402"/>
      <c r="V37" s="2100" t="str">
        <f>IF(TITLE_NUMBER_PR_CHANGE="",IF(TITLE_NUMBER_PR="","",TITLE_NUMBER_PR),TITLE_NUMBER_PR_CHANGE)</f>
        <v>30/68</v>
      </c>
      <c r="W37" s="2100"/>
      <c r="X37" s="2100"/>
      <c r="Y37" s="2100"/>
      <c r="Z37" s="2100"/>
      <c r="AA37" s="2100"/>
      <c r="AB37" s="2100"/>
      <c r="AC37" s="322"/>
      <c r="AD37" s="2100" t="str">
        <f>IF(TITLE_NUMBER_PR_CHANGE="",IF(TITLE_NUMBER_PR="","",TITLE_NUMBER_PR),TITLE_NUMBER_PR_CHANGE)</f>
        <v>30/68</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415</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288</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289</v>
      </c>
    </row>
    <row customHeight="1" ht="14.25">
      <c r="Q41" s="279"/>
      <c r="R41" s="377"/>
      <c r="S41" s="2125" t="s">
        <v>86</v>
      </c>
      <c r="T41" s="2062" t="s">
        <v>497</v>
      </c>
      <c r="U41" s="289"/>
      <c r="V41" s="2126" t="s">
        <v>417</v>
      </c>
      <c r="W41" s="2127"/>
      <c r="X41" s="2127"/>
      <c r="Y41" s="2127"/>
      <c r="Z41" s="2127"/>
      <c r="AA41" s="2127"/>
      <c r="AB41" s="2128"/>
      <c r="AC41" s="2129" t="s">
        <v>418</v>
      </c>
      <c r="AD41" s="2173" t="s">
        <v>498</v>
      </c>
      <c r="AE41" s="2146"/>
      <c r="AF41" s="2146"/>
      <c r="AG41" s="2174"/>
      <c r="AH41" s="2173" t="s">
        <v>499</v>
      </c>
      <c r="AI41" s="2146"/>
      <c r="AJ41" s="2146"/>
      <c r="AK41" s="2174"/>
      <c r="AL41" s="2173" t="s">
        <v>500</v>
      </c>
      <c r="AM41" s="2146"/>
      <c r="AN41" s="2146"/>
      <c r="AO41" s="2174"/>
      <c r="AP41" s="2173" t="s">
        <v>501</v>
      </c>
      <c r="AQ41" s="2146"/>
      <c r="AR41" s="2146"/>
      <c r="AS41" s="2174"/>
      <c r="AT41" s="2126" t="s">
        <v>417</v>
      </c>
      <c r="AU41" s="2127"/>
      <c r="AV41" s="2127"/>
      <c r="AW41" s="2127"/>
      <c r="AX41" s="2127"/>
      <c r="AY41" s="2127"/>
      <c r="AZ41" s="2128"/>
      <c r="BA41" s="2129" t="s">
        <v>418</v>
      </c>
      <c r="BB41" s="2132" t="s">
        <v>420</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502</v>
      </c>
      <c r="AU42" s="2030"/>
      <c r="AV42" s="2029" t="s">
        <v>503</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425</v>
      </c>
      <c r="F44" s="1394" t="s">
        <v>426</v>
      </c>
      <c r="G44" s="1394" t="s">
        <v>427</v>
      </c>
      <c r="H44" s="1394" t="s">
        <v>428</v>
      </c>
      <c r="I44" s="1394" t="s">
        <v>429</v>
      </c>
      <c r="J44" s="1394" t="s">
        <v>430</v>
      </c>
      <c r="K44" s="1394" t="s">
        <v>431</v>
      </c>
      <c r="L44" s="1394" t="s">
        <v>406</v>
      </c>
      <c r="Q44" s="279"/>
      <c r="R44" s="377"/>
      <c r="S44" s="2125"/>
      <c r="T44" s="2062"/>
      <c r="U44" s="290"/>
      <c r="V44" s="1478" t="s">
        <v>465</v>
      </c>
      <c r="W44" s="1478" t="s">
        <v>466</v>
      </c>
      <c r="X44" s="1478" t="s">
        <v>465</v>
      </c>
      <c r="Y44" s="1478" t="s">
        <v>466</v>
      </c>
      <c r="Z44" s="1485" t="s">
        <v>434</v>
      </c>
      <c r="AA44" s="2121" t="s">
        <v>435</v>
      </c>
      <c r="AB44" s="2122"/>
      <c r="AC44" s="2131"/>
      <c r="AD44" s="2177"/>
      <c r="AE44" s="2178"/>
      <c r="AF44" s="2178"/>
      <c r="AG44" s="2179"/>
      <c r="AH44" s="2177"/>
      <c r="AI44" s="2178"/>
      <c r="AJ44" s="2178"/>
      <c r="AK44" s="2179"/>
      <c r="AL44" s="2177"/>
      <c r="AM44" s="2178"/>
      <c r="AN44" s="2178"/>
      <c r="AO44" s="2179"/>
      <c r="AP44" s="2177"/>
      <c r="AQ44" s="2178"/>
      <c r="AR44" s="2178"/>
      <c r="AS44" s="2179"/>
      <c r="AT44" s="1478" t="s">
        <v>465</v>
      </c>
      <c r="AU44" s="1478" t="s">
        <v>466</v>
      </c>
      <c r="AV44" s="1478" t="s">
        <v>465</v>
      </c>
      <c r="AW44" s="1478" t="s">
        <v>466</v>
      </c>
      <c r="AX44" s="1485" t="s">
        <v>434</v>
      </c>
      <c r="AY44" s="2121" t="s">
        <v>435</v>
      </c>
      <c r="AZ44" s="2122"/>
      <c r="BA44" s="2131"/>
      <c r="BB44" s="2134"/>
      <c r="BC44" s="1971"/>
    </row>
    <row s="2612"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234</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234</v>
      </c>
      <c r="B47" s="1393" t="s">
        <v>235</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387</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388</v>
      </c>
      <c r="BE47" s="506"/>
      <c r="BF47" s="506" t="str">
        <f>IF(T47="","",T47)</f>
        <v>Территория действия тарифа</v>
      </c>
      <c r="BG47" s="506"/>
      <c r="BH47" s="506"/>
    </row>
    <row customHeight="1" ht="42">
      <c r="A48" s="1393" t="s">
        <v>234</v>
      </c>
      <c r="B48" s="1393" t="s">
        <v>235</v>
      </c>
      <c r="C48" s="1393" t="s">
        <v>236</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468</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469</v>
      </c>
      <c r="BE48" s="506"/>
      <c r="BF48" s="506" t="str">
        <f>IF(T48="","",T48)</f>
        <v>Наименование централизованной системы холодного водоснабжения</v>
      </c>
      <c r="BG48" s="506"/>
      <c r="BH48" s="506"/>
    </row>
    <row s="2613" customFormat="1" customHeight="1" ht="0">
      <c r="A49" s="1373" t="s">
        <v>234</v>
      </c>
      <c r="B49" s="1373" t="s">
        <v>235</v>
      </c>
      <c r="C49" s="1373" t="s">
        <v>236</v>
      </c>
      <c r="D49" s="1373" t="s">
        <v>505</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392</v>
      </c>
      <c r="BE49" s="506"/>
      <c r="BF49" s="506" t="str">
        <f>IF(T49="","",T49)</f>
        <v/>
      </c>
      <c r="BG49" s="506"/>
      <c r="BH49" s="506"/>
    </row>
    <row s="2613" customFormat="1" customHeight="1" ht="0">
      <c r="A50" s="1373" t="s">
        <v>234</v>
      </c>
      <c r="B50" s="1373" t="s">
        <v>235</v>
      </c>
      <c r="C50" s="1373" t="s">
        <v>236</v>
      </c>
      <c r="D50" s="1373" t="s">
        <v>505</v>
      </c>
      <c r="E50" s="2108"/>
      <c r="F50" s="2108"/>
      <c r="G50" s="2108"/>
      <c r="H50" s="2108"/>
      <c r="I50" s="2109" t="str">
        <f>S49&amp;".1"</f>
        <v>.1</v>
      </c>
      <c r="J50" s="1373"/>
      <c r="K50" s="1373"/>
      <c r="L50" s="1376" t="s">
        <v>393</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234</v>
      </c>
      <c r="B51" s="1373" t="s">
        <v>235</v>
      </c>
      <c r="C51" s="1373" t="s">
        <v>236</v>
      </c>
      <c r="D51" s="1373" t="s">
        <v>505</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234</v>
      </c>
      <c r="B52" s="1393" t="s">
        <v>235</v>
      </c>
      <c r="C52" s="1393" t="s">
        <v>236</v>
      </c>
      <c r="D52" s="1393" t="s">
        <v>505</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60</v>
      </c>
      <c r="AB52" s="1774"/>
      <c r="AC52" s="1489" t="s">
        <v>60</v>
      </c>
      <c r="AD52" s="2044" t="s">
        <v>60</v>
      </c>
      <c r="AE52" s="2180"/>
      <c r="AF52" s="2057">
        <v>1</v>
      </c>
      <c r="AG52" s="2202"/>
      <c r="AH52" s="1981" t="s">
        <v>60</v>
      </c>
      <c r="AI52" s="2180"/>
      <c r="AJ52" s="2057">
        <v>1</v>
      </c>
      <c r="AK52" s="2201" t="s">
        <v>24</v>
      </c>
      <c r="AL52" s="1981" t="s">
        <v>60</v>
      </c>
      <c r="AM52" s="2029"/>
      <c r="AN52" s="2057">
        <v>1</v>
      </c>
      <c r="AO52" s="2206"/>
      <c r="AP52" s="2207" t="s">
        <v>60</v>
      </c>
      <c r="AQ52" s="301"/>
      <c r="AR52" s="1493">
        <v>1</v>
      </c>
      <c r="AS52" s="1496" t="s">
        <v>24</v>
      </c>
      <c r="AT52" s="757"/>
      <c r="AU52" s="1285"/>
      <c r="AV52" s="757"/>
      <c r="AW52" s="1285"/>
      <c r="AX52" s="1774"/>
      <c r="AY52" s="1489" t="s">
        <v>60</v>
      </c>
      <c r="AZ52" s="1774"/>
      <c r="BA52" s="1489" t="s">
        <v>60</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234</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234</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234</v>
      </c>
      <c r="B56" s="1393" t="s">
        <v>235</v>
      </c>
      <c r="C56" s="1393" t="s">
        <v>236</v>
      </c>
      <c r="D56" s="1393" t="s">
        <v>505</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234</v>
      </c>
      <c r="B57" s="1393" t="s">
        <v>235</v>
      </c>
      <c r="C57" s="1393" t="s">
        <v>236</v>
      </c>
      <c r="D57" s="1393" t="s">
        <v>505</v>
      </c>
      <c r="E57" s="2108"/>
      <c r="F57" s="2108"/>
      <c r="G57" s="2108"/>
      <c r="H57" s="2108"/>
      <c r="I57" s="2110"/>
      <c r="J57" s="2109"/>
      <c r="K57" s="1393"/>
      <c r="L57" s="1394"/>
      <c r="P57" s="2111"/>
      <c r="Q57" s="2111"/>
      <c r="R57" s="352"/>
      <c r="S57" s="1308"/>
      <c r="T57" s="275" t="s">
        <v>454</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234</v>
      </c>
      <c r="B58" s="1373" t="s">
        <v>235</v>
      </c>
      <c r="C58" s="1373" t="s">
        <v>236</v>
      </c>
      <c r="D58" s="1373" t="s">
        <v>505</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234</v>
      </c>
      <c r="B59" s="1373" t="s">
        <v>235</v>
      </c>
      <c r="C59" s="1373" t="s">
        <v>236</v>
      </c>
      <c r="D59" s="1373" t="s">
        <v>505</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234</v>
      </c>
      <c r="B60" s="1373" t="s">
        <v>235</v>
      </c>
      <c r="C60" s="1373" t="s">
        <v>236</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234</v>
      </c>
      <c r="B61" s="1373" t="s">
        <v>235</v>
      </c>
      <c r="C61" s="1344"/>
      <c r="D61" s="1344"/>
      <c r="E61" s="2108"/>
      <c r="F61" s="2107"/>
      <c r="G61" s="1344"/>
      <c r="H61" s="1344"/>
      <c r="I61" s="1344"/>
      <c r="J61" s="1344"/>
      <c r="K61" s="1344"/>
      <c r="L61" s="1494"/>
      <c r="M61" s="1351"/>
      <c r="N61" s="1351"/>
      <c r="P61" s="1346"/>
      <c r="Q61" s="1347"/>
      <c r="R61" s="1346"/>
      <c r="S61" s="1352"/>
      <c r="T61" s="1355" t="s">
        <v>214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234</v>
      </c>
      <c r="B62" s="1373"/>
      <c r="C62" s="1373"/>
      <c r="D62" s="1373"/>
      <c r="E62" s="2107"/>
      <c r="F62" s="1373"/>
      <c r="G62" s="1373"/>
      <c r="H62" s="1373"/>
      <c r="I62" s="1373"/>
      <c r="J62" s="1373"/>
      <c r="K62" s="1373"/>
      <c r="L62" s="1376"/>
      <c r="M62" s="1351"/>
      <c r="N62" s="1351"/>
      <c r="O62" s="524"/>
      <c r="P62" s="385"/>
      <c r="Q62" s="1374"/>
      <c r="R62" s="385"/>
      <c r="S62" s="1352"/>
      <c r="T62" s="1355" t="s">
        <v>215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216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AAA3AE-198F-44A7-4E8D-A6B8A6F3C36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4697" width="19.140625" hidden="1" customWidth="1"/>
    <col min="13" max="14" style="3294" width="12.28125" hidden="1" customWidth="1"/>
    <col min="15" max="15" style="3294" width="23.421875" hidden="1" customWidth="1"/>
    <col min="16" max="16" style="470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507</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470</v>
      </c>
      <c r="U5" s="288"/>
      <c r="V5" s="2194"/>
      <c r="W5" s="2195"/>
      <c r="X5" s="2195"/>
      <c r="Y5" s="2195"/>
      <c r="Z5" s="2195"/>
      <c r="AA5" s="2195"/>
      <c r="AB5" s="2196"/>
      <c r="AC5" s="2197"/>
      <c r="AD5" s="2198"/>
      <c r="AE5" s="2198"/>
      <c r="AF5" s="2198"/>
      <c r="AG5" s="2198"/>
      <c r="AH5" s="2198"/>
      <c r="AI5" s="2198"/>
      <c r="AJ5" s="2199"/>
      <c r="AK5" s="1286" t="s">
        <v>471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396</v>
      </c>
      <c r="P6" s="2111"/>
      <c r="Q6" s="2111">
        <v>1</v>
      </c>
      <c r="R6" s="353"/>
      <c r="S6" s="1523">
        <f>$J6</f>
      </c>
      <c r="T6" s="274" t="s">
        <v>397</v>
      </c>
      <c r="U6" s="288"/>
      <c r="V6" s="2095"/>
      <c r="W6" s="2096"/>
      <c r="X6" s="2096"/>
      <c r="Y6" s="2096"/>
      <c r="Z6" s="2096"/>
      <c r="AA6" s="2096"/>
      <c r="AB6" s="2097"/>
      <c r="AC6" s="2095"/>
      <c r="AD6" s="2096"/>
      <c r="AE6" s="2096"/>
      <c r="AF6" s="2096"/>
      <c r="AG6" s="2096"/>
      <c r="AH6" s="2096"/>
      <c r="AI6" s="2096"/>
      <c r="AJ6" s="2097"/>
      <c r="AK6" s="1337" t="s">
        <v>472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473</v>
      </c>
      <c r="U9" s="367"/>
      <c r="V9" s="367"/>
      <c r="W9" s="367"/>
      <c r="X9" s="367"/>
      <c r="Y9" s="367"/>
      <c r="Z9" s="367"/>
      <c r="AA9" s="367"/>
      <c r="AB9" s="367"/>
      <c r="AC9" s="367"/>
      <c r="AD9" s="367"/>
      <c r="AE9" s="367"/>
      <c r="AF9" s="367"/>
      <c r="AG9" s="367"/>
      <c r="AH9" s="367"/>
      <c r="AI9" s="367"/>
      <c r="AJ9" s="367"/>
      <c r="AK9" s="1286" t="s">
        <v>474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214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 (филиал в г. Глазове)</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строительства, жилищно-коммунального хозяйства и энергетики УР</v>
      </c>
      <c r="W27" s="2100"/>
      <c r="X27" s="2100"/>
      <c r="Y27" s="2100"/>
      <c r="Z27" s="2100"/>
      <c r="AA27" s="2100"/>
      <c r="AB27" s="322"/>
      <c r="AC27" s="2100" t="str">
        <f>IF(TITLE_NAME_OR_PR_CHANGE="",IF(TITLE_NAME_OR_PR="","",TITLE_NAME_OR_PR),TITLE_NAME_OR_PR_CHANGE)</f>
        <v>Министерство строительства, жилищно-коммунального хозяйства и энергетики УР</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45272.383726851855</v>
      </c>
      <c r="W28" s="2099"/>
      <c r="X28" s="2099"/>
      <c r="Y28" s="2099"/>
      <c r="Z28" s="2099"/>
      <c r="AA28" s="2099"/>
      <c r="AB28" s="322"/>
      <c r="AC28" s="2099" t="str">
        <f>IF(TITLE_DATE_PR_CHANGE="",IF(TITLE_DATE_PR="","",TITLE_DATE_PR),TITLE_DATE_PR_CHANGE)</f>
        <v>45272.383726851855</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30/68</v>
      </c>
      <c r="W29" s="2100"/>
      <c r="X29" s="2100"/>
      <c r="Y29" s="2100"/>
      <c r="Z29" s="2100"/>
      <c r="AA29" s="2100"/>
      <c r="AB29" s="322"/>
      <c r="AC29" s="2100" t="str">
        <f>IF(TITLE_NUMBER_PR_CHANGE="",IF(TITLE_NUMBER_PR="","",TITLE_NUMBER_PR),TITLE_NUMBER_PR_CHANGE)</f>
        <v>30/68</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www.udmurt.ru</v>
      </c>
      <c r="W30" s="2100"/>
      <c r="X30" s="2100"/>
      <c r="Y30" s="2100"/>
      <c r="Z30" s="2100"/>
      <c r="AA30" s="2100"/>
      <c r="AB30" s="322"/>
      <c r="AC30" s="2100" t="str">
        <f>IF(TITLE_IST_PUB_CHANGE="",IF(TITLE_IST_PUB="","",TITLE_IST_PUB),TITLE_IST_PUB_CHANGE)</f>
        <v>www.udmurt.ru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45272.383726851855</v>
      </c>
      <c r="W32" s="2099"/>
      <c r="X32" s="2099"/>
      <c r="Y32" s="2099"/>
      <c r="Z32" s="2099"/>
      <c r="AA32" s="2099"/>
      <c r="AB32" s="322"/>
      <c r="AC32" s="2099" t="str">
        <f>IF(TITLE_DATE_PR_CHANGE="",IF(TITLE_DATE_PR="","",TITLE_DATE_PR),TITLE_DATE_PR_CHANGE)</f>
        <v>45272.383726851855</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30/68</v>
      </c>
      <c r="W33" s="2100"/>
      <c r="X33" s="2100"/>
      <c r="Y33" s="2100"/>
      <c r="Z33" s="2100"/>
      <c r="AA33" s="2100"/>
      <c r="AB33" s="322"/>
      <c r="AC33" s="2100" t="str">
        <f>IF(TITLE_NUMBER_PR_CHANGE="",IF(TITLE_NUMBER_PR="","",TITLE_NUMBER_PR),TITLE_NUMBER_PR_CHANGE)</f>
        <v>30/68</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288</v>
      </c>
      <c r="T36" s="1971"/>
      <c r="U36" s="1971"/>
      <c r="V36" s="1971"/>
      <c r="W36" s="1971"/>
      <c r="X36" s="1971"/>
      <c r="Y36" s="1971"/>
      <c r="Z36" s="1971"/>
      <c r="AA36" s="1971"/>
      <c r="AB36" s="1971"/>
      <c r="AC36" s="1971"/>
      <c r="AD36" s="1971"/>
      <c r="AE36" s="1971"/>
      <c r="AF36" s="1971"/>
      <c r="AG36" s="1971"/>
      <c r="AH36" s="1971"/>
      <c r="AI36" s="1971"/>
      <c r="AJ36" s="1971"/>
      <c r="AK36" s="1971" t="s">
        <v>289</v>
      </c>
    </row>
    <row customHeight="1" ht="14.25">
      <c r="Q37" s="377"/>
      <c r="R37" s="377"/>
      <c r="S37" s="2125" t="s">
        <v>86</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513" t="s">
        <v>477</v>
      </c>
      <c r="W38" s="2118" t="s">
        <v>423</v>
      </c>
      <c r="X38" s="2120"/>
      <c r="Y38" s="2118" t="s">
        <v>424</v>
      </c>
      <c r="Z38" s="2119"/>
      <c r="AA38" s="2120"/>
      <c r="AB38" s="2130"/>
      <c r="AC38" s="1513" t="s">
        <v>477</v>
      </c>
      <c r="AD38" s="2118" t="s">
        <v>423</v>
      </c>
      <c r="AE38" s="2120"/>
      <c r="AF38" s="2118" t="s">
        <v>424</v>
      </c>
      <c r="AG38" s="2119"/>
      <c r="AH38" s="2120"/>
      <c r="AI38" s="2130"/>
      <c r="AJ38" s="2133"/>
      <c r="AK38" s="1971"/>
    </row>
    <row customHeight="1" ht="86.25">
      <c r="A39" s="1400"/>
      <c r="B39" s="1400" t="s">
        <v>133</v>
      </c>
      <c r="C39" s="1400" t="s">
        <v>134</v>
      </c>
      <c r="D39" s="1400" t="s">
        <v>135</v>
      </c>
      <c r="E39" s="1394" t="s">
        <v>425</v>
      </c>
      <c r="F39" s="1394" t="s">
        <v>426</v>
      </c>
      <c r="G39" s="1394" t="s">
        <v>427</v>
      </c>
      <c r="H39" s="1394"/>
      <c r="I39" s="1394" t="s">
        <v>478</v>
      </c>
      <c r="J39" s="1394" t="s">
        <v>430</v>
      </c>
      <c r="K39" s="1394" t="s">
        <v>479</v>
      </c>
      <c r="L39" s="1394" t="s">
        <v>406</v>
      </c>
      <c r="Q39" s="377"/>
      <c r="R39" s="377"/>
      <c r="S39" s="2125"/>
      <c r="T39" s="2062"/>
      <c r="U39" s="290"/>
      <c r="V39" s="1513" t="s">
        <v>508</v>
      </c>
      <c r="W39" s="1237" t="s">
        <v>509</v>
      </c>
      <c r="X39" s="1237" t="s">
        <v>482</v>
      </c>
      <c r="Y39" s="1519" t="s">
        <v>434</v>
      </c>
      <c r="Z39" s="2121" t="s">
        <v>435</v>
      </c>
      <c r="AA39" s="2122"/>
      <c r="AB39" s="2131"/>
      <c r="AC39" s="1513" t="s">
        <v>508</v>
      </c>
      <c r="AD39" s="1237" t="s">
        <v>509</v>
      </c>
      <c r="AE39" s="1237" t="s">
        <v>482</v>
      </c>
      <c r="AF39" s="1519" t="s">
        <v>434</v>
      </c>
      <c r="AG39" s="2121" t="s">
        <v>435</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254</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254</v>
      </c>
      <c r="B42" s="1393" t="s">
        <v>255</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388</v>
      </c>
      <c r="AM42" s="506"/>
      <c r="AN42" s="506" t="str">
        <f>IF(T42="","",T42)</f>
        <v>Территория действия тарифа</v>
      </c>
      <c r="AO42" s="506"/>
      <c r="AP42" s="506"/>
    </row>
    <row customHeight="1" ht="23.25">
      <c r="A43" s="1393" t="s">
        <v>254</v>
      </c>
      <c r="B43" s="1393" t="s">
        <v>255</v>
      </c>
      <c r="C43" s="1393" t="s">
        <v>256</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507</v>
      </c>
      <c r="AM43" s="506"/>
      <c r="AN43" s="506" t="str">
        <f>IF(T43="","",T43)</f>
        <v>Наименование централизованной системы водоотведения</v>
      </c>
      <c r="AO43" s="506"/>
      <c r="AP43" s="506"/>
    </row>
    <row customHeight="1" ht="23.25">
      <c r="A44" s="1393" t="s">
        <v>254</v>
      </c>
      <c r="B44" s="1393" t="s">
        <v>255</v>
      </c>
      <c r="C44" s="1393" t="s">
        <v>256</v>
      </c>
      <c r="D44" s="1393" t="s">
        <v>510</v>
      </c>
      <c r="E44" s="2108"/>
      <c r="F44" s="2108"/>
      <c r="G44" s="2108"/>
      <c r="H44" s="2108"/>
      <c r="I44" s="2109" t="str">
        <f>S43&amp;".1"</f>
        <v>...1</v>
      </c>
      <c r="J44" s="1393"/>
      <c r="K44" s="1393"/>
      <c r="L44" s="1394"/>
      <c r="P44" s="2111">
        <v>1</v>
      </c>
      <c r="Q44" s="1511"/>
      <c r="R44" s="352"/>
      <c r="S44" s="1523" t="str">
        <f>$I44</f>
        <v>...1</v>
      </c>
      <c r="T44" s="273" t="s">
        <v>470</v>
      </c>
      <c r="U44" s="288"/>
      <c r="V44" s="2194"/>
      <c r="W44" s="2195"/>
      <c r="X44" s="2195"/>
      <c r="Y44" s="2195"/>
      <c r="Z44" s="2195"/>
      <c r="AA44" s="2195"/>
      <c r="AB44" s="2196"/>
      <c r="AC44" s="2197"/>
      <c r="AD44" s="2198"/>
      <c r="AE44" s="2198"/>
      <c r="AF44" s="2198"/>
      <c r="AG44" s="2198"/>
      <c r="AH44" s="2198"/>
      <c r="AI44" s="2198"/>
      <c r="AJ44" s="2199"/>
      <c r="AK44" s="1286" t="s">
        <v>471</v>
      </c>
      <c r="AM44" s="506"/>
      <c r="AN44" s="506" t="str">
        <f>IF(T44="","",T44)</f>
        <v>Наименование признака дифференциации</v>
      </c>
      <c r="AO44" s="506"/>
      <c r="AP44" s="506"/>
    </row>
    <row customHeight="1" ht="23.25">
      <c r="A45" s="1393" t="s">
        <v>254</v>
      </c>
      <c r="B45" s="1393" t="s">
        <v>255</v>
      </c>
      <c r="C45" s="1393" t="s">
        <v>256</v>
      </c>
      <c r="D45" s="1393" t="s">
        <v>510</v>
      </c>
      <c r="E45" s="2108"/>
      <c r="F45" s="2108"/>
      <c r="G45" s="2108"/>
      <c r="H45" s="2108"/>
      <c r="I45" s="2110"/>
      <c r="J45" s="2109" t="str">
        <f>I44&amp;".1"</f>
        <v>...1.1</v>
      </c>
      <c r="K45" s="1393"/>
      <c r="L45" s="1394" t="s">
        <v>396</v>
      </c>
      <c r="P45" s="2111"/>
      <c r="Q45" s="2111">
        <v>1</v>
      </c>
      <c r="R45" s="353"/>
      <c r="S45" s="1523" t="str">
        <f>$J45</f>
        <v>...1.1</v>
      </c>
      <c r="T45" s="274" t="s">
        <v>397</v>
      </c>
      <c r="U45" s="288"/>
      <c r="V45" s="2095"/>
      <c r="W45" s="2096"/>
      <c r="X45" s="2096"/>
      <c r="Y45" s="2096"/>
      <c r="Z45" s="2096"/>
      <c r="AA45" s="2096"/>
      <c r="AB45" s="2097"/>
      <c r="AC45" s="2095"/>
      <c r="AD45" s="2096"/>
      <c r="AE45" s="2096"/>
      <c r="AF45" s="2096"/>
      <c r="AG45" s="2096"/>
      <c r="AH45" s="2096"/>
      <c r="AI45" s="2096"/>
      <c r="AJ45" s="2097"/>
      <c r="AK45" s="1337" t="s">
        <v>472</v>
      </c>
      <c r="AM45" s="506"/>
      <c r="AN45" s="506" t="str">
        <f>IF(T45="","",T45)</f>
        <v>Группа потребителей</v>
      </c>
      <c r="AO45" s="506"/>
      <c r="AP45" s="506"/>
    </row>
    <row customHeight="1" ht="23.25">
      <c r="A46" s="1393" t="s">
        <v>254</v>
      </c>
      <c r="B46" s="1393" t="s">
        <v>255</v>
      </c>
      <c r="C46" s="1393" t="s">
        <v>256</v>
      </c>
      <c r="D46" s="1393" t="s">
        <v>510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60</v>
      </c>
      <c r="AA46" s="2105"/>
      <c r="AB46" s="2104" t="s">
        <v>60</v>
      </c>
      <c r="AC46" s="757"/>
      <c r="AD46" s="757"/>
      <c r="AE46" s="1285"/>
      <c r="AF46" s="2112"/>
      <c r="AG46" s="1981" t="s">
        <v>60</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254</v>
      </c>
      <c r="B47" s="1393" t="s">
        <v>255</v>
      </c>
      <c r="C47" s="1393" t="s">
        <v>256</v>
      </c>
      <c r="D47" s="1393" t="s">
        <v>510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254</v>
      </c>
      <c r="B48" s="1393" t="s">
        <v>255</v>
      </c>
      <c r="C48" s="1393" t="s">
        <v>256</v>
      </c>
      <c r="D48" s="1393" t="s">
        <v>510</v>
      </c>
      <c r="E48" s="2108"/>
      <c r="F48" s="2108"/>
      <c r="G48" s="2108"/>
      <c r="H48" s="2108"/>
      <c r="I48" s="2110"/>
      <c r="J48" s="2109"/>
      <c r="K48" s="1393"/>
      <c r="L48" s="1394"/>
      <c r="P48" s="2111"/>
      <c r="Q48" s="2111"/>
      <c r="R48" s="352"/>
      <c r="S48" s="1308"/>
      <c r="T48" s="275" t="s">
        <v>473</v>
      </c>
      <c r="U48" s="367"/>
      <c r="V48" s="367"/>
      <c r="W48" s="367"/>
      <c r="X48" s="367"/>
      <c r="Y48" s="367"/>
      <c r="Z48" s="367"/>
      <c r="AA48" s="367"/>
      <c r="AB48" s="367"/>
      <c r="AC48" s="367"/>
      <c r="AD48" s="367"/>
      <c r="AE48" s="367"/>
      <c r="AF48" s="367"/>
      <c r="AG48" s="367"/>
      <c r="AH48" s="367"/>
      <c r="AI48" s="367"/>
      <c r="AJ48" s="367"/>
      <c r="AK48" s="1286" t="s">
        <v>474</v>
      </c>
      <c r="AM48" s="506"/>
      <c r="AN48" s="506" t="str">
        <f>IF(T48="","",T48)</f>
        <v>Добавить значение признака дифференциации</v>
      </c>
      <c r="AO48" s="506"/>
      <c r="AP48" s="506"/>
    </row>
    <row customHeight="1" ht="21">
      <c r="A49" s="1393" t="s">
        <v>254</v>
      </c>
      <c r="B49" s="1393" t="s">
        <v>255</v>
      </c>
      <c r="C49" s="1393" t="s">
        <v>256</v>
      </c>
      <c r="D49" s="1393" t="s">
        <v>510</v>
      </c>
      <c r="E49" s="2108"/>
      <c r="F49" s="2108"/>
      <c r="G49" s="2108"/>
      <c r="H49" s="2108"/>
      <c r="I49" s="2109"/>
      <c r="J49" s="1393"/>
      <c r="K49" s="1393"/>
      <c r="L49" s="1394"/>
      <c r="P49" s="2111"/>
      <c r="Q49" s="1511"/>
      <c r="R49" s="352"/>
      <c r="S49" s="1308"/>
      <c r="T49" s="364" t="s">
        <v>402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254</v>
      </c>
      <c r="B50" s="1393" t="s">
        <v>255</v>
      </c>
      <c r="C50" s="1393" t="s">
        <v>256</v>
      </c>
      <c r="D50" s="1393" t="s">
        <v>510</v>
      </c>
      <c r="E50" s="2108"/>
      <c r="F50" s="2108"/>
      <c r="G50" s="2108"/>
      <c r="H50" s="2107"/>
      <c r="I50" s="1393"/>
      <c r="J50" s="1393"/>
      <c r="K50" s="1393"/>
      <c r="L50" s="1394"/>
      <c r="M50" s="1395"/>
      <c r="N50" s="1395"/>
      <c r="O50" s="543"/>
      <c r="P50" s="356"/>
      <c r="Q50" s="376"/>
      <c r="R50" s="351"/>
      <c r="S50" s="1308"/>
      <c r="T50" s="372" t="s">
        <v>475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254</v>
      </c>
      <c r="B51" s="1373" t="s">
        <v>255</v>
      </c>
      <c r="C51" s="1344"/>
      <c r="D51" s="1344"/>
      <c r="E51" s="2108"/>
      <c r="F51" s="2107"/>
      <c r="G51" s="1344"/>
      <c r="H51" s="1344"/>
      <c r="I51" s="1344"/>
      <c r="J51" s="1344"/>
      <c r="K51" s="1344"/>
      <c r="L51" s="1524"/>
      <c r="M51" s="1351"/>
      <c r="N51" s="1351"/>
      <c r="P51" s="1346"/>
      <c r="Q51" s="1347"/>
      <c r="R51" s="1346"/>
      <c r="S51" s="1352"/>
      <c r="T51" s="1355" t="s">
        <v>214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254</v>
      </c>
      <c r="B52" s="1373"/>
      <c r="C52" s="1373"/>
      <c r="D52" s="1373"/>
      <c r="E52" s="2107"/>
      <c r="F52" s="1373"/>
      <c r="G52" s="1373"/>
      <c r="H52" s="1373"/>
      <c r="I52" s="1373"/>
      <c r="J52" s="1373"/>
      <c r="K52" s="1373"/>
      <c r="L52" s="1376"/>
      <c r="M52" s="1351"/>
      <c r="N52" s="1351"/>
      <c r="O52" s="524"/>
      <c r="P52" s="385"/>
      <c r="Q52" s="1374"/>
      <c r="R52" s="385"/>
      <c r="S52" s="1352"/>
      <c r="T52" s="1355" t="s">
        <v>215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216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4A7F07-FFDD-1D5E-1CB6-D3D05F1029D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4697" width="19.140625" hidden="1" customWidth="1"/>
    <col min="13" max="14" style="3294" width="12.28125" hidden="1" customWidth="1"/>
    <col min="15" max="15" style="3294" width="23.421875" hidden="1" customWidth="1"/>
    <col min="16" max="16" style="470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507</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470</v>
      </c>
      <c r="U5" s="288"/>
      <c r="V5" s="2194"/>
      <c r="W5" s="2195"/>
      <c r="X5" s="2195"/>
      <c r="Y5" s="2195"/>
      <c r="Z5" s="2195"/>
      <c r="AA5" s="2195"/>
      <c r="AB5" s="2196"/>
      <c r="AC5" s="2197"/>
      <c r="AD5" s="2198"/>
      <c r="AE5" s="2198"/>
      <c r="AF5" s="2198"/>
      <c r="AG5" s="2198"/>
      <c r="AH5" s="2198"/>
      <c r="AI5" s="2198"/>
      <c r="AJ5" s="2199"/>
      <c r="AK5" s="1286" t="s">
        <v>471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396</v>
      </c>
      <c r="P6" s="2111"/>
      <c r="Q6" s="2111">
        <v>1</v>
      </c>
      <c r="R6" s="353"/>
      <c r="S6" s="1523">
        <f>$J6</f>
      </c>
      <c r="T6" s="274" t="s">
        <v>397</v>
      </c>
      <c r="U6" s="288"/>
      <c r="V6" s="2095"/>
      <c r="W6" s="2096"/>
      <c r="X6" s="2096"/>
      <c r="Y6" s="2096"/>
      <c r="Z6" s="2096"/>
      <c r="AA6" s="2096"/>
      <c r="AB6" s="2097"/>
      <c r="AC6" s="2095"/>
      <c r="AD6" s="2096"/>
      <c r="AE6" s="2096"/>
      <c r="AF6" s="2096"/>
      <c r="AG6" s="2096"/>
      <c r="AH6" s="2096"/>
      <c r="AI6" s="2096"/>
      <c r="AJ6" s="2097"/>
      <c r="AK6" s="1337" t="s">
        <v>472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473</v>
      </c>
      <c r="U9" s="367"/>
      <c r="V9" s="367"/>
      <c r="W9" s="367"/>
      <c r="X9" s="367"/>
      <c r="Y9" s="367"/>
      <c r="Z9" s="367"/>
      <c r="AA9" s="367"/>
      <c r="AB9" s="367"/>
      <c r="AC9" s="367"/>
      <c r="AD9" s="367"/>
      <c r="AE9" s="367"/>
      <c r="AF9" s="367"/>
      <c r="AG9" s="367"/>
      <c r="AH9" s="367"/>
      <c r="AI9" s="367"/>
      <c r="AJ9" s="367"/>
      <c r="AK9" s="1286" t="s">
        <v>474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214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 (филиал в г. Глазове)</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строительства, жилищно-коммунального хозяйства и энергетики УР</v>
      </c>
      <c r="W27" s="2100"/>
      <c r="X27" s="2100"/>
      <c r="Y27" s="2100"/>
      <c r="Z27" s="2100"/>
      <c r="AA27" s="2100"/>
      <c r="AB27" s="322"/>
      <c r="AC27" s="2100" t="str">
        <f>IF(TITLE_NAME_OR_PR_CHANGE="",IF(TITLE_NAME_OR_PR="","",TITLE_NAME_OR_PR),TITLE_NAME_OR_PR_CHANGE)</f>
        <v>Министерство строительства, жилищно-коммунального хозяйства и энергетики УР</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45272.383726851855</v>
      </c>
      <c r="W28" s="2099"/>
      <c r="X28" s="2099"/>
      <c r="Y28" s="2099"/>
      <c r="Z28" s="2099"/>
      <c r="AA28" s="2099"/>
      <c r="AB28" s="322"/>
      <c r="AC28" s="2099" t="str">
        <f>IF(TITLE_DATE_PR_CHANGE="",IF(TITLE_DATE_PR="","",TITLE_DATE_PR),TITLE_DATE_PR_CHANGE)</f>
        <v>45272.383726851855</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30/68</v>
      </c>
      <c r="W29" s="2100"/>
      <c r="X29" s="2100"/>
      <c r="Y29" s="2100"/>
      <c r="Z29" s="2100"/>
      <c r="AA29" s="2100"/>
      <c r="AB29" s="322"/>
      <c r="AC29" s="2100" t="str">
        <f>IF(TITLE_NUMBER_PR_CHANGE="",IF(TITLE_NUMBER_PR="","",TITLE_NUMBER_PR),TITLE_NUMBER_PR_CHANGE)</f>
        <v>30/68</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www.udmurt.ru</v>
      </c>
      <c r="W30" s="2100"/>
      <c r="X30" s="2100"/>
      <c r="Y30" s="2100"/>
      <c r="Z30" s="2100"/>
      <c r="AA30" s="2100"/>
      <c r="AB30" s="322"/>
      <c r="AC30" s="2100" t="str">
        <f>IF(TITLE_IST_PUB_CHANGE="",IF(TITLE_IST_PUB="","",TITLE_IST_PUB),TITLE_IST_PUB_CHANGE)</f>
        <v>www.udmurt.ru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45272.383726851855</v>
      </c>
      <c r="W32" s="2099"/>
      <c r="X32" s="2099"/>
      <c r="Y32" s="2099"/>
      <c r="Z32" s="2099"/>
      <c r="AA32" s="2099"/>
      <c r="AB32" s="322"/>
      <c r="AC32" s="2099" t="str">
        <f>IF(TITLE_DATE_PR_CHANGE="",IF(TITLE_DATE_PR="","",TITLE_DATE_PR),TITLE_DATE_PR_CHANGE)</f>
        <v>45272.383726851855</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30/68</v>
      </c>
      <c r="W33" s="2100"/>
      <c r="X33" s="2100"/>
      <c r="Y33" s="2100"/>
      <c r="Z33" s="2100"/>
      <c r="AA33" s="2100"/>
      <c r="AB33" s="322"/>
      <c r="AC33" s="2100" t="str">
        <f>IF(TITLE_NUMBER_PR_CHANGE="",IF(TITLE_NUMBER_PR="","",TITLE_NUMBER_PR),TITLE_NUMBER_PR_CHANGE)</f>
        <v>30/68</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288</v>
      </c>
      <c r="T36" s="1971"/>
      <c r="U36" s="1971"/>
      <c r="V36" s="1971"/>
      <c r="W36" s="1971"/>
      <c r="X36" s="1971"/>
      <c r="Y36" s="1971"/>
      <c r="Z36" s="1971"/>
      <c r="AA36" s="1971"/>
      <c r="AB36" s="1971"/>
      <c r="AC36" s="1971"/>
      <c r="AD36" s="1971"/>
      <c r="AE36" s="1971"/>
      <c r="AF36" s="1971"/>
      <c r="AG36" s="1971"/>
      <c r="AH36" s="1971"/>
      <c r="AI36" s="1971"/>
      <c r="AJ36" s="1971"/>
      <c r="AK36" s="1971" t="s">
        <v>289</v>
      </c>
    </row>
    <row customHeight="1" ht="14.25">
      <c r="Q37" s="377"/>
      <c r="R37" s="377"/>
      <c r="S37" s="2125" t="s">
        <v>86</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513" t="s">
        <v>477</v>
      </c>
      <c r="W38" s="2118" t="s">
        <v>423</v>
      </c>
      <c r="X38" s="2120"/>
      <c r="Y38" s="2118" t="s">
        <v>424</v>
      </c>
      <c r="Z38" s="2119"/>
      <c r="AA38" s="2120"/>
      <c r="AB38" s="2130"/>
      <c r="AC38" s="1513" t="s">
        <v>477</v>
      </c>
      <c r="AD38" s="2118" t="s">
        <v>423</v>
      </c>
      <c r="AE38" s="2120"/>
      <c r="AF38" s="2118" t="s">
        <v>424</v>
      </c>
      <c r="AG38" s="2119"/>
      <c r="AH38" s="2120"/>
      <c r="AI38" s="2130"/>
      <c r="AJ38" s="2133"/>
      <c r="AK38" s="1971"/>
    </row>
    <row customHeight="1" ht="86.25">
      <c r="A39" s="1400"/>
      <c r="B39" s="1400" t="s">
        <v>133</v>
      </c>
      <c r="C39" s="1400" t="s">
        <v>134</v>
      </c>
      <c r="D39" s="1400" t="s">
        <v>135</v>
      </c>
      <c r="E39" s="1394" t="s">
        <v>425</v>
      </c>
      <c r="F39" s="1394" t="s">
        <v>426</v>
      </c>
      <c r="G39" s="1394" t="s">
        <v>427</v>
      </c>
      <c r="H39" s="1394"/>
      <c r="I39" s="1394" t="s">
        <v>478</v>
      </c>
      <c r="J39" s="1394" t="s">
        <v>430</v>
      </c>
      <c r="K39" s="1394" t="s">
        <v>479</v>
      </c>
      <c r="L39" s="1394" t="s">
        <v>406</v>
      </c>
      <c r="Q39" s="377"/>
      <c r="R39" s="377"/>
      <c r="S39" s="2125"/>
      <c r="T39" s="2062"/>
      <c r="U39" s="290"/>
      <c r="V39" s="1513" t="s">
        <v>508</v>
      </c>
      <c r="W39" s="1237" t="s">
        <v>509</v>
      </c>
      <c r="X39" s="1237" t="s">
        <v>482</v>
      </c>
      <c r="Y39" s="1519" t="s">
        <v>434</v>
      </c>
      <c r="Z39" s="2121" t="s">
        <v>435</v>
      </c>
      <c r="AA39" s="2122"/>
      <c r="AB39" s="2131"/>
      <c r="AC39" s="1513" t="s">
        <v>508</v>
      </c>
      <c r="AD39" s="1237" t="s">
        <v>509</v>
      </c>
      <c r="AE39" s="1237" t="s">
        <v>482</v>
      </c>
      <c r="AF39" s="1519" t="s">
        <v>434</v>
      </c>
      <c r="AG39" s="2121" t="s">
        <v>435</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259</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259</v>
      </c>
      <c r="B42" s="1393" t="s">
        <v>260</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388</v>
      </c>
      <c r="AM42" s="506"/>
      <c r="AN42" s="506" t="str">
        <f>IF(T42="","",T42)</f>
        <v>Территория действия тарифа</v>
      </c>
      <c r="AO42" s="506"/>
      <c r="AP42" s="506"/>
    </row>
    <row customHeight="1" ht="23.25">
      <c r="A43" s="1393" t="s">
        <v>259</v>
      </c>
      <c r="B43" s="1393" t="s">
        <v>260</v>
      </c>
      <c r="C43" s="1393" t="s">
        <v>261</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507</v>
      </c>
      <c r="AM43" s="506"/>
      <c r="AN43" s="506" t="str">
        <f>IF(T43="","",T43)</f>
        <v>Наименование централизованной системы водоотведения</v>
      </c>
      <c r="AO43" s="506"/>
      <c r="AP43" s="506"/>
    </row>
    <row customHeight="1" ht="23.25">
      <c r="A44" s="1393" t="s">
        <v>259</v>
      </c>
      <c r="B44" s="1393" t="s">
        <v>260</v>
      </c>
      <c r="C44" s="1393" t="s">
        <v>261</v>
      </c>
      <c r="D44" s="1393" t="s">
        <v>511</v>
      </c>
      <c r="E44" s="2108"/>
      <c r="F44" s="2108"/>
      <c r="G44" s="2108"/>
      <c r="H44" s="2108"/>
      <c r="I44" s="2109" t="str">
        <f>S43&amp;".1"</f>
        <v>...1</v>
      </c>
      <c r="J44" s="1393"/>
      <c r="K44" s="1393"/>
      <c r="L44" s="1394"/>
      <c r="P44" s="2111">
        <v>1</v>
      </c>
      <c r="Q44" s="1511"/>
      <c r="R44" s="352"/>
      <c r="S44" s="1523" t="str">
        <f>$I44</f>
        <v>...1</v>
      </c>
      <c r="T44" s="273" t="s">
        <v>470</v>
      </c>
      <c r="U44" s="288"/>
      <c r="V44" s="2194"/>
      <c r="W44" s="2195"/>
      <c r="X44" s="2195"/>
      <c r="Y44" s="2195"/>
      <c r="Z44" s="2195"/>
      <c r="AA44" s="2195"/>
      <c r="AB44" s="2196"/>
      <c r="AC44" s="2197"/>
      <c r="AD44" s="2198"/>
      <c r="AE44" s="2198"/>
      <c r="AF44" s="2198"/>
      <c r="AG44" s="2198"/>
      <c r="AH44" s="2198"/>
      <c r="AI44" s="2198"/>
      <c r="AJ44" s="2199"/>
      <c r="AK44" s="1286" t="s">
        <v>471</v>
      </c>
      <c r="AM44" s="506"/>
      <c r="AN44" s="506" t="str">
        <f>IF(T44="","",T44)</f>
        <v>Наименование признака дифференциации</v>
      </c>
      <c r="AO44" s="506"/>
      <c r="AP44" s="506"/>
    </row>
    <row customHeight="1" ht="23.25">
      <c r="A45" s="1393" t="s">
        <v>259</v>
      </c>
      <c r="B45" s="1393" t="s">
        <v>260</v>
      </c>
      <c r="C45" s="1393" t="s">
        <v>261</v>
      </c>
      <c r="D45" s="1393" t="s">
        <v>511</v>
      </c>
      <c r="E45" s="2108"/>
      <c r="F45" s="2108"/>
      <c r="G45" s="2108"/>
      <c r="H45" s="2108"/>
      <c r="I45" s="2110"/>
      <c r="J45" s="2109" t="str">
        <f>I44&amp;".1"</f>
        <v>...1.1</v>
      </c>
      <c r="K45" s="1393"/>
      <c r="L45" s="1394" t="s">
        <v>396</v>
      </c>
      <c r="P45" s="2111"/>
      <c r="Q45" s="2111">
        <v>1</v>
      </c>
      <c r="R45" s="353"/>
      <c r="S45" s="1523" t="str">
        <f>$J45</f>
        <v>...1.1</v>
      </c>
      <c r="T45" s="274" t="s">
        <v>397</v>
      </c>
      <c r="U45" s="288"/>
      <c r="V45" s="2095"/>
      <c r="W45" s="2096"/>
      <c r="X45" s="2096"/>
      <c r="Y45" s="2096"/>
      <c r="Z45" s="2096"/>
      <c r="AA45" s="2096"/>
      <c r="AB45" s="2097"/>
      <c r="AC45" s="2095"/>
      <c r="AD45" s="2096"/>
      <c r="AE45" s="2096"/>
      <c r="AF45" s="2096"/>
      <c r="AG45" s="2096"/>
      <c r="AH45" s="2096"/>
      <c r="AI45" s="2096"/>
      <c r="AJ45" s="2097"/>
      <c r="AK45" s="1337" t="s">
        <v>472</v>
      </c>
      <c r="AM45" s="506"/>
      <c r="AN45" s="506" t="str">
        <f>IF(T45="","",T45)</f>
        <v>Группа потребителей</v>
      </c>
      <c r="AO45" s="506"/>
      <c r="AP45" s="506"/>
    </row>
    <row customHeight="1" ht="23.25">
      <c r="A46" s="1393" t="s">
        <v>259</v>
      </c>
      <c r="B46" s="1393" t="s">
        <v>260</v>
      </c>
      <c r="C46" s="1393" t="s">
        <v>261</v>
      </c>
      <c r="D46" s="1393" t="s">
        <v>511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60</v>
      </c>
      <c r="AA46" s="2105"/>
      <c r="AB46" s="2104" t="s">
        <v>60</v>
      </c>
      <c r="AC46" s="757"/>
      <c r="AD46" s="757"/>
      <c r="AE46" s="1285"/>
      <c r="AF46" s="2112"/>
      <c r="AG46" s="1981" t="s">
        <v>60</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259</v>
      </c>
      <c r="B47" s="1393" t="s">
        <v>260</v>
      </c>
      <c r="C47" s="1393" t="s">
        <v>261</v>
      </c>
      <c r="D47" s="1393" t="s">
        <v>511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259</v>
      </c>
      <c r="B48" s="1393" t="s">
        <v>260</v>
      </c>
      <c r="C48" s="1393" t="s">
        <v>261</v>
      </c>
      <c r="D48" s="1393" t="s">
        <v>511</v>
      </c>
      <c r="E48" s="2108"/>
      <c r="F48" s="2108"/>
      <c r="G48" s="2108"/>
      <c r="H48" s="2108"/>
      <c r="I48" s="2110"/>
      <c r="J48" s="2109"/>
      <c r="K48" s="1393"/>
      <c r="L48" s="1394"/>
      <c r="P48" s="2111"/>
      <c r="Q48" s="2111"/>
      <c r="R48" s="352"/>
      <c r="S48" s="1308"/>
      <c r="T48" s="275" t="s">
        <v>473</v>
      </c>
      <c r="U48" s="367"/>
      <c r="V48" s="367"/>
      <c r="W48" s="367"/>
      <c r="X48" s="367"/>
      <c r="Y48" s="367"/>
      <c r="Z48" s="367"/>
      <c r="AA48" s="367"/>
      <c r="AB48" s="367"/>
      <c r="AC48" s="367"/>
      <c r="AD48" s="367"/>
      <c r="AE48" s="367"/>
      <c r="AF48" s="367"/>
      <c r="AG48" s="367"/>
      <c r="AH48" s="367"/>
      <c r="AI48" s="367"/>
      <c r="AJ48" s="367"/>
      <c r="AK48" s="1286" t="s">
        <v>474</v>
      </c>
      <c r="AM48" s="506"/>
      <c r="AN48" s="506" t="str">
        <f>IF(T48="","",T48)</f>
        <v>Добавить значение признака дифференциации</v>
      </c>
      <c r="AO48" s="506"/>
      <c r="AP48" s="506"/>
    </row>
    <row customHeight="1" ht="21">
      <c r="A49" s="1393" t="s">
        <v>259</v>
      </c>
      <c r="B49" s="1393" t="s">
        <v>260</v>
      </c>
      <c r="C49" s="1393" t="s">
        <v>261</v>
      </c>
      <c r="D49" s="1393" t="s">
        <v>511</v>
      </c>
      <c r="E49" s="2108"/>
      <c r="F49" s="2108"/>
      <c r="G49" s="2108"/>
      <c r="H49" s="2108"/>
      <c r="I49" s="2109"/>
      <c r="J49" s="1393"/>
      <c r="K49" s="1393"/>
      <c r="L49" s="1394"/>
      <c r="P49" s="2111"/>
      <c r="Q49" s="1511"/>
      <c r="R49" s="352"/>
      <c r="S49" s="1308"/>
      <c r="T49" s="364" t="s">
        <v>402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259</v>
      </c>
      <c r="B50" s="1393" t="s">
        <v>260</v>
      </c>
      <c r="C50" s="1393" t="s">
        <v>261</v>
      </c>
      <c r="D50" s="1393" t="s">
        <v>511</v>
      </c>
      <c r="E50" s="2108"/>
      <c r="F50" s="2108"/>
      <c r="G50" s="2108"/>
      <c r="H50" s="2107"/>
      <c r="I50" s="1393"/>
      <c r="J50" s="1393"/>
      <c r="K50" s="1393"/>
      <c r="L50" s="1394"/>
      <c r="M50" s="1395"/>
      <c r="N50" s="1395"/>
      <c r="O50" s="543"/>
      <c r="P50" s="356"/>
      <c r="Q50" s="376"/>
      <c r="R50" s="351"/>
      <c r="S50" s="1308"/>
      <c r="T50" s="372" t="s">
        <v>475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259</v>
      </c>
      <c r="B51" s="1373" t="s">
        <v>260</v>
      </c>
      <c r="C51" s="1344"/>
      <c r="D51" s="1344"/>
      <c r="E51" s="2108"/>
      <c r="F51" s="2107"/>
      <c r="G51" s="1344"/>
      <c r="H51" s="1344"/>
      <c r="I51" s="1344"/>
      <c r="J51" s="1344"/>
      <c r="K51" s="1344"/>
      <c r="L51" s="1524"/>
      <c r="M51" s="1351"/>
      <c r="N51" s="1351"/>
      <c r="P51" s="1346"/>
      <c r="Q51" s="1347"/>
      <c r="R51" s="1346"/>
      <c r="S51" s="1352"/>
      <c r="T51" s="1355" t="s">
        <v>214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259</v>
      </c>
      <c r="B52" s="1373"/>
      <c r="C52" s="1373"/>
      <c r="D52" s="1373"/>
      <c r="E52" s="2107"/>
      <c r="F52" s="1373"/>
      <c r="G52" s="1373"/>
      <c r="H52" s="1373"/>
      <c r="I52" s="1373"/>
      <c r="J52" s="1373"/>
      <c r="K52" s="1373"/>
      <c r="L52" s="1376"/>
      <c r="M52" s="1351"/>
      <c r="N52" s="1351"/>
      <c r="O52" s="524"/>
      <c r="P52" s="385"/>
      <c r="Q52" s="1374"/>
      <c r="R52" s="385"/>
      <c r="S52" s="1352"/>
      <c r="T52" s="1355" t="s">
        <v>215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216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7989F-5304-D65D-8F0C-AAD3E4116A7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4697"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387</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388</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506</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507</v>
      </c>
      <c r="BE4" s="506"/>
      <c r="BF4" s="506" t="str">
        <f>IF(T4="","",T4)</f>
        <v>Наименование централизованной системы водоотведения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392</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393</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60</v>
      </c>
      <c r="AB8" s="1774"/>
      <c r="AC8" s="1499" t="s">
        <v>60</v>
      </c>
      <c r="AD8" s="2044" t="s">
        <v>60</v>
      </c>
      <c r="AE8" s="2180"/>
      <c r="AF8" s="2057">
        <v>1</v>
      </c>
      <c r="AG8" s="2202"/>
      <c r="AH8" s="1981" t="s">
        <v>60</v>
      </c>
      <c r="AI8" s="2180"/>
      <c r="AJ8" s="2057">
        <v>1</v>
      </c>
      <c r="AK8" s="2201" t="s">
        <v>24</v>
      </c>
      <c r="AL8" s="1981" t="s">
        <v>60</v>
      </c>
      <c r="AM8" s="2029"/>
      <c r="AN8" s="2057">
        <v>1</v>
      </c>
      <c r="AO8" s="2206"/>
      <c r="AP8" s="2207" t="s">
        <v>60</v>
      </c>
      <c r="AQ8" s="301"/>
      <c r="AR8" s="1516">
        <v>1</v>
      </c>
      <c r="AS8" s="1522" t="s">
        <v>24</v>
      </c>
      <c r="AT8" s="757"/>
      <c r="AU8" s="1285"/>
      <c r="AV8" s="757"/>
      <c r="AW8" s="1285"/>
      <c r="AX8" s="1774"/>
      <c r="AY8" s="1499" t="s">
        <v>60</v>
      </c>
      <c r="AZ8" s="1774"/>
      <c r="BA8" s="1499" t="s">
        <v>60</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454</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214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215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60</v>
      </c>
      <c r="AZ20" s="1776"/>
      <c r="BA20" s="1515" t="s">
        <v>60</v>
      </c>
    </row>
    <row customHeight="1" ht="14.25" hidden="1">
      <c r="BD21" s="502"/>
      <c r="BE21" s="502"/>
      <c r="BF21" s="502"/>
      <c r="BG21" s="502"/>
      <c r="BH21" s="502"/>
    </row>
    <row customHeight="1" ht="14.25" hidden="1">
      <c r="O22" s="1397" t="s">
        <v>405</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8" customFormat="1" customHeight="1" ht="14.25" hidden="1">
      <c r="M24" s="1538"/>
      <c r="N24" s="1538"/>
      <c r="O24" s="1539" t="s">
        <v>406</v>
      </c>
      <c r="P24" s="1538"/>
      <c r="Q24" s="1540"/>
      <c r="R24" s="1540"/>
      <c r="AA24" s="1537" t="s">
        <v>408</v>
      </c>
      <c r="AC24" s="1537" t="s">
        <v>409</v>
      </c>
      <c r="AD24" s="1537" t="s">
        <v>455</v>
      </c>
      <c r="AH24" s="1537" t="s">
        <v>455</v>
      </c>
      <c r="AK24" s="1537" t="s">
        <v>496</v>
      </c>
      <c r="AL24" s="1537" t="s">
        <v>455</v>
      </c>
      <c r="AP24" s="1537" t="s">
        <v>455</v>
      </c>
      <c r="AY24" s="1537" t="s">
        <v>408</v>
      </c>
      <c r="BA24" s="1537" t="s">
        <v>409</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"РИР" (филиал в г. Глазове)</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строительства, жилищно-коммунального хозяйства и энергетики УР</v>
      </c>
      <c r="W31" s="2100"/>
      <c r="X31" s="2100"/>
      <c r="Y31" s="2100"/>
      <c r="Z31" s="2100"/>
      <c r="AA31" s="2100"/>
      <c r="AB31" s="2100"/>
      <c r="AC31" s="322"/>
      <c r="AD31" s="2100" t="str">
        <f>IF(TITLE_NAME_OR_PR_CHANGE="",IF(TITLE_NAME_OR_PR="","",TITLE_NAME_OR_PR),TITLE_NAME_OR_PR_CHANGE)</f>
        <v>Министерство строительства, жилищно-коммунального хозяйства и энергетики УР</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411</v>
      </c>
      <c r="T32" s="2098"/>
      <c r="U32" s="1402"/>
      <c r="V32" s="2099" t="str">
        <f>IF(TITLE_DATE_PR_CHANGE="",IF(TITLE_DATE_PR="","",TITLE_DATE_PR),TITLE_DATE_PR_CHANGE)</f>
        <v>45272.383726851855</v>
      </c>
      <c r="W32" s="2099"/>
      <c r="X32" s="2099"/>
      <c r="Y32" s="2099"/>
      <c r="Z32" s="2099"/>
      <c r="AA32" s="2099"/>
      <c r="AB32" s="2099"/>
      <c r="AC32" s="322"/>
      <c r="AD32" s="2099" t="str">
        <f>IF(TITLE_DATE_PR_CHANGE="",IF(TITLE_DATE_PR="","",TITLE_DATE_PR),TITLE_DATE_PR_CHANGE)</f>
        <v>45272.383726851855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412</v>
      </c>
      <c r="T33" s="2098"/>
      <c r="U33" s="1402"/>
      <c r="V33" s="2100" t="str">
        <f>IF(TITLE_NUMBER_PR_CHANGE="",IF(TITLE_NUMBER_PR="","",TITLE_NUMBER_PR),TITLE_NUMBER_PR_CHANGE)</f>
        <v>30/68</v>
      </c>
      <c r="W33" s="2100"/>
      <c r="X33" s="2100"/>
      <c r="Y33" s="2100"/>
      <c r="Z33" s="2100"/>
      <c r="AA33" s="2100"/>
      <c r="AB33" s="2100"/>
      <c r="AC33" s="322"/>
      <c r="AD33" s="2100" t="str">
        <f>IF(TITLE_NUMBER_PR_CHANGE="",IF(TITLE_NUMBER_PR="","",TITLE_NUMBER_PR),TITLE_NUMBER_PR_CHANGE)</f>
        <v>30/68</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www.udmurt.ru</v>
      </c>
      <c r="W34" s="2100"/>
      <c r="X34" s="2100"/>
      <c r="Y34" s="2100"/>
      <c r="Z34" s="2100"/>
      <c r="AA34" s="2100"/>
      <c r="AB34" s="2100"/>
      <c r="AC34" s="322"/>
      <c r="AD34" s="2100" t="str">
        <f>IF(TITLE_IST_PUB_CHANGE="",IF(TITLE_IST_PUB="","",TITLE_IST_PUB),TITLE_IST_PUB_CHANGE)</f>
        <v>www.udmurt.ru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411</v>
      </c>
      <c r="T36" s="2098"/>
      <c r="U36" s="1402"/>
      <c r="V36" s="2099" t="str">
        <f>IF(TITLE_DATE_PR_CHANGE="",IF(TITLE_DATE_PR="","",TITLE_DATE_PR),TITLE_DATE_PR_CHANGE)</f>
        <v>45272.383726851855</v>
      </c>
      <c r="W36" s="2099"/>
      <c r="X36" s="2099"/>
      <c r="Y36" s="2099"/>
      <c r="Z36" s="2099"/>
      <c r="AA36" s="2099"/>
      <c r="AB36" s="2099"/>
      <c r="AC36" s="322"/>
      <c r="AD36" s="2099" t="str">
        <f>IF(TITLE_DATE_PR_CHANGE="",IF(TITLE_DATE_PR="","",TITLE_DATE_PR),TITLE_DATE_PR_CHANGE)</f>
        <v>45272.383726851855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412</v>
      </c>
      <c r="T37" s="2098"/>
      <c r="U37" s="1402"/>
      <c r="V37" s="2100" t="str">
        <f>IF(TITLE_NUMBER_PR_CHANGE="",IF(TITLE_NUMBER_PR="","",TITLE_NUMBER_PR),TITLE_NUMBER_PR_CHANGE)</f>
        <v>30/68</v>
      </c>
      <c r="W37" s="2100"/>
      <c r="X37" s="2100"/>
      <c r="Y37" s="2100"/>
      <c r="Z37" s="2100"/>
      <c r="AA37" s="2100"/>
      <c r="AB37" s="2100"/>
      <c r="AC37" s="322"/>
      <c r="AD37" s="2100" t="str">
        <f>IF(TITLE_NUMBER_PR_CHANGE="",IF(TITLE_NUMBER_PR="","",TITLE_NUMBER_PR),TITLE_NUMBER_PR_CHANGE)</f>
        <v>30/68</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415</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288</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289</v>
      </c>
    </row>
    <row customHeight="1" ht="14.25">
      <c r="Q41" s="279"/>
      <c r="R41" s="377"/>
      <c r="S41" s="2125" t="s">
        <v>86</v>
      </c>
      <c r="T41" s="2062" t="s">
        <v>497</v>
      </c>
      <c r="U41" s="289"/>
      <c r="V41" s="2126" t="s">
        <v>417</v>
      </c>
      <c r="W41" s="2127"/>
      <c r="X41" s="2127"/>
      <c r="Y41" s="2127"/>
      <c r="Z41" s="2127"/>
      <c r="AA41" s="2127"/>
      <c r="AB41" s="2128"/>
      <c r="AC41" s="2129" t="s">
        <v>418</v>
      </c>
      <c r="AD41" s="2173" t="s">
        <v>514</v>
      </c>
      <c r="AE41" s="2146"/>
      <c r="AF41" s="2146"/>
      <c r="AG41" s="2174"/>
      <c r="AH41" s="2173" t="s">
        <v>515</v>
      </c>
      <c r="AI41" s="2146"/>
      <c r="AJ41" s="2146"/>
      <c r="AK41" s="2174"/>
      <c r="AL41" s="2173" t="s">
        <v>516</v>
      </c>
      <c r="AM41" s="2146"/>
      <c r="AN41" s="2146"/>
      <c r="AO41" s="2174"/>
      <c r="AP41" s="2173" t="s">
        <v>501</v>
      </c>
      <c r="AQ41" s="2146"/>
      <c r="AR41" s="2146"/>
      <c r="AS41" s="2174"/>
      <c r="AT41" s="2126" t="s">
        <v>417</v>
      </c>
      <c r="AU41" s="2127"/>
      <c r="AV41" s="2127"/>
      <c r="AW41" s="2127"/>
      <c r="AX41" s="2127"/>
      <c r="AY41" s="2127"/>
      <c r="AZ41" s="2128"/>
      <c r="BA41" s="2129" t="s">
        <v>418</v>
      </c>
      <c r="BB41" s="2132" t="s">
        <v>420</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517</v>
      </c>
      <c r="AU42" s="2030"/>
      <c r="AV42" s="2029" t="s">
        <v>518</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425</v>
      </c>
      <c r="F44" s="1394" t="s">
        <v>426</v>
      </c>
      <c r="G44" s="1394" t="s">
        <v>427</v>
      </c>
      <c r="H44" s="1394" t="s">
        <v>428</v>
      </c>
      <c r="I44" s="1394" t="s">
        <v>429</v>
      </c>
      <c r="J44" s="1394" t="s">
        <v>430</v>
      </c>
      <c r="K44" s="1394" t="s">
        <v>431</v>
      </c>
      <c r="L44" s="1394" t="s">
        <v>406</v>
      </c>
      <c r="Q44" s="279"/>
      <c r="R44" s="377"/>
      <c r="S44" s="2125"/>
      <c r="T44" s="2062"/>
      <c r="U44" s="290"/>
      <c r="V44" s="1509" t="s">
        <v>465</v>
      </c>
      <c r="W44" s="1509" t="s">
        <v>466</v>
      </c>
      <c r="X44" s="1509" t="s">
        <v>465</v>
      </c>
      <c r="Y44" s="1509" t="s">
        <v>466</v>
      </c>
      <c r="Z44" s="1519" t="s">
        <v>434</v>
      </c>
      <c r="AA44" s="2121" t="s">
        <v>435</v>
      </c>
      <c r="AB44" s="2122"/>
      <c r="AC44" s="2131"/>
      <c r="AD44" s="2177"/>
      <c r="AE44" s="2178"/>
      <c r="AF44" s="2178"/>
      <c r="AG44" s="2179"/>
      <c r="AH44" s="2177"/>
      <c r="AI44" s="2178"/>
      <c r="AJ44" s="2178"/>
      <c r="AK44" s="2179"/>
      <c r="AL44" s="2177"/>
      <c r="AM44" s="2178"/>
      <c r="AN44" s="2178"/>
      <c r="AO44" s="2179"/>
      <c r="AP44" s="2177"/>
      <c r="AQ44" s="2178"/>
      <c r="AR44" s="2178"/>
      <c r="AS44" s="2179"/>
      <c r="AT44" s="1509" t="s">
        <v>465</v>
      </c>
      <c r="AU44" s="1509" t="s">
        <v>466</v>
      </c>
      <c r="AV44" s="1509" t="s">
        <v>465</v>
      </c>
      <c r="AW44" s="1509" t="s">
        <v>466</v>
      </c>
      <c r="AX44" s="1519" t="s">
        <v>434</v>
      </c>
      <c r="AY44" s="2121" t="s">
        <v>435</v>
      </c>
      <c r="AZ44" s="2122"/>
      <c r="BA44" s="2131"/>
      <c r="BB44" s="2134"/>
      <c r="BC44" s="1971"/>
    </row>
    <row s="2612"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264</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264</v>
      </c>
      <c r="B47" s="1393" t="s">
        <v>265</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387</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388</v>
      </c>
      <c r="BE47" s="506"/>
      <c r="BF47" s="506" t="str">
        <f>IF(T47="","",T47)</f>
        <v>Территория действия тарифа</v>
      </c>
      <c r="BG47" s="506"/>
      <c r="BH47" s="506"/>
    </row>
    <row customHeight="1" ht="33.75">
      <c r="A48" s="1393" t="s">
        <v>264</v>
      </c>
      <c r="B48" s="1393" t="s">
        <v>265</v>
      </c>
      <c r="C48" s="1393" t="s">
        <v>266</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506</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507</v>
      </c>
      <c r="BE48" s="506"/>
      <c r="BF48" s="506" t="str">
        <f>IF(T48="","",T48)</f>
        <v>Наименование централизованной системы водоотведения</v>
      </c>
      <c r="BG48" s="506"/>
      <c r="BH48" s="506"/>
    </row>
    <row s="2613" customFormat="1" customHeight="1" ht="0">
      <c r="A49" s="1373" t="s">
        <v>264</v>
      </c>
      <c r="B49" s="1373" t="s">
        <v>265</v>
      </c>
      <c r="C49" s="1373" t="s">
        <v>266</v>
      </c>
      <c r="D49" s="1373" t="s">
        <v>519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392</v>
      </c>
      <c r="BE49" s="506"/>
      <c r="BF49" s="506" t="str">
        <f>IF(T49="","",T49)</f>
        <v/>
      </c>
      <c r="BG49" s="506"/>
      <c r="BH49" s="506"/>
    </row>
    <row s="2613" customFormat="1" customHeight="1" ht="0">
      <c r="A50" s="1373" t="s">
        <v>264</v>
      </c>
      <c r="B50" s="1373" t="s">
        <v>265</v>
      </c>
      <c r="C50" s="1373" t="s">
        <v>266</v>
      </c>
      <c r="D50" s="1373" t="s">
        <v>519</v>
      </c>
      <c r="E50" s="2108"/>
      <c r="F50" s="2108"/>
      <c r="G50" s="2108"/>
      <c r="H50" s="2108"/>
      <c r="I50" s="2109" t="str">
        <f>S49&amp;".1"</f>
        <v>.1</v>
      </c>
      <c r="J50" s="1373"/>
      <c r="K50" s="1373"/>
      <c r="L50" s="1376" t="s">
        <v>393</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264</v>
      </c>
      <c r="B51" s="1373" t="s">
        <v>265</v>
      </c>
      <c r="C51" s="1373" t="s">
        <v>266</v>
      </c>
      <c r="D51" s="1373" t="s">
        <v>519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264</v>
      </c>
      <c r="B52" s="1393" t="s">
        <v>265</v>
      </c>
      <c r="C52" s="1393" t="s">
        <v>266</v>
      </c>
      <c r="D52" s="1393" t="s">
        <v>519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60</v>
      </c>
      <c r="AB52" s="1774"/>
      <c r="AC52" s="1499" t="s">
        <v>60</v>
      </c>
      <c r="AD52" s="2044" t="s">
        <v>60</v>
      </c>
      <c r="AE52" s="2180"/>
      <c r="AF52" s="2057">
        <v>1</v>
      </c>
      <c r="AG52" s="2202"/>
      <c r="AH52" s="1981" t="s">
        <v>60</v>
      </c>
      <c r="AI52" s="2180"/>
      <c r="AJ52" s="2057">
        <v>1</v>
      </c>
      <c r="AK52" s="2201" t="s">
        <v>24</v>
      </c>
      <c r="AL52" s="1981" t="s">
        <v>60</v>
      </c>
      <c r="AM52" s="2029"/>
      <c r="AN52" s="2057">
        <v>1</v>
      </c>
      <c r="AO52" s="2206"/>
      <c r="AP52" s="2207" t="s">
        <v>60</v>
      </c>
      <c r="AQ52" s="301"/>
      <c r="AR52" s="1516">
        <v>1</v>
      </c>
      <c r="AS52" s="1522" t="s">
        <v>24</v>
      </c>
      <c r="AT52" s="757"/>
      <c r="AU52" s="1285"/>
      <c r="AV52" s="757"/>
      <c r="AW52" s="1285"/>
      <c r="AX52" s="1774"/>
      <c r="AY52" s="1499" t="s">
        <v>60</v>
      </c>
      <c r="AZ52" s="1774"/>
      <c r="BA52" s="1499" t="s">
        <v>60</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264</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264</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264</v>
      </c>
      <c r="B56" s="1393" t="s">
        <v>265</v>
      </c>
      <c r="C56" s="1393" t="s">
        <v>266</v>
      </c>
      <c r="D56" s="1393" t="s">
        <v>519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264</v>
      </c>
      <c r="B57" s="1393" t="s">
        <v>265</v>
      </c>
      <c r="C57" s="1393" t="s">
        <v>266</v>
      </c>
      <c r="D57" s="1393" t="s">
        <v>519</v>
      </c>
      <c r="E57" s="2108"/>
      <c r="F57" s="2108"/>
      <c r="G57" s="2108"/>
      <c r="H57" s="2108"/>
      <c r="I57" s="2110"/>
      <c r="J57" s="2109"/>
      <c r="K57" s="1393"/>
      <c r="L57" s="1394"/>
      <c r="P57" s="2111"/>
      <c r="Q57" s="2111"/>
      <c r="R57" s="352"/>
      <c r="S57" s="1308"/>
      <c r="T57" s="275" t="s">
        <v>454</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264</v>
      </c>
      <c r="B58" s="1373" t="s">
        <v>265</v>
      </c>
      <c r="C58" s="1373" t="s">
        <v>266</v>
      </c>
      <c r="D58" s="1373" t="s">
        <v>519</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264</v>
      </c>
      <c r="B59" s="1373" t="s">
        <v>265</v>
      </c>
      <c r="C59" s="1373" t="s">
        <v>266</v>
      </c>
      <c r="D59" s="1373" t="s">
        <v>519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264</v>
      </c>
      <c r="B60" s="1373" t="s">
        <v>265</v>
      </c>
      <c r="C60" s="1373" t="s">
        <v>266</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264</v>
      </c>
      <c r="B61" s="1373" t="s">
        <v>265</v>
      </c>
      <c r="C61" s="1344"/>
      <c r="D61" s="1344"/>
      <c r="E61" s="2108"/>
      <c r="F61" s="2107"/>
      <c r="G61" s="1344"/>
      <c r="H61" s="1344"/>
      <c r="I61" s="1344"/>
      <c r="J61" s="1344"/>
      <c r="K61" s="1344"/>
      <c r="L61" s="1524"/>
      <c r="M61" s="1351"/>
      <c r="N61" s="1351"/>
      <c r="P61" s="1346"/>
      <c r="Q61" s="1347"/>
      <c r="R61" s="1346"/>
      <c r="S61" s="1352"/>
      <c r="T61" s="1355" t="s">
        <v>214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264</v>
      </c>
      <c r="B62" s="1373"/>
      <c r="C62" s="1373"/>
      <c r="D62" s="1373"/>
      <c r="E62" s="2107"/>
      <c r="F62" s="1373"/>
      <c r="G62" s="1373"/>
      <c r="H62" s="1373"/>
      <c r="I62" s="1373"/>
      <c r="J62" s="1373"/>
      <c r="K62" s="1373"/>
      <c r="L62" s="1376"/>
      <c r="M62" s="1351"/>
      <c r="N62" s="1351"/>
      <c r="O62" s="524"/>
      <c r="P62" s="385"/>
      <c r="Q62" s="1374"/>
      <c r="R62" s="385"/>
      <c r="S62" s="1352"/>
      <c r="T62" s="1355" t="s">
        <v>215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216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A22BAD-ED6E-ACDB-C77B-718A4C1E441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4697" width="19.140625" hidden="1" customWidth="1"/>
    <col min="13" max="14" style="3294" width="12.28125" hidden="1" customWidth="1"/>
    <col min="15" max="15" style="3294" width="23.421875" hidden="1" customWidth="1"/>
    <col min="16" max="16" style="470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470</v>
      </c>
      <c r="U5" s="288"/>
      <c r="V5" s="2194"/>
      <c r="W5" s="2195"/>
      <c r="X5" s="2195"/>
      <c r="Y5" s="2195"/>
      <c r="Z5" s="2195"/>
      <c r="AA5" s="2195"/>
      <c r="AB5" s="2196"/>
      <c r="AC5" s="2197"/>
      <c r="AD5" s="2198"/>
      <c r="AE5" s="2198"/>
      <c r="AF5" s="2198"/>
      <c r="AG5" s="2198"/>
      <c r="AH5" s="2198"/>
      <c r="AI5" s="2198"/>
      <c r="AJ5" s="2199"/>
      <c r="AK5" s="1286" t="s">
        <v>471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396</v>
      </c>
      <c r="P6" s="2111"/>
      <c r="Q6" s="2111">
        <v>1</v>
      </c>
      <c r="R6" s="353"/>
      <c r="S6" s="1523">
        <f>$J6</f>
      </c>
      <c r="T6" s="274" t="s">
        <v>397</v>
      </c>
      <c r="U6" s="288"/>
      <c r="V6" s="2095"/>
      <c r="W6" s="2096"/>
      <c r="X6" s="2096"/>
      <c r="Y6" s="2096"/>
      <c r="Z6" s="2096"/>
      <c r="AA6" s="2096"/>
      <c r="AB6" s="2097"/>
      <c r="AC6" s="2095"/>
      <c r="AD6" s="2096"/>
      <c r="AE6" s="2096"/>
      <c r="AF6" s="2096"/>
      <c r="AG6" s="2096"/>
      <c r="AH6" s="2096"/>
      <c r="AI6" s="2096"/>
      <c r="AJ6" s="2097"/>
      <c r="AK6" s="1337" t="s">
        <v>472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473</v>
      </c>
      <c r="U9" s="367"/>
      <c r="V9" s="367"/>
      <c r="W9" s="367"/>
      <c r="X9" s="367"/>
      <c r="Y9" s="367"/>
      <c r="Z9" s="367"/>
      <c r="AA9" s="367"/>
      <c r="AB9" s="367"/>
      <c r="AC9" s="367"/>
      <c r="AD9" s="367"/>
      <c r="AE9" s="367"/>
      <c r="AF9" s="367"/>
      <c r="AG9" s="367"/>
      <c r="AH9" s="367"/>
      <c r="AI9" s="367"/>
      <c r="AJ9" s="367"/>
      <c r="AK9" s="1286" t="s">
        <v>474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214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 (филиал в г. Глазове)</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строительства, жилищно-коммунального хозяйства и энергетики УР</v>
      </c>
      <c r="W27" s="2100"/>
      <c r="X27" s="2100"/>
      <c r="Y27" s="2100"/>
      <c r="Z27" s="2100"/>
      <c r="AA27" s="2100"/>
      <c r="AB27" s="322"/>
      <c r="AC27" s="2100" t="str">
        <f>IF(TITLE_NAME_OR_PR_CHANGE="",IF(TITLE_NAME_OR_PR="","",TITLE_NAME_OR_PR),TITLE_NAME_OR_PR_CHANGE)</f>
        <v>Министерство строительства, жилищно-коммунального хозяйства и энергетики УР</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45272.383726851855</v>
      </c>
      <c r="W28" s="2099"/>
      <c r="X28" s="2099"/>
      <c r="Y28" s="2099"/>
      <c r="Z28" s="2099"/>
      <c r="AA28" s="2099"/>
      <c r="AB28" s="322"/>
      <c r="AC28" s="2099" t="str">
        <f>IF(TITLE_DATE_PR_CHANGE="",IF(TITLE_DATE_PR="","",TITLE_DATE_PR),TITLE_DATE_PR_CHANGE)</f>
        <v>45272.383726851855</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30/68</v>
      </c>
      <c r="W29" s="2100"/>
      <c r="X29" s="2100"/>
      <c r="Y29" s="2100"/>
      <c r="Z29" s="2100"/>
      <c r="AA29" s="2100"/>
      <c r="AB29" s="322"/>
      <c r="AC29" s="2100" t="str">
        <f>IF(TITLE_NUMBER_PR_CHANGE="",IF(TITLE_NUMBER_PR="","",TITLE_NUMBER_PR),TITLE_NUMBER_PR_CHANGE)</f>
        <v>30/68</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www.udmurt.ru</v>
      </c>
      <c r="W30" s="2100"/>
      <c r="X30" s="2100"/>
      <c r="Y30" s="2100"/>
      <c r="Z30" s="2100"/>
      <c r="AA30" s="2100"/>
      <c r="AB30" s="322"/>
      <c r="AC30" s="2100" t="str">
        <f>IF(TITLE_IST_PUB_CHANGE="",IF(TITLE_IST_PUB="","",TITLE_IST_PUB),TITLE_IST_PUB_CHANGE)</f>
        <v>www.udmurt.ru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45272.383726851855</v>
      </c>
      <c r="W32" s="2099"/>
      <c r="X32" s="2099"/>
      <c r="Y32" s="2099"/>
      <c r="Z32" s="2099"/>
      <c r="AA32" s="2099"/>
      <c r="AB32" s="322"/>
      <c r="AC32" s="2099" t="str">
        <f>IF(TITLE_DATE_PR_CHANGE="",IF(TITLE_DATE_PR="","",TITLE_DATE_PR),TITLE_DATE_PR_CHANGE)</f>
        <v>45272.383726851855</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30/68</v>
      </c>
      <c r="W33" s="2100"/>
      <c r="X33" s="2100"/>
      <c r="Y33" s="2100"/>
      <c r="Z33" s="2100"/>
      <c r="AA33" s="2100"/>
      <c r="AB33" s="322"/>
      <c r="AC33" s="2100" t="str">
        <f>IF(TITLE_NUMBER_PR_CHANGE="",IF(TITLE_NUMBER_PR="","",TITLE_NUMBER_PR),TITLE_NUMBER_PR_CHANGE)</f>
        <v>30/68</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288</v>
      </c>
      <c r="T36" s="1971"/>
      <c r="U36" s="1971"/>
      <c r="V36" s="1971"/>
      <c r="W36" s="1971"/>
      <c r="X36" s="1971"/>
      <c r="Y36" s="1971"/>
      <c r="Z36" s="1971"/>
      <c r="AA36" s="1971"/>
      <c r="AB36" s="1971"/>
      <c r="AC36" s="1971"/>
      <c r="AD36" s="1971"/>
      <c r="AE36" s="1971"/>
      <c r="AF36" s="1971"/>
      <c r="AG36" s="1971"/>
      <c r="AH36" s="1971"/>
      <c r="AI36" s="1971"/>
      <c r="AJ36" s="1971"/>
      <c r="AK36" s="1971" t="s">
        <v>289</v>
      </c>
    </row>
    <row customHeight="1" ht="14.25">
      <c r="Q37" s="377"/>
      <c r="R37" s="377"/>
      <c r="S37" s="2125" t="s">
        <v>86</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513" t="s">
        <v>522</v>
      </c>
      <c r="W38" s="2118" t="s">
        <v>523</v>
      </c>
      <c r="X38" s="2120"/>
      <c r="Y38" s="2118" t="s">
        <v>424</v>
      </c>
      <c r="Z38" s="2119"/>
      <c r="AA38" s="2120"/>
      <c r="AB38" s="2130"/>
      <c r="AC38" s="1513" t="s">
        <v>522</v>
      </c>
      <c r="AD38" s="2118" t="s">
        <v>523</v>
      </c>
      <c r="AE38" s="2120"/>
      <c r="AF38" s="2118" t="s">
        <v>424</v>
      </c>
      <c r="AG38" s="2119"/>
      <c r="AH38" s="2120"/>
      <c r="AI38" s="2130"/>
      <c r="AJ38" s="2133"/>
      <c r="AK38" s="1971"/>
    </row>
    <row customHeight="1" ht="86.25">
      <c r="A39" s="1400"/>
      <c r="B39" s="1400" t="s">
        <v>133</v>
      </c>
      <c r="C39" s="1400" t="s">
        <v>134</v>
      </c>
      <c r="D39" s="1400" t="s">
        <v>135</v>
      </c>
      <c r="E39" s="1394" t="s">
        <v>425</v>
      </c>
      <c r="F39" s="1394" t="s">
        <v>426</v>
      </c>
      <c r="G39" s="1394" t="s">
        <v>427</v>
      </c>
      <c r="H39" s="1394"/>
      <c r="I39" s="1394" t="s">
        <v>478</v>
      </c>
      <c r="J39" s="1394" t="s">
        <v>430</v>
      </c>
      <c r="K39" s="1394" t="s">
        <v>479</v>
      </c>
      <c r="L39" s="1394" t="s">
        <v>406</v>
      </c>
      <c r="Q39" s="377"/>
      <c r="R39" s="377"/>
      <c r="S39" s="2125"/>
      <c r="T39" s="2062"/>
      <c r="U39" s="290"/>
      <c r="V39" s="1513" t="s">
        <v>524</v>
      </c>
      <c r="W39" s="1237" t="s">
        <v>525</v>
      </c>
      <c r="X39" s="1237" t="s">
        <v>526</v>
      </c>
      <c r="Y39" s="1519" t="s">
        <v>434</v>
      </c>
      <c r="Z39" s="2121" t="s">
        <v>435</v>
      </c>
      <c r="AA39" s="2122"/>
      <c r="AB39" s="2131"/>
      <c r="AC39" s="1513" t="s">
        <v>524</v>
      </c>
      <c r="AD39" s="1237" t="s">
        <v>525</v>
      </c>
      <c r="AE39" s="1237" t="s">
        <v>526</v>
      </c>
      <c r="AF39" s="1519" t="s">
        <v>434</v>
      </c>
      <c r="AG39" s="2121" t="s">
        <v>435</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239</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239</v>
      </c>
      <c r="B42" s="1393" t="s">
        <v>240</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388</v>
      </c>
      <c r="AM42" s="506"/>
      <c r="AN42" s="506" t="str">
        <f>IF(T42="","",T42)</f>
        <v>Территория действия тарифа</v>
      </c>
      <c r="AO42" s="506"/>
      <c r="AP42" s="506"/>
    </row>
    <row customHeight="1" ht="23.25">
      <c r="A43" s="1393" t="s">
        <v>239</v>
      </c>
      <c r="B43" s="1393" t="s">
        <v>240</v>
      </c>
      <c r="C43" s="1393" t="s">
        <v>241</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521</v>
      </c>
      <c r="AM43" s="506"/>
      <c r="AN43" s="506" t="str">
        <f>IF(T43="","",T43)</f>
        <v>Наименование централизованной системы горячего водоснабжения</v>
      </c>
      <c r="AO43" s="506"/>
      <c r="AP43" s="506"/>
    </row>
    <row customHeight="1" ht="23.25">
      <c r="A44" s="1393" t="s">
        <v>239</v>
      </c>
      <c r="B44" s="1393" t="s">
        <v>240</v>
      </c>
      <c r="C44" s="1393" t="s">
        <v>241</v>
      </c>
      <c r="D44" s="1393" t="s">
        <v>527</v>
      </c>
      <c r="E44" s="2108"/>
      <c r="F44" s="2108"/>
      <c r="G44" s="2108"/>
      <c r="H44" s="2108"/>
      <c r="I44" s="2109" t="str">
        <f>S43&amp;".1"</f>
        <v>...1</v>
      </c>
      <c r="J44" s="1393"/>
      <c r="K44" s="1393"/>
      <c r="L44" s="1394"/>
      <c r="P44" s="2111">
        <v>1</v>
      </c>
      <c r="Q44" s="1511"/>
      <c r="R44" s="352"/>
      <c r="S44" s="1523" t="str">
        <f>$I44</f>
        <v>...1</v>
      </c>
      <c r="T44" s="273" t="s">
        <v>470</v>
      </c>
      <c r="U44" s="288"/>
      <c r="V44" s="2194"/>
      <c r="W44" s="2195"/>
      <c r="X44" s="2195"/>
      <c r="Y44" s="2195"/>
      <c r="Z44" s="2195"/>
      <c r="AA44" s="2195"/>
      <c r="AB44" s="2196"/>
      <c r="AC44" s="2197"/>
      <c r="AD44" s="2198"/>
      <c r="AE44" s="2198"/>
      <c r="AF44" s="2198"/>
      <c r="AG44" s="2198"/>
      <c r="AH44" s="2198"/>
      <c r="AI44" s="2198"/>
      <c r="AJ44" s="2199"/>
      <c r="AK44" s="1286" t="s">
        <v>471</v>
      </c>
      <c r="AM44" s="506"/>
      <c r="AN44" s="506" t="str">
        <f>IF(T44="","",T44)</f>
        <v>Наименование признака дифференциации</v>
      </c>
      <c r="AO44" s="506"/>
      <c r="AP44" s="506"/>
    </row>
    <row customHeight="1" ht="23.25">
      <c r="A45" s="1393" t="s">
        <v>239</v>
      </c>
      <c r="B45" s="1393" t="s">
        <v>240</v>
      </c>
      <c r="C45" s="1393" t="s">
        <v>241</v>
      </c>
      <c r="D45" s="1393" t="s">
        <v>527</v>
      </c>
      <c r="E45" s="2108"/>
      <c r="F45" s="2108"/>
      <c r="G45" s="2108"/>
      <c r="H45" s="2108"/>
      <c r="I45" s="2110"/>
      <c r="J45" s="2109" t="str">
        <f>I44&amp;".1"</f>
        <v>...1.1</v>
      </c>
      <c r="K45" s="1393"/>
      <c r="L45" s="1394" t="s">
        <v>396</v>
      </c>
      <c r="P45" s="2111"/>
      <c r="Q45" s="2111">
        <v>1</v>
      </c>
      <c r="R45" s="353"/>
      <c r="S45" s="1523" t="str">
        <f>$J45</f>
        <v>...1.1</v>
      </c>
      <c r="T45" s="274" t="s">
        <v>397</v>
      </c>
      <c r="U45" s="288"/>
      <c r="V45" s="2095"/>
      <c r="W45" s="2096"/>
      <c r="X45" s="2096"/>
      <c r="Y45" s="2096"/>
      <c r="Z45" s="2096"/>
      <c r="AA45" s="2096"/>
      <c r="AB45" s="2097"/>
      <c r="AC45" s="2095"/>
      <c r="AD45" s="2096"/>
      <c r="AE45" s="2096"/>
      <c r="AF45" s="2096"/>
      <c r="AG45" s="2096"/>
      <c r="AH45" s="2096"/>
      <c r="AI45" s="2096"/>
      <c r="AJ45" s="2097"/>
      <c r="AK45" s="1337" t="s">
        <v>472</v>
      </c>
      <c r="AM45" s="506"/>
      <c r="AN45" s="506" t="str">
        <f>IF(T45="","",T45)</f>
        <v>Группа потребителей</v>
      </c>
      <c r="AO45" s="506"/>
      <c r="AP45" s="506"/>
    </row>
    <row customHeight="1" ht="23.25">
      <c r="A46" s="1393" t="s">
        <v>239</v>
      </c>
      <c r="B46" s="1393" t="s">
        <v>240</v>
      </c>
      <c r="C46" s="1393" t="s">
        <v>241</v>
      </c>
      <c r="D46" s="1393" t="s">
        <v>527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60</v>
      </c>
      <c r="AA46" s="2105"/>
      <c r="AB46" s="2104" t="s">
        <v>60</v>
      </c>
      <c r="AC46" s="757"/>
      <c r="AD46" s="757"/>
      <c r="AE46" s="1285"/>
      <c r="AF46" s="2112"/>
      <c r="AG46" s="1981" t="s">
        <v>60</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239</v>
      </c>
      <c r="B47" s="1393" t="s">
        <v>240</v>
      </c>
      <c r="C47" s="1393" t="s">
        <v>241</v>
      </c>
      <c r="D47" s="1393" t="s">
        <v>527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239</v>
      </c>
      <c r="B48" s="1393" t="s">
        <v>240</v>
      </c>
      <c r="C48" s="1393" t="s">
        <v>241</v>
      </c>
      <c r="D48" s="1393" t="s">
        <v>527</v>
      </c>
      <c r="E48" s="2108"/>
      <c r="F48" s="2108"/>
      <c r="G48" s="2108"/>
      <c r="H48" s="2108"/>
      <c r="I48" s="2110"/>
      <c r="J48" s="2109"/>
      <c r="K48" s="1393"/>
      <c r="L48" s="1394"/>
      <c r="P48" s="2111"/>
      <c r="Q48" s="2111"/>
      <c r="R48" s="352"/>
      <c r="S48" s="1308"/>
      <c r="T48" s="275" t="s">
        <v>473</v>
      </c>
      <c r="U48" s="367"/>
      <c r="V48" s="367"/>
      <c r="W48" s="367"/>
      <c r="X48" s="367"/>
      <c r="Y48" s="367"/>
      <c r="Z48" s="367"/>
      <c r="AA48" s="367"/>
      <c r="AB48" s="367"/>
      <c r="AC48" s="367"/>
      <c r="AD48" s="367"/>
      <c r="AE48" s="367"/>
      <c r="AF48" s="367"/>
      <c r="AG48" s="367"/>
      <c r="AH48" s="367"/>
      <c r="AI48" s="367"/>
      <c r="AJ48" s="367"/>
      <c r="AK48" s="1286" t="s">
        <v>474</v>
      </c>
      <c r="AM48" s="506"/>
      <c r="AN48" s="506" t="str">
        <f>IF(T48="","",T48)</f>
        <v>Добавить значение признака дифференциации</v>
      </c>
      <c r="AO48" s="506"/>
      <c r="AP48" s="506"/>
    </row>
    <row customHeight="1" ht="21">
      <c r="A49" s="1393" t="s">
        <v>239</v>
      </c>
      <c r="B49" s="1393" t="s">
        <v>240</v>
      </c>
      <c r="C49" s="1393" t="s">
        <v>241</v>
      </c>
      <c r="D49" s="1393" t="s">
        <v>527</v>
      </c>
      <c r="E49" s="2108"/>
      <c r="F49" s="2108"/>
      <c r="G49" s="2108"/>
      <c r="H49" s="2108"/>
      <c r="I49" s="2109"/>
      <c r="J49" s="1393"/>
      <c r="K49" s="1393"/>
      <c r="L49" s="1394"/>
      <c r="P49" s="2111"/>
      <c r="Q49" s="1511"/>
      <c r="R49" s="352"/>
      <c r="S49" s="1308"/>
      <c r="T49" s="364" t="s">
        <v>402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239</v>
      </c>
      <c r="B50" s="1393" t="s">
        <v>240</v>
      </c>
      <c r="C50" s="1393" t="s">
        <v>241</v>
      </c>
      <c r="D50" s="1393" t="s">
        <v>527</v>
      </c>
      <c r="E50" s="2108"/>
      <c r="F50" s="2108"/>
      <c r="G50" s="2108"/>
      <c r="H50" s="2107"/>
      <c r="I50" s="1393"/>
      <c r="J50" s="1393"/>
      <c r="K50" s="1393"/>
      <c r="L50" s="1394"/>
      <c r="M50" s="1395"/>
      <c r="N50" s="1395"/>
      <c r="O50" s="543"/>
      <c r="P50" s="356"/>
      <c r="Q50" s="376"/>
      <c r="R50" s="351"/>
      <c r="S50" s="1308"/>
      <c r="T50" s="372" t="s">
        <v>475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239</v>
      </c>
      <c r="B51" s="1373" t="s">
        <v>240</v>
      </c>
      <c r="C51" s="1344"/>
      <c r="D51" s="1344"/>
      <c r="E51" s="2108"/>
      <c r="F51" s="2107"/>
      <c r="G51" s="1344"/>
      <c r="H51" s="1344"/>
      <c r="I51" s="1344"/>
      <c r="J51" s="1344"/>
      <c r="K51" s="1344"/>
      <c r="L51" s="1524"/>
      <c r="M51" s="1351"/>
      <c r="N51" s="1351"/>
      <c r="P51" s="1346"/>
      <c r="Q51" s="1347"/>
      <c r="R51" s="1346"/>
      <c r="S51" s="1352"/>
      <c r="T51" s="1355" t="s">
        <v>214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239</v>
      </c>
      <c r="B52" s="1373"/>
      <c r="C52" s="1373"/>
      <c r="D52" s="1373"/>
      <c r="E52" s="2107"/>
      <c r="F52" s="1373"/>
      <c r="G52" s="1373"/>
      <c r="H52" s="1373"/>
      <c r="I52" s="1373"/>
      <c r="J52" s="1373"/>
      <c r="K52" s="1373"/>
      <c r="L52" s="1376"/>
      <c r="M52" s="1351"/>
      <c r="N52" s="1351"/>
      <c r="O52" s="524"/>
      <c r="P52" s="385"/>
      <c r="Q52" s="1374"/>
      <c r="R52" s="385"/>
      <c r="S52" s="1352"/>
      <c r="T52" s="1355" t="s">
        <v>215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216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BFCF44-FB9C-3034-3E0B-26A9C052E2F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4697" width="19.140625" hidden="1" customWidth="1"/>
    <col min="13" max="14" style="3294" width="12.28125" hidden="1" customWidth="1"/>
    <col min="15" max="15" style="3294" width="23.421875" hidden="1" customWidth="1"/>
    <col min="16" max="16" style="470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470</v>
      </c>
      <c r="U5" s="288"/>
      <c r="V5" s="2194"/>
      <c r="W5" s="2195"/>
      <c r="X5" s="2195"/>
      <c r="Y5" s="2195"/>
      <c r="Z5" s="2195"/>
      <c r="AA5" s="2195"/>
      <c r="AB5" s="2196"/>
      <c r="AC5" s="2197"/>
      <c r="AD5" s="2198"/>
      <c r="AE5" s="2198"/>
      <c r="AF5" s="2198"/>
      <c r="AG5" s="2198"/>
      <c r="AH5" s="2198"/>
      <c r="AI5" s="2198"/>
      <c r="AJ5" s="2199"/>
      <c r="AK5" s="1286" t="s">
        <v>471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396</v>
      </c>
      <c r="P6" s="2111"/>
      <c r="Q6" s="2111">
        <v>1</v>
      </c>
      <c r="R6" s="353"/>
      <c r="S6" s="1523">
        <f>$J6</f>
      </c>
      <c r="T6" s="274" t="s">
        <v>397</v>
      </c>
      <c r="U6" s="288"/>
      <c r="V6" s="2095"/>
      <c r="W6" s="2096"/>
      <c r="X6" s="2096"/>
      <c r="Y6" s="2096"/>
      <c r="Z6" s="2096"/>
      <c r="AA6" s="2096"/>
      <c r="AB6" s="2097"/>
      <c r="AC6" s="2095"/>
      <c r="AD6" s="2096"/>
      <c r="AE6" s="2096"/>
      <c r="AF6" s="2096"/>
      <c r="AG6" s="2096"/>
      <c r="AH6" s="2096"/>
      <c r="AI6" s="2096"/>
      <c r="AJ6" s="2097"/>
      <c r="AK6" s="1337" t="s">
        <v>472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473</v>
      </c>
      <c r="U9" s="367"/>
      <c r="V9" s="367"/>
      <c r="W9" s="367"/>
      <c r="X9" s="367"/>
      <c r="Y9" s="367"/>
      <c r="Z9" s="367"/>
      <c r="AA9" s="367"/>
      <c r="AB9" s="367"/>
      <c r="AC9" s="367"/>
      <c r="AD9" s="367"/>
      <c r="AE9" s="367"/>
      <c r="AF9" s="367"/>
      <c r="AG9" s="367"/>
      <c r="AH9" s="367"/>
      <c r="AI9" s="367"/>
      <c r="AJ9" s="367"/>
      <c r="AK9" s="1286" t="s">
        <v>474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214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 (филиал в г. Глазове)</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строительства, жилищно-коммунального хозяйства и энергетики УР</v>
      </c>
      <c r="W27" s="2100"/>
      <c r="X27" s="2100"/>
      <c r="Y27" s="2100"/>
      <c r="Z27" s="2100"/>
      <c r="AA27" s="2100"/>
      <c r="AB27" s="322"/>
      <c r="AC27" s="2100" t="str">
        <f>IF(TITLE_NAME_OR_PR_CHANGE="",IF(TITLE_NAME_OR_PR="","",TITLE_NAME_OR_PR),TITLE_NAME_OR_PR_CHANGE)</f>
        <v>Министерство строительства, жилищно-коммунального хозяйства и энергетики УР</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45272.383726851855</v>
      </c>
      <c r="W28" s="2099"/>
      <c r="X28" s="2099"/>
      <c r="Y28" s="2099"/>
      <c r="Z28" s="2099"/>
      <c r="AA28" s="2099"/>
      <c r="AB28" s="322"/>
      <c r="AC28" s="2099" t="str">
        <f>IF(TITLE_DATE_PR_CHANGE="",IF(TITLE_DATE_PR="","",TITLE_DATE_PR),TITLE_DATE_PR_CHANGE)</f>
        <v>45272.383726851855</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30/68</v>
      </c>
      <c r="W29" s="2100"/>
      <c r="X29" s="2100"/>
      <c r="Y29" s="2100"/>
      <c r="Z29" s="2100"/>
      <c r="AA29" s="2100"/>
      <c r="AB29" s="322"/>
      <c r="AC29" s="2100" t="str">
        <f>IF(TITLE_NUMBER_PR_CHANGE="",IF(TITLE_NUMBER_PR="","",TITLE_NUMBER_PR),TITLE_NUMBER_PR_CHANGE)</f>
        <v>30/68</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www.udmurt.ru</v>
      </c>
      <c r="W30" s="2100"/>
      <c r="X30" s="2100"/>
      <c r="Y30" s="2100"/>
      <c r="Z30" s="2100"/>
      <c r="AA30" s="2100"/>
      <c r="AB30" s="322"/>
      <c r="AC30" s="2100" t="str">
        <f>IF(TITLE_IST_PUB_CHANGE="",IF(TITLE_IST_PUB="","",TITLE_IST_PUB),TITLE_IST_PUB_CHANGE)</f>
        <v>www.udmurt.ru</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45272.383726851855</v>
      </c>
      <c r="W32" s="2099"/>
      <c r="X32" s="2099"/>
      <c r="Y32" s="2099"/>
      <c r="Z32" s="2099"/>
      <c r="AA32" s="2099"/>
      <c r="AB32" s="322"/>
      <c r="AC32" s="2099" t="str">
        <f>IF(TITLE_DATE_PR_CHANGE="",IF(TITLE_DATE_PR="","",TITLE_DATE_PR),TITLE_DATE_PR_CHANGE)</f>
        <v>45272.383726851855</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30/68</v>
      </c>
      <c r="W33" s="2100"/>
      <c r="X33" s="2100"/>
      <c r="Y33" s="2100"/>
      <c r="Z33" s="2100"/>
      <c r="AA33" s="2100"/>
      <c r="AB33" s="322"/>
      <c r="AC33" s="2100" t="str">
        <f>IF(TITLE_NUMBER_PR_CHANGE="",IF(TITLE_NUMBER_PR="","",TITLE_NUMBER_PR),TITLE_NUMBER_PR_CHANGE)</f>
        <v>30/68</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288</v>
      </c>
      <c r="T36" s="1971"/>
      <c r="U36" s="1971"/>
      <c r="V36" s="1971"/>
      <c r="W36" s="1971"/>
      <c r="X36" s="1971"/>
      <c r="Y36" s="1971"/>
      <c r="Z36" s="1971"/>
      <c r="AA36" s="1971"/>
      <c r="AB36" s="1971"/>
      <c r="AC36" s="1971"/>
      <c r="AD36" s="1971"/>
      <c r="AE36" s="1971"/>
      <c r="AF36" s="1971"/>
      <c r="AG36" s="1971"/>
      <c r="AH36" s="1971"/>
      <c r="AI36" s="1971"/>
      <c r="AJ36" s="1971"/>
      <c r="AK36" s="1971" t="s">
        <v>289</v>
      </c>
    </row>
    <row customHeight="1" ht="14.25">
      <c r="Q37" s="377"/>
      <c r="R37" s="377"/>
      <c r="S37" s="2125" t="s">
        <v>86</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513" t="s">
        <v>522</v>
      </c>
      <c r="W38" s="2118" t="s">
        <v>523</v>
      </c>
      <c r="X38" s="2120"/>
      <c r="Y38" s="2118" t="s">
        <v>424</v>
      </c>
      <c r="Z38" s="2119"/>
      <c r="AA38" s="2120"/>
      <c r="AB38" s="2130"/>
      <c r="AC38" s="1513" t="s">
        <v>522</v>
      </c>
      <c r="AD38" s="2118" t="s">
        <v>523</v>
      </c>
      <c r="AE38" s="2120"/>
      <c r="AF38" s="2118" t="s">
        <v>424</v>
      </c>
      <c r="AG38" s="2119"/>
      <c r="AH38" s="2120"/>
      <c r="AI38" s="2130"/>
      <c r="AJ38" s="2133"/>
      <c r="AK38" s="1971"/>
    </row>
    <row customHeight="1" ht="86.25">
      <c r="A39" s="1400"/>
      <c r="B39" s="1400" t="s">
        <v>133</v>
      </c>
      <c r="C39" s="1400" t="s">
        <v>134</v>
      </c>
      <c r="D39" s="1400" t="s">
        <v>135</v>
      </c>
      <c r="E39" s="1394" t="s">
        <v>425</v>
      </c>
      <c r="F39" s="1394" t="s">
        <v>426</v>
      </c>
      <c r="G39" s="1394" t="s">
        <v>427</v>
      </c>
      <c r="H39" s="1394"/>
      <c r="I39" s="1394" t="s">
        <v>478</v>
      </c>
      <c r="J39" s="1394" t="s">
        <v>430</v>
      </c>
      <c r="K39" s="1394" t="s">
        <v>479</v>
      </c>
      <c r="L39" s="1394" t="s">
        <v>406</v>
      </c>
      <c r="Q39" s="377"/>
      <c r="R39" s="377"/>
      <c r="S39" s="2125"/>
      <c r="T39" s="2062"/>
      <c r="U39" s="290"/>
      <c r="V39" s="1513" t="s">
        <v>524</v>
      </c>
      <c r="W39" s="1237" t="s">
        <v>525</v>
      </c>
      <c r="X39" s="1237" t="s">
        <v>526</v>
      </c>
      <c r="Y39" s="1519" t="s">
        <v>434</v>
      </c>
      <c r="Z39" s="2121" t="s">
        <v>435</v>
      </c>
      <c r="AA39" s="2122"/>
      <c r="AB39" s="2131"/>
      <c r="AC39" s="1513" t="s">
        <v>524</v>
      </c>
      <c r="AD39" s="1237" t="s">
        <v>525</v>
      </c>
      <c r="AE39" s="1237" t="s">
        <v>526</v>
      </c>
      <c r="AF39" s="1519" t="s">
        <v>434</v>
      </c>
      <c r="AG39" s="2121" t="s">
        <v>435</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239</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239</v>
      </c>
      <c r="B42" s="1393" t="s">
        <v>240</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388</v>
      </c>
      <c r="AM42" s="506"/>
      <c r="AN42" s="506" t="str">
        <f>IF(T42="","",T42)</f>
        <v>Территория действия тарифа</v>
      </c>
      <c r="AO42" s="506"/>
      <c r="AP42" s="506"/>
    </row>
    <row customHeight="1" ht="23.25">
      <c r="A43" s="1393" t="s">
        <v>239</v>
      </c>
      <c r="B43" s="1393" t="s">
        <v>240</v>
      </c>
      <c r="C43" s="1393" t="s">
        <v>241</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521</v>
      </c>
      <c r="AM43" s="506"/>
      <c r="AN43" s="506" t="str">
        <f>IF(T43="","",T43)</f>
        <v>Наименование централизованной системы горячего водоснабжения</v>
      </c>
      <c r="AO43" s="506"/>
      <c r="AP43" s="506"/>
    </row>
    <row customHeight="1" ht="23.25">
      <c r="A44" s="1393" t="s">
        <v>239</v>
      </c>
      <c r="B44" s="1393" t="s">
        <v>240</v>
      </c>
      <c r="C44" s="1393" t="s">
        <v>241</v>
      </c>
      <c r="D44" s="1393" t="s">
        <v>527</v>
      </c>
      <c r="E44" s="2108"/>
      <c r="F44" s="2108"/>
      <c r="G44" s="2108"/>
      <c r="H44" s="2108"/>
      <c r="I44" s="2109" t="str">
        <f>S43&amp;".1"</f>
        <v>...1</v>
      </c>
      <c r="J44" s="1393"/>
      <c r="K44" s="1393"/>
      <c r="L44" s="1394"/>
      <c r="P44" s="2111">
        <v>1</v>
      </c>
      <c r="Q44" s="1511"/>
      <c r="R44" s="352"/>
      <c r="S44" s="1523" t="str">
        <f>$I44</f>
        <v>...1</v>
      </c>
      <c r="T44" s="273" t="s">
        <v>470</v>
      </c>
      <c r="U44" s="288"/>
      <c r="V44" s="2194"/>
      <c r="W44" s="2195"/>
      <c r="X44" s="2195"/>
      <c r="Y44" s="2195"/>
      <c r="Z44" s="2195"/>
      <c r="AA44" s="2195"/>
      <c r="AB44" s="2196"/>
      <c r="AC44" s="2197"/>
      <c r="AD44" s="2198"/>
      <c r="AE44" s="2198"/>
      <c r="AF44" s="2198"/>
      <c r="AG44" s="2198"/>
      <c r="AH44" s="2198"/>
      <c r="AI44" s="2198"/>
      <c r="AJ44" s="2199"/>
      <c r="AK44" s="1286" t="s">
        <v>471</v>
      </c>
      <c r="AM44" s="506"/>
      <c r="AN44" s="506" t="str">
        <f>IF(T44="","",T44)</f>
        <v>Наименование признака дифференциации</v>
      </c>
      <c r="AO44" s="506"/>
      <c r="AP44" s="506"/>
    </row>
    <row customHeight="1" ht="23.25">
      <c r="A45" s="1393" t="s">
        <v>239</v>
      </c>
      <c r="B45" s="1393" t="s">
        <v>240</v>
      </c>
      <c r="C45" s="1393" t="s">
        <v>241</v>
      </c>
      <c r="D45" s="1393" t="s">
        <v>527</v>
      </c>
      <c r="E45" s="2108"/>
      <c r="F45" s="2108"/>
      <c r="G45" s="2108"/>
      <c r="H45" s="2108"/>
      <c r="I45" s="2110"/>
      <c r="J45" s="2109" t="str">
        <f>I44&amp;".1"</f>
        <v>...1.1</v>
      </c>
      <c r="K45" s="1393"/>
      <c r="L45" s="1394" t="s">
        <v>396</v>
      </c>
      <c r="P45" s="2111"/>
      <c r="Q45" s="2111">
        <v>1</v>
      </c>
      <c r="R45" s="353"/>
      <c r="S45" s="1523" t="str">
        <f>$J45</f>
        <v>...1.1</v>
      </c>
      <c r="T45" s="274" t="s">
        <v>397</v>
      </c>
      <c r="U45" s="288"/>
      <c r="V45" s="2095"/>
      <c r="W45" s="2096"/>
      <c r="X45" s="2096"/>
      <c r="Y45" s="2096"/>
      <c r="Z45" s="2096"/>
      <c r="AA45" s="2096"/>
      <c r="AB45" s="2097"/>
      <c r="AC45" s="2095"/>
      <c r="AD45" s="2096"/>
      <c r="AE45" s="2096"/>
      <c r="AF45" s="2096"/>
      <c r="AG45" s="2096"/>
      <c r="AH45" s="2096"/>
      <c r="AI45" s="2096"/>
      <c r="AJ45" s="2097"/>
      <c r="AK45" s="1337" t="s">
        <v>472</v>
      </c>
      <c r="AM45" s="506"/>
      <c r="AN45" s="506" t="str">
        <f>IF(T45="","",T45)</f>
        <v>Группа потребителей</v>
      </c>
      <c r="AO45" s="506"/>
      <c r="AP45" s="506"/>
    </row>
    <row customHeight="1" ht="23.25">
      <c r="A46" s="1393" t="s">
        <v>239</v>
      </c>
      <c r="B46" s="1393" t="s">
        <v>240</v>
      </c>
      <c r="C46" s="1393" t="s">
        <v>241</v>
      </c>
      <c r="D46" s="1393" t="s">
        <v>527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60</v>
      </c>
      <c r="AA46" s="2105"/>
      <c r="AB46" s="2104" t="s">
        <v>60</v>
      </c>
      <c r="AC46" s="757"/>
      <c r="AD46" s="757"/>
      <c r="AE46" s="1285"/>
      <c r="AF46" s="2112"/>
      <c r="AG46" s="1981" t="s">
        <v>60</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239</v>
      </c>
      <c r="B47" s="1393" t="s">
        <v>240</v>
      </c>
      <c r="C47" s="1393" t="s">
        <v>241</v>
      </c>
      <c r="D47" s="1393" t="s">
        <v>527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239</v>
      </c>
      <c r="B48" s="1393" t="s">
        <v>240</v>
      </c>
      <c r="C48" s="1393" t="s">
        <v>241</v>
      </c>
      <c r="D48" s="1393" t="s">
        <v>527</v>
      </c>
      <c r="E48" s="2108"/>
      <c r="F48" s="2108"/>
      <c r="G48" s="2108"/>
      <c r="H48" s="2108"/>
      <c r="I48" s="2110"/>
      <c r="J48" s="2109"/>
      <c r="K48" s="1393"/>
      <c r="L48" s="1394"/>
      <c r="P48" s="2111"/>
      <c r="Q48" s="2111"/>
      <c r="R48" s="352"/>
      <c r="S48" s="1308"/>
      <c r="T48" s="275" t="s">
        <v>473</v>
      </c>
      <c r="U48" s="367"/>
      <c r="V48" s="367"/>
      <c r="W48" s="367"/>
      <c r="X48" s="367"/>
      <c r="Y48" s="367"/>
      <c r="Z48" s="367"/>
      <c r="AA48" s="367"/>
      <c r="AB48" s="367"/>
      <c r="AC48" s="367"/>
      <c r="AD48" s="367"/>
      <c r="AE48" s="367"/>
      <c r="AF48" s="367"/>
      <c r="AG48" s="367"/>
      <c r="AH48" s="367"/>
      <c r="AI48" s="367"/>
      <c r="AJ48" s="367"/>
      <c r="AK48" s="1286" t="s">
        <v>474</v>
      </c>
      <c r="AM48" s="506"/>
      <c r="AN48" s="506" t="str">
        <f>IF(T48="","",T48)</f>
        <v>Добавить значение признака дифференциации</v>
      </c>
      <c r="AO48" s="506"/>
      <c r="AP48" s="506"/>
    </row>
    <row customHeight="1" ht="21">
      <c r="A49" s="1393" t="s">
        <v>239</v>
      </c>
      <c r="B49" s="1393" t="s">
        <v>240</v>
      </c>
      <c r="C49" s="1393" t="s">
        <v>241</v>
      </c>
      <c r="D49" s="1393" t="s">
        <v>527</v>
      </c>
      <c r="E49" s="2108"/>
      <c r="F49" s="2108"/>
      <c r="G49" s="2108"/>
      <c r="H49" s="2108"/>
      <c r="I49" s="2109"/>
      <c r="J49" s="1393"/>
      <c r="K49" s="1393"/>
      <c r="L49" s="1394"/>
      <c r="P49" s="2111"/>
      <c r="Q49" s="1511"/>
      <c r="R49" s="352"/>
      <c r="S49" s="1308"/>
      <c r="T49" s="364" t="s">
        <v>402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239</v>
      </c>
      <c r="B50" s="1393" t="s">
        <v>240</v>
      </c>
      <c r="C50" s="1393" t="s">
        <v>241</v>
      </c>
      <c r="D50" s="1393" t="s">
        <v>527</v>
      </c>
      <c r="E50" s="2108"/>
      <c r="F50" s="2108"/>
      <c r="G50" s="2108"/>
      <c r="H50" s="2107"/>
      <c r="I50" s="1393"/>
      <c r="J50" s="1393"/>
      <c r="K50" s="1393"/>
      <c r="L50" s="1394"/>
      <c r="M50" s="1395"/>
      <c r="N50" s="1395"/>
      <c r="O50" s="543"/>
      <c r="P50" s="356"/>
      <c r="Q50" s="376"/>
      <c r="R50" s="351"/>
      <c r="S50" s="1308"/>
      <c r="T50" s="372" t="s">
        <v>475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239</v>
      </c>
      <c r="B51" s="1373" t="s">
        <v>240</v>
      </c>
      <c r="C51" s="1344"/>
      <c r="D51" s="1344"/>
      <c r="E51" s="2108"/>
      <c r="F51" s="2107"/>
      <c r="G51" s="1344"/>
      <c r="H51" s="1344"/>
      <c r="I51" s="1344"/>
      <c r="J51" s="1344"/>
      <c r="K51" s="1344"/>
      <c r="L51" s="1524"/>
      <c r="M51" s="1351"/>
      <c r="N51" s="1351"/>
      <c r="P51" s="1346"/>
      <c r="Q51" s="1347"/>
      <c r="R51" s="1346"/>
      <c r="S51" s="1352"/>
      <c r="T51" s="1355" t="s">
        <v>214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239</v>
      </c>
      <c r="B52" s="1373"/>
      <c r="C52" s="1373"/>
      <c r="D52" s="1373"/>
      <c r="E52" s="2107"/>
      <c r="F52" s="1373"/>
      <c r="G52" s="1373"/>
      <c r="H52" s="1373"/>
      <c r="I52" s="1373"/>
      <c r="J52" s="1373"/>
      <c r="K52" s="1373"/>
      <c r="L52" s="1376"/>
      <c r="M52" s="1351"/>
      <c r="N52" s="1351"/>
      <c r="O52" s="524"/>
      <c r="P52" s="385"/>
      <c r="Q52" s="1374"/>
      <c r="R52" s="385"/>
      <c r="S52" s="1352"/>
      <c r="T52" s="1355" t="s">
        <v>215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216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DEF304-B97E-2D8B-D75E-AFA13C194A3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4697"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387</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388</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520</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521</v>
      </c>
      <c r="BE4" s="506"/>
      <c r="BF4" s="506" t="str">
        <f>IF(T4="","",T4)</f>
        <v>Наименование централизованной системы горячего водоснабжения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392</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393</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60</v>
      </c>
      <c r="AB8" s="1774"/>
      <c r="AC8" s="1499" t="s">
        <v>60</v>
      </c>
      <c r="AD8" s="2044" t="s">
        <v>60</v>
      </c>
      <c r="AE8" s="2180"/>
      <c r="AF8" s="2057">
        <v>1</v>
      </c>
      <c r="AG8" s="2202"/>
      <c r="AH8" s="1981" t="s">
        <v>60</v>
      </c>
      <c r="AI8" s="2180"/>
      <c r="AJ8" s="2057">
        <v>1</v>
      </c>
      <c r="AK8" s="2201" t="s">
        <v>24</v>
      </c>
      <c r="AL8" s="1981" t="s">
        <v>60</v>
      </c>
      <c r="AM8" s="2029"/>
      <c r="AN8" s="2057">
        <v>1</v>
      </c>
      <c r="AO8" s="2206"/>
      <c r="AP8" s="2207" t="s">
        <v>60</v>
      </c>
      <c r="AQ8" s="301"/>
      <c r="AR8" s="1516">
        <v>1</v>
      </c>
      <c r="AS8" s="1522" t="s">
        <v>24</v>
      </c>
      <c r="AT8" s="757"/>
      <c r="AU8" s="1285"/>
      <c r="AV8" s="757"/>
      <c r="AW8" s="1285"/>
      <c r="AX8" s="1774"/>
      <c r="AY8" s="1499" t="s">
        <v>60</v>
      </c>
      <c r="AZ8" s="1774"/>
      <c r="BA8" s="1499" t="s">
        <v>60</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454</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214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215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60</v>
      </c>
      <c r="AZ20" s="1776"/>
      <c r="BA20" s="1515" t="s">
        <v>60</v>
      </c>
    </row>
    <row customHeight="1" ht="14.25" hidden="1">
      <c r="BD21" s="502"/>
      <c r="BE21" s="502"/>
      <c r="BF21" s="502"/>
      <c r="BG21" s="502"/>
      <c r="BH21" s="502"/>
    </row>
    <row customHeight="1" ht="14.25" hidden="1">
      <c r="O22" s="1397" t="s">
        <v>405</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8" customFormat="1" customHeight="1" ht="14.25" hidden="1">
      <c r="M24" s="1538"/>
      <c r="N24" s="1538"/>
      <c r="O24" s="1539" t="s">
        <v>406</v>
      </c>
      <c r="P24" s="1538"/>
      <c r="Q24" s="1540"/>
      <c r="R24" s="1540"/>
      <c r="AA24" s="1537" t="s">
        <v>408</v>
      </c>
      <c r="AC24" s="1537" t="s">
        <v>409</v>
      </c>
      <c r="AD24" s="1537" t="s">
        <v>455</v>
      </c>
      <c r="AH24" s="1537" t="s">
        <v>455</v>
      </c>
      <c r="AK24" s="1537" t="s">
        <v>496</v>
      </c>
      <c r="AL24" s="1537" t="s">
        <v>455</v>
      </c>
      <c r="AP24" s="1537" t="s">
        <v>455</v>
      </c>
      <c r="AY24" s="1537" t="s">
        <v>408</v>
      </c>
      <c r="BA24" s="1537" t="s">
        <v>409</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"РИР" (филиал в г. Глазове)</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строительства, жилищно-коммунального хозяйства и энергетики УР</v>
      </c>
      <c r="W31" s="2100"/>
      <c r="X31" s="2100"/>
      <c r="Y31" s="2100"/>
      <c r="Z31" s="2100"/>
      <c r="AA31" s="2100"/>
      <c r="AB31" s="2100"/>
      <c r="AC31" s="322"/>
      <c r="AD31" s="2100" t="str">
        <f>IF(TITLE_NAME_OR_PR_CHANGE="",IF(TITLE_NAME_OR_PR="","",TITLE_NAME_OR_PR),TITLE_NAME_OR_PR_CHANGE)</f>
        <v>Министерство строительства, жилищно-коммунального хозяйства и энергетики УР</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411</v>
      </c>
      <c r="T32" s="2098"/>
      <c r="U32" s="1402"/>
      <c r="V32" s="2099" t="str">
        <f>IF(TITLE_DATE_PR_CHANGE="",IF(TITLE_DATE_PR="","",TITLE_DATE_PR),TITLE_DATE_PR_CHANGE)</f>
        <v>45272.383726851855</v>
      </c>
      <c r="W32" s="2099"/>
      <c r="X32" s="2099"/>
      <c r="Y32" s="2099"/>
      <c r="Z32" s="2099"/>
      <c r="AA32" s="2099"/>
      <c r="AB32" s="2099"/>
      <c r="AC32" s="322"/>
      <c r="AD32" s="2099" t="str">
        <f>IF(TITLE_DATE_PR_CHANGE="",IF(TITLE_DATE_PR="","",TITLE_DATE_PR),TITLE_DATE_PR_CHANGE)</f>
        <v>45272.383726851855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412</v>
      </c>
      <c r="T33" s="2098"/>
      <c r="U33" s="1402"/>
      <c r="V33" s="2100" t="str">
        <f>IF(TITLE_NUMBER_PR_CHANGE="",IF(TITLE_NUMBER_PR="","",TITLE_NUMBER_PR),TITLE_NUMBER_PR_CHANGE)</f>
        <v>30/68</v>
      </c>
      <c r="W33" s="2100"/>
      <c r="X33" s="2100"/>
      <c r="Y33" s="2100"/>
      <c r="Z33" s="2100"/>
      <c r="AA33" s="2100"/>
      <c r="AB33" s="2100"/>
      <c r="AC33" s="322"/>
      <c r="AD33" s="2100" t="str">
        <f>IF(TITLE_NUMBER_PR_CHANGE="",IF(TITLE_NUMBER_PR="","",TITLE_NUMBER_PR),TITLE_NUMBER_PR_CHANGE)</f>
        <v>30/68</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www.udmurt.ru</v>
      </c>
      <c r="W34" s="2100"/>
      <c r="X34" s="2100"/>
      <c r="Y34" s="2100"/>
      <c r="Z34" s="2100"/>
      <c r="AA34" s="2100"/>
      <c r="AB34" s="2100"/>
      <c r="AC34" s="322"/>
      <c r="AD34" s="2100" t="str">
        <f>IF(TITLE_IST_PUB_CHANGE="",IF(TITLE_IST_PUB="","",TITLE_IST_PUB),TITLE_IST_PUB_CHANGE)</f>
        <v>www.udmurt.ru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411</v>
      </c>
      <c r="T36" s="2098"/>
      <c r="U36" s="1402"/>
      <c r="V36" s="2099" t="str">
        <f>IF(TITLE_DATE_PR_CHANGE="",IF(TITLE_DATE_PR="","",TITLE_DATE_PR),TITLE_DATE_PR_CHANGE)</f>
        <v>45272.383726851855</v>
      </c>
      <c r="W36" s="2099"/>
      <c r="X36" s="2099"/>
      <c r="Y36" s="2099"/>
      <c r="Z36" s="2099"/>
      <c r="AA36" s="2099"/>
      <c r="AB36" s="2099"/>
      <c r="AC36" s="322"/>
      <c r="AD36" s="2099" t="str">
        <f>IF(TITLE_DATE_PR_CHANGE="",IF(TITLE_DATE_PR="","",TITLE_DATE_PR),TITLE_DATE_PR_CHANGE)</f>
        <v>45272.383726851855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412</v>
      </c>
      <c r="T37" s="2098"/>
      <c r="U37" s="1402"/>
      <c r="V37" s="2100" t="str">
        <f>IF(TITLE_NUMBER_PR_CHANGE="",IF(TITLE_NUMBER_PR="","",TITLE_NUMBER_PR),TITLE_NUMBER_PR_CHANGE)</f>
        <v>30/68</v>
      </c>
      <c r="W37" s="2100"/>
      <c r="X37" s="2100"/>
      <c r="Y37" s="2100"/>
      <c r="Z37" s="2100"/>
      <c r="AA37" s="2100"/>
      <c r="AB37" s="2100"/>
      <c r="AC37" s="322"/>
      <c r="AD37" s="2100" t="str">
        <f>IF(TITLE_NUMBER_PR_CHANGE="",IF(TITLE_NUMBER_PR="","",TITLE_NUMBER_PR),TITLE_NUMBER_PR_CHANGE)</f>
        <v>30/68</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415</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288</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289</v>
      </c>
    </row>
    <row customHeight="1" ht="14.25">
      <c r="Q41" s="279"/>
      <c r="R41" s="377"/>
      <c r="S41" s="2125" t="s">
        <v>86</v>
      </c>
      <c r="T41" s="2062" t="s">
        <v>497</v>
      </c>
      <c r="U41" s="289"/>
      <c r="V41" s="2126" t="s">
        <v>417</v>
      </c>
      <c r="W41" s="2127"/>
      <c r="X41" s="2127"/>
      <c r="Y41" s="2127"/>
      <c r="Z41" s="2127"/>
      <c r="AA41" s="2127"/>
      <c r="AB41" s="2128"/>
      <c r="AC41" s="2129" t="s">
        <v>418</v>
      </c>
      <c r="AD41" s="2173" t="s">
        <v>498</v>
      </c>
      <c r="AE41" s="2146"/>
      <c r="AF41" s="2146"/>
      <c r="AG41" s="2174"/>
      <c r="AH41" s="2173" t="s">
        <v>499</v>
      </c>
      <c r="AI41" s="2146"/>
      <c r="AJ41" s="2146"/>
      <c r="AK41" s="2174"/>
      <c r="AL41" s="2173" t="s">
        <v>500</v>
      </c>
      <c r="AM41" s="2146"/>
      <c r="AN41" s="2146"/>
      <c r="AO41" s="2174"/>
      <c r="AP41" s="2173" t="s">
        <v>501</v>
      </c>
      <c r="AQ41" s="2146"/>
      <c r="AR41" s="2146"/>
      <c r="AS41" s="2174"/>
      <c r="AT41" s="2126" t="s">
        <v>417</v>
      </c>
      <c r="AU41" s="2127"/>
      <c r="AV41" s="2127"/>
      <c r="AW41" s="2127"/>
      <c r="AX41" s="2127"/>
      <c r="AY41" s="2127"/>
      <c r="AZ41" s="2128"/>
      <c r="BA41" s="2129" t="s">
        <v>418</v>
      </c>
      <c r="BB41" s="2132" t="s">
        <v>420</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502</v>
      </c>
      <c r="AU42" s="2030"/>
      <c r="AV42" s="2029" t="s">
        <v>503</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425</v>
      </c>
      <c r="F44" s="1394" t="s">
        <v>426</v>
      </c>
      <c r="G44" s="1394" t="s">
        <v>427</v>
      </c>
      <c r="H44" s="1394" t="s">
        <v>428</v>
      </c>
      <c r="I44" s="1394" t="s">
        <v>429</v>
      </c>
      <c r="J44" s="1394" t="s">
        <v>430</v>
      </c>
      <c r="K44" s="1394" t="s">
        <v>431</v>
      </c>
      <c r="L44" s="1394" t="s">
        <v>406</v>
      </c>
      <c r="Q44" s="279"/>
      <c r="R44" s="377"/>
      <c r="S44" s="2125"/>
      <c r="T44" s="2062"/>
      <c r="U44" s="290"/>
      <c r="V44" s="1509" t="s">
        <v>465</v>
      </c>
      <c r="W44" s="1509" t="s">
        <v>466</v>
      </c>
      <c r="X44" s="1509" t="s">
        <v>465</v>
      </c>
      <c r="Y44" s="1509" t="s">
        <v>466</v>
      </c>
      <c r="Z44" s="1519" t="s">
        <v>434</v>
      </c>
      <c r="AA44" s="2121" t="s">
        <v>435</v>
      </c>
      <c r="AB44" s="2122"/>
      <c r="AC44" s="2131"/>
      <c r="AD44" s="2177"/>
      <c r="AE44" s="2178"/>
      <c r="AF44" s="2178"/>
      <c r="AG44" s="2179"/>
      <c r="AH44" s="2177"/>
      <c r="AI44" s="2178"/>
      <c r="AJ44" s="2178"/>
      <c r="AK44" s="2179"/>
      <c r="AL44" s="2177"/>
      <c r="AM44" s="2178"/>
      <c r="AN44" s="2178"/>
      <c r="AO44" s="2179"/>
      <c r="AP44" s="2177"/>
      <c r="AQ44" s="2178"/>
      <c r="AR44" s="2178"/>
      <c r="AS44" s="2179"/>
      <c r="AT44" s="1509" t="s">
        <v>465</v>
      </c>
      <c r="AU44" s="1509" t="s">
        <v>466</v>
      </c>
      <c r="AV44" s="1509" t="s">
        <v>465</v>
      </c>
      <c r="AW44" s="1509" t="s">
        <v>466</v>
      </c>
      <c r="AX44" s="1519" t="s">
        <v>434</v>
      </c>
      <c r="AY44" s="2121" t="s">
        <v>435</v>
      </c>
      <c r="AZ44" s="2122"/>
      <c r="BA44" s="2131"/>
      <c r="BB44" s="2134"/>
      <c r="BC44" s="1971"/>
    </row>
    <row s="2612"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249</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249</v>
      </c>
      <c r="B47" s="1393" t="s">
        <v>250</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387</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388</v>
      </c>
      <c r="BE47" s="506"/>
      <c r="BF47" s="506" t="str">
        <f>IF(T47="","",T47)</f>
        <v>Территория действия тарифа</v>
      </c>
      <c r="BG47" s="506"/>
      <c r="BH47" s="506"/>
    </row>
    <row customHeight="1" ht="33.75">
      <c r="A48" s="1393" t="s">
        <v>249</v>
      </c>
      <c r="B48" s="1393" t="s">
        <v>250</v>
      </c>
      <c r="C48" s="1393" t="s">
        <v>251</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520</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521</v>
      </c>
      <c r="BE48" s="506"/>
      <c r="BF48" s="506" t="str">
        <f>IF(T48="","",T48)</f>
        <v>Наименование централизованной системы горячего водоснабжения</v>
      </c>
      <c r="BG48" s="506"/>
      <c r="BH48" s="506"/>
    </row>
    <row s="2613" customFormat="1" customHeight="1" ht="0">
      <c r="A49" s="1373" t="s">
        <v>249</v>
      </c>
      <c r="B49" s="1373" t="s">
        <v>250</v>
      </c>
      <c r="C49" s="1373" t="s">
        <v>251</v>
      </c>
      <c r="D49" s="1373" t="s">
        <v>528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392</v>
      </c>
      <c r="BE49" s="506"/>
      <c r="BF49" s="506" t="str">
        <f>IF(T49="","",T49)</f>
        <v/>
      </c>
      <c r="BG49" s="506"/>
      <c r="BH49" s="506"/>
    </row>
    <row s="2613" customFormat="1" customHeight="1" ht="0">
      <c r="A50" s="1373" t="s">
        <v>249</v>
      </c>
      <c r="B50" s="1373" t="s">
        <v>250</v>
      </c>
      <c r="C50" s="1373" t="s">
        <v>251</v>
      </c>
      <c r="D50" s="1373" t="s">
        <v>528</v>
      </c>
      <c r="E50" s="2108"/>
      <c r="F50" s="2108"/>
      <c r="G50" s="2108"/>
      <c r="H50" s="2108"/>
      <c r="I50" s="2109" t="str">
        <f>S49&amp;".1"</f>
        <v>.1</v>
      </c>
      <c r="J50" s="1373"/>
      <c r="K50" s="1373"/>
      <c r="L50" s="1376" t="s">
        <v>393</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249</v>
      </c>
      <c r="B51" s="1373" t="s">
        <v>250</v>
      </c>
      <c r="C51" s="1373" t="s">
        <v>251</v>
      </c>
      <c r="D51" s="1373" t="s">
        <v>528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249</v>
      </c>
      <c r="B52" s="1393" t="s">
        <v>250</v>
      </c>
      <c r="C52" s="1393" t="s">
        <v>251</v>
      </c>
      <c r="D52" s="1393" t="s">
        <v>528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60</v>
      </c>
      <c r="AB52" s="1774"/>
      <c r="AC52" s="1499" t="s">
        <v>60</v>
      </c>
      <c r="AD52" s="2044" t="s">
        <v>60</v>
      </c>
      <c r="AE52" s="2180"/>
      <c r="AF52" s="2057">
        <v>1</v>
      </c>
      <c r="AG52" s="2202"/>
      <c r="AH52" s="1981" t="s">
        <v>60</v>
      </c>
      <c r="AI52" s="2180"/>
      <c r="AJ52" s="2057">
        <v>1</v>
      </c>
      <c r="AK52" s="2201" t="s">
        <v>24</v>
      </c>
      <c r="AL52" s="1981" t="s">
        <v>60</v>
      </c>
      <c r="AM52" s="2029"/>
      <c r="AN52" s="2057">
        <v>1</v>
      </c>
      <c r="AO52" s="2206"/>
      <c r="AP52" s="2207" t="s">
        <v>60</v>
      </c>
      <c r="AQ52" s="301"/>
      <c r="AR52" s="1516">
        <v>1</v>
      </c>
      <c r="AS52" s="1522" t="s">
        <v>24</v>
      </c>
      <c r="AT52" s="757"/>
      <c r="AU52" s="1285"/>
      <c r="AV52" s="757"/>
      <c r="AW52" s="1285"/>
      <c r="AX52" s="1774"/>
      <c r="AY52" s="1499" t="s">
        <v>60</v>
      </c>
      <c r="AZ52" s="1774"/>
      <c r="BA52" s="1499" t="s">
        <v>60</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249</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249</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249</v>
      </c>
      <c r="B56" s="1393" t="s">
        <v>250</v>
      </c>
      <c r="C56" s="1393" t="s">
        <v>251</v>
      </c>
      <c r="D56" s="1393" t="s">
        <v>528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249</v>
      </c>
      <c r="B57" s="1393" t="s">
        <v>250</v>
      </c>
      <c r="C57" s="1393" t="s">
        <v>251</v>
      </c>
      <c r="D57" s="1393" t="s">
        <v>528</v>
      </c>
      <c r="E57" s="2108"/>
      <c r="F57" s="2108"/>
      <c r="G57" s="2108"/>
      <c r="H57" s="2108"/>
      <c r="I57" s="2110"/>
      <c r="J57" s="2109"/>
      <c r="K57" s="1393"/>
      <c r="L57" s="1394"/>
      <c r="P57" s="2111"/>
      <c r="Q57" s="2111"/>
      <c r="R57" s="352"/>
      <c r="S57" s="1308"/>
      <c r="T57" s="275" t="s">
        <v>454</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249</v>
      </c>
      <c r="B58" s="1373" t="s">
        <v>250</v>
      </c>
      <c r="C58" s="1373" t="s">
        <v>251</v>
      </c>
      <c r="D58" s="1373" t="s">
        <v>528</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249</v>
      </c>
      <c r="B59" s="1373" t="s">
        <v>250</v>
      </c>
      <c r="C59" s="1373" t="s">
        <v>251</v>
      </c>
      <c r="D59" s="1373" t="s">
        <v>528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249</v>
      </c>
      <c r="B60" s="1373" t="s">
        <v>250</v>
      </c>
      <c r="C60" s="1373" t="s">
        <v>251</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249</v>
      </c>
      <c r="B61" s="1373" t="s">
        <v>250</v>
      </c>
      <c r="C61" s="1344"/>
      <c r="D61" s="1344"/>
      <c r="E61" s="2108"/>
      <c r="F61" s="2107"/>
      <c r="G61" s="1344"/>
      <c r="H61" s="1344"/>
      <c r="I61" s="1344"/>
      <c r="J61" s="1344"/>
      <c r="K61" s="1344"/>
      <c r="L61" s="1524"/>
      <c r="M61" s="1351"/>
      <c r="N61" s="1351"/>
      <c r="P61" s="1346"/>
      <c r="Q61" s="1347"/>
      <c r="R61" s="1346"/>
      <c r="S61" s="1352"/>
      <c r="T61" s="1355" t="s">
        <v>214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249</v>
      </c>
      <c r="B62" s="1373"/>
      <c r="C62" s="1373"/>
      <c r="D62" s="1373"/>
      <c r="E62" s="2107"/>
      <c r="F62" s="1373"/>
      <c r="G62" s="1373"/>
      <c r="H62" s="1373"/>
      <c r="I62" s="1373"/>
      <c r="J62" s="1373"/>
      <c r="K62" s="1373"/>
      <c r="L62" s="1376"/>
      <c r="M62" s="1351"/>
      <c r="N62" s="1351"/>
      <c r="O62" s="524"/>
      <c r="P62" s="385"/>
      <c r="Q62" s="1374"/>
      <c r="R62" s="385"/>
      <c r="S62" s="1352"/>
      <c r="T62" s="1355" t="s">
        <v>215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216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6D983-2355-F406-2109-70B553CC4F92}"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4725" width="10.7109375" hidden="1" customWidth="1"/>
    <col min="2" max="2" style="3292" width="16.8515625" hidden="1" customWidth="1"/>
    <col min="3" max="3" style="4716" width="5.57421875" hidden="1" customWidth="1"/>
    <col min="4" max="4" style="4828"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4716" width="5.28125" customWidth="1"/>
    <col min="13" max="13" style="4716" width="3.7109375" customWidth="1"/>
    <col min="14" max="17" style="3292" width="3.7109375" customWidth="1"/>
    <col min="18" max="18" style="4716" width="10.57421875" customWidth="1"/>
    <col min="19" max="19" style="3292" width="34.7109375" customWidth="1"/>
    <col min="20" max="20" style="3292" width="9.421875" customWidth="1"/>
    <col min="21" max="21" style="4729" width="9.140625"/>
    <col min="22" max="26" style="3292" width="9.140625"/>
    <col min="27" max="31" style="2948" width="9.140625"/>
  </cols>
  <sheetData>
    <row customHeight="1" ht="11.25" hidden="1"/>
    <row customHeight="1" ht="23.25" hidden="1">
      <c r="B2" s="1953"/>
      <c r="C2" s="1175" t="s">
        <v>529</v>
      </c>
      <c r="D2" s="1678"/>
      <c r="E2" s="552">
        <f>B2</f>
        <v>0</v>
      </c>
      <c r="F2" s="553"/>
      <c r="G2" s="1686" t="s">
        <v>530</v>
      </c>
      <c r="H2" s="1686" t="s">
        <v>530</v>
      </c>
      <c r="I2" s="1686" t="s">
        <v>530</v>
      </c>
      <c r="J2" s="277" t="s">
        <v>531</v>
      </c>
      <c r="K2" s="549"/>
    </row>
    <row s="4716" customFormat="1" customHeight="1" ht="0.75" hidden="1">
      <c r="B3" s="1953"/>
      <c r="C3" s="1175"/>
      <c r="D3" s="554"/>
      <c r="E3" s="555"/>
      <c r="F3" s="556" t="s">
        <v>532</v>
      </c>
      <c r="G3" s="557"/>
      <c r="H3" s="557">
        <f>H4*H5+H7</f>
        <v>0</v>
      </c>
      <c r="I3" s="557">
        <f>I4*I5+I6</f>
        <v>0</v>
      </c>
      <c r="J3" s="558"/>
    </row>
    <row customHeight="1" ht="23.25" hidden="1">
      <c r="B4" s="1953"/>
      <c r="C4" s="1175"/>
      <c r="D4" s="1678"/>
      <c r="E4" s="552" t="str">
        <f>B2&amp;".1"</f>
        <v>.1</v>
      </c>
      <c r="F4" s="559" t="s">
        <v>533</v>
      </c>
      <c r="G4" s="560"/>
      <c r="H4" s="547"/>
      <c r="I4" s="547"/>
      <c r="J4" s="277" t="s">
        <v>534</v>
      </c>
      <c r="K4" s="549"/>
    </row>
    <row customHeight="1" ht="18.75" hidden="1">
      <c r="B5" s="1953"/>
      <c r="C5" s="1175"/>
      <c r="D5" s="1678"/>
      <c r="E5" s="552" t="str">
        <f>B2&amp;".2"</f>
        <v>.2</v>
      </c>
      <c r="F5" s="559" t="s">
        <v>535</v>
      </c>
      <c r="G5" s="1686" t="s">
        <v>536</v>
      </c>
      <c r="H5" s="547"/>
      <c r="I5" s="547"/>
      <c r="J5" s="277"/>
      <c r="K5" s="549"/>
    </row>
    <row customHeight="1" ht="18.75" hidden="1">
      <c r="B6" s="1953"/>
      <c r="C6" s="1175"/>
      <c r="D6" s="1678"/>
      <c r="E6" s="552" t="str">
        <f>B2&amp;".3"</f>
        <v>.3</v>
      </c>
      <c r="F6" s="559" t="s">
        <v>537</v>
      </c>
      <c r="G6" s="1686" t="s">
        <v>536</v>
      </c>
      <c r="H6" s="547"/>
      <c r="I6" s="547"/>
      <c r="J6" s="277"/>
      <c r="K6" s="549"/>
    </row>
    <row customHeight="1" ht="18.75" hidden="1">
      <c r="B7" s="1953"/>
      <c r="C7" s="1175"/>
      <c r="D7" s="1678"/>
      <c r="E7" s="552" t="str">
        <f>B2&amp;".4"</f>
        <v>.4</v>
      </c>
      <c r="F7" s="559" t="s">
        <v>538</v>
      </c>
      <c r="G7" s="1686" t="s">
        <v>530</v>
      </c>
      <c r="H7" s="561"/>
      <c r="I7" s="561"/>
      <c r="J7" s="277"/>
      <c r="K7" s="549"/>
    </row>
    <row s="3292" customFormat="1" customHeight="1" ht="11.25" hidden="1">
      <c r="A8" s="994"/>
      <c r="C8" s="1676"/>
      <c r="D8" s="543"/>
      <c r="H8" s="1168">
        <v>4</v>
      </c>
      <c r="I8" s="1168">
        <v>4</v>
      </c>
      <c r="L8" s="1676"/>
      <c r="M8" s="1676"/>
      <c r="R8" s="1676"/>
    </row>
    <row s="3292" customFormat="1" customHeight="1" ht="22.5" hidden="1">
      <c r="A9" s="994"/>
      <c r="C9" s="1676"/>
      <c r="D9" s="544"/>
      <c r="E9" s="1688"/>
      <c r="F9" s="546"/>
      <c r="G9" s="1686" t="s">
        <v>536</v>
      </c>
      <c r="H9" s="547"/>
      <c r="I9" s="547"/>
      <c r="J9" s="548" t="s">
        <v>539</v>
      </c>
      <c r="K9" s="549"/>
      <c r="L9" s="1676"/>
      <c r="M9" s="1676"/>
      <c r="R9" s="1676"/>
      <c r="U9" s="550"/>
      <c r="AA9" s="1672"/>
      <c r="AB9" s="1672"/>
      <c r="AC9" s="1672"/>
      <c r="AD9" s="1672"/>
      <c r="AE9" s="1672"/>
    </row>
    <row customHeight="1" ht="11.25" hidden="1"/>
    <row customHeight="1" ht="18.75" hidden="1">
      <c r="D11" s="1678"/>
      <c r="E11" s="552"/>
      <c r="F11" s="546"/>
      <c r="G11" s="1686" t="s">
        <v>540</v>
      </c>
      <c r="H11" s="547"/>
      <c r="I11" s="547"/>
      <c r="J11" s="277" t="s">
        <v>541</v>
      </c>
      <c r="K11" s="549"/>
    </row>
    <row customHeight="1" ht="11.25" hidden="1"/>
    <row customHeight="1" ht="22.5" hidden="1">
      <c r="D13" s="1678"/>
      <c r="E13" s="552"/>
      <c r="F13" s="546"/>
      <c r="G13" s="976" t="s">
        <v>542</v>
      </c>
      <c r="H13" s="551"/>
      <c r="I13" s="551"/>
      <c r="J13" s="751" t="s">
        <v>543</v>
      </c>
      <c r="K13" s="549"/>
    </row>
    <row customHeight="1" ht="11.25" hidden="1"/>
    <row customHeight="1" ht="22.5" hidden="1">
      <c r="D15" s="1678"/>
      <c r="E15" s="552"/>
      <c r="F15" s="546"/>
      <c r="G15" s="1686" t="s">
        <v>544</v>
      </c>
      <c r="H15" s="551"/>
      <c r="I15" s="551"/>
      <c r="J15" s="277" t="s">
        <v>545</v>
      </c>
      <c r="K15" s="549"/>
    </row>
    <row customHeight="1" ht="11.25" hidden="1"/>
    <row customHeight="1" ht="22.5" hidden="1">
      <c r="D17" s="1678"/>
      <c r="E17" s="552"/>
      <c r="F17" s="546"/>
      <c r="G17" s="1686" t="s">
        <v>546</v>
      </c>
      <c r="H17" s="551"/>
      <c r="I17" s="551"/>
      <c r="J17" s="277" t="s">
        <v>547</v>
      </c>
      <c r="K17" s="549"/>
    </row>
    <row customHeight="1" ht="11.25" hidden="1"/>
    <row s="294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40"/>
      <c r="G21" s="2140"/>
      <c r="H21" s="2140"/>
      <c r="I21" s="2140"/>
      <c r="J21" s="562"/>
    </row>
    <row customHeight="1" ht="24">
      <c r="E22" s="2141" t="str">
        <f>IF(org=0,"Не определено",org)</f>
        <v>АО "РИР" (филиал в г. Глазове)</v>
      </c>
      <c r="F22" s="2141"/>
      <c r="G22" s="2141"/>
      <c r="H22" s="2141"/>
      <c r="I22" s="2141"/>
    </row>
    <row customHeight="1" ht="11.25">
      <c r="E23" s="1143"/>
      <c r="F23" s="1143"/>
      <c r="G23" s="1143"/>
      <c r="H23" s="1143"/>
      <c r="I23" s="1143"/>
    </row>
    <row s="4716" customFormat="1" customHeight="1" ht="0.75">
      <c r="A24" s="1175"/>
      <c r="D24" s="1682"/>
      <c r="H24" s="895"/>
      <c r="I24" s="895" t="s">
        <v>115</v>
      </c>
    </row>
    <row customHeight="1" ht="11.25">
      <c r="E25" s="717"/>
      <c r="F25" s="2213" t="s">
        <v>103</v>
      </c>
      <c r="G25" s="2214"/>
      <c r="H25" s="1692" t="str">
        <f>IF(H24="","",INDEX(DIFFERENTIATION_UNMERGE_VD,MATCH(H24,DIFFERENTIATION_ID_DIFF,0)))</f>
        <v/>
      </c>
      <c r="I25" s="1692">
        <f>IF(I24="","",INDEX(DIFFERENTIATION_UNMERGE_VD,MATCH(I24,DIFFERENTIATION_ID_DIFF,0)))</f>
        <v>0</v>
      </c>
      <c r="J25" s="1971"/>
    </row>
    <row customHeight="1" ht="11.25">
      <c r="E26" s="717"/>
      <c r="F26" s="2213" t="s">
        <v>548</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549</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288</v>
      </c>
      <c r="F28" s="2216"/>
      <c r="G28" s="2216"/>
      <c r="H28" s="1685"/>
      <c r="I28" s="1685"/>
      <c r="J28" s="1971"/>
    </row>
    <row customHeight="1" ht="22.5">
      <c r="E29" s="1686" t="s">
        <v>86</v>
      </c>
      <c r="F29" s="1693" t="s">
        <v>290</v>
      </c>
      <c r="G29" s="1693" t="s">
        <v>550</v>
      </c>
      <c r="H29" s="1693" t="s">
        <v>291</v>
      </c>
      <c r="I29" s="1693" t="s">
        <v>291</v>
      </c>
      <c r="J29" s="1971"/>
    </row>
    <row customHeight="1" ht="18.75">
      <c r="D30" s="1678"/>
      <c r="E30" s="552">
        <f>FHD_NUM_P_1</f>
        <v>1</v>
      </c>
      <c r="F30" s="1923" t="str">
        <f>FHD_P_1</f>
        <v>Выручка от регулируемых видов деятельности в сфере холодного водоснабжения</v>
      </c>
      <c r="G30" s="1921" t="s">
        <v>536</v>
      </c>
      <c r="H30" s="563"/>
      <c r="I30" s="563"/>
      <c r="J30" s="277" t="str">
        <f>FHD_NOTE_P_1</f>
        <v>Указывается выручка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регулируемым видам деятельности в сфере холодного водоснабжения, включая:</v>
      </c>
      <c r="G31" s="1921" t="s">
        <v>536</v>
      </c>
      <c r="H31" s="564">
        <f>SUMIF($K33:$K71,$K31,H33:H71)</f>
        <v>0</v>
      </c>
      <c r="I31" s="564">
        <f>SUMIF($K33:$K71,$K31,I33:I71)</f>
        <v>0</v>
      </c>
      <c r="J31" s="277" t="str">
        <f>FHD_NOTE_P_2</f>
        <v>Указывается суммарная себестоимость производимых товаров.</v>
      </c>
      <c r="K31" s="1676" t="s">
        <v>551</v>
      </c>
    </row>
    <row customHeight="1" ht="11.25">
      <c r="D32" s="1678"/>
      <c r="E32" s="552" t="str">
        <f>FHD_NUM_P_3</f>
        <v>2.1</v>
      </c>
      <c r="F32" s="1554" t="str">
        <f>FHD_P_3</f>
        <v>Расходы на оплату холодной воды, приобретаемой у других организаций для последующей подачи потребителям</v>
      </c>
      <c r="G32" s="1921" t="s">
        <v>536</v>
      </c>
      <c r="H32" s="563"/>
      <c r="I32" s="563"/>
      <c r="J32" s="277" t="str">
        <f>FHD_NOTE_P_3</f>
        <v/>
      </c>
      <c r="K32" s="1676" t="str">
        <f>IF((LEN(E32)-LEN(SUBSTITUTE(E32,".","")))/LEN(".")=1,"p","")</f>
        <v>p</v>
      </c>
    </row>
    <row customHeight="1" ht="11.25" hidden="1">
      <c r="A33" s="2210" t="s">
        <v>552</v>
      </c>
      <c r="D33" s="1678"/>
      <c r="E33" s="552" t="str">
        <f>FHD_NUM_P_4</f>
        <v/>
      </c>
      <c r="F33" s="1554" t="str">
        <f>FHD_P_4</f>
        <v/>
      </c>
      <c r="G33" s="1921" t="s">
        <v>536</v>
      </c>
      <c r="H33" s="564">
        <f>SUMIF($F34:$F40,$F3,H34:H40)</f>
        <v>0</v>
      </c>
      <c r="I33" s="564">
        <f>SUMIF($F34:$F40,$F3,I34:I40)</f>
        <v>0</v>
      </c>
      <c r="J33" s="277" t="str">
        <f>FHD_NOTE_P_4</f>
        <v/>
      </c>
      <c r="K33" s="1676" t="str">
        <f>IF((LEN(E33)-LEN(SUBSTITUTE(E33,".","")))/LEN(".")=1,"p","")</f>
        <v/>
      </c>
    </row>
    <row s="4752" customFormat="1" customHeight="1" ht="0.75" hidden="1">
      <c r="A34" s="2210"/>
      <c r="B34" s="2211" t="str">
        <f>E33&amp;".0"</f>
        <v>.0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4752" customFormat="1" customHeight="1" ht="0.75" hidden="1">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4752" customFormat="1" customHeight="1" ht="0.75" hidden="1">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4752" customFormat="1" customHeight="1" ht="0.75" hidden="1">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4752" customFormat="1" customHeight="1" ht="0.75" hidden="1">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4752" customFormat="1" customHeight="1" ht="0.75" hidden="1">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2" customFormat="1" customHeight="1" ht="15" hidden="1">
      <c r="A40" s="2210"/>
      <c r="C40" s="1676"/>
      <c r="D40" s="1673"/>
      <c r="E40" s="576"/>
      <c r="F40" s="577" t="s">
        <v>553</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554</v>
      </c>
      <c r="D41" s="1678"/>
      <c r="E41" s="552" t="str">
        <f>FHD_NUM_P_5</f>
        <v/>
      </c>
      <c r="F41" s="1554" t="str">
        <f>FHD_P_5</f>
        <v/>
      </c>
      <c r="G41" s="1921" t="s">
        <v>536</v>
      </c>
      <c r="H41" s="563"/>
      <c r="I41" s="563"/>
      <c r="J41" s="277" t="str">
        <f>FHD_NOTE_P_5</f>
        <v/>
      </c>
      <c r="K41" s="1676" t="str">
        <f>IF((LEN(E41)-LEN(SUBSTITUTE(E41,".","")))/LEN(".")=1,"p","")</f>
        <v/>
      </c>
    </row>
    <row customHeight="1" ht="11.25" hidden="1">
      <c r="A42" s="2210"/>
      <c r="D42" s="1678"/>
      <c r="E42" s="552" t="str">
        <f>FHD_NUM_P_6</f>
        <v/>
      </c>
      <c r="F42" s="1554" t="str">
        <f>FHD_P_6</f>
        <v/>
      </c>
      <c r="G42" s="1921" t="s">
        <v>536</v>
      </c>
      <c r="H42" s="563"/>
      <c r="I42" s="563"/>
      <c r="J42" s="277" t="str">
        <f>FHD_NOTE_P_6</f>
        <v/>
      </c>
      <c r="K42" s="1676" t="str">
        <f>IF((LEN(E42)-LEN(SUBSTITUTE(E42,".","")))/LEN(".")=1,"p","")</f>
        <v/>
      </c>
    </row>
    <row customHeight="1" ht="11.25" hidden="1">
      <c r="A43" s="2210"/>
      <c r="D43" s="1678"/>
      <c r="E43" s="552" t="str">
        <f>FHD_NUM_P_7</f>
        <v/>
      </c>
      <c r="F43" s="1554" t="str">
        <f>FHD_P_7</f>
        <v/>
      </c>
      <c r="G43" s="1921" t="s">
        <v>536</v>
      </c>
      <c r="H43" s="563"/>
      <c r="I43" s="563"/>
      <c r="J43" s="277" t="str">
        <f>FHD_NOTE_P_7</f>
        <v/>
      </c>
      <c r="K43" s="1676" t="str">
        <f>IF((LEN(E43)-LEN(SUBSTITUTE(E43,".","")))/LEN(".")=1,"p","")</f>
        <v/>
      </c>
    </row>
    <row customHeight="1" ht="11.25">
      <c r="D44" s="1678"/>
      <c r="E44" s="552" t="str">
        <f>FHD_NUM_P_8</f>
        <v>2.2</v>
      </c>
      <c r="F44" s="1554" t="str">
        <f>FHD_P_8</f>
        <v>Расходы на приобретаемую электрическую энергию (мощность), используемую в технологическом процессе</v>
      </c>
      <c r="G44" s="1921" t="s">
        <v>536</v>
      </c>
      <c r="H44" s="563"/>
      <c r="I44" s="563"/>
      <c r="J44" s="277" t="str">
        <f>FHD_NOTE_P_8</f>
        <v/>
      </c>
      <c r="K44" s="1676" t="str">
        <f>IF((LEN(E44)-LEN(SUBSTITUTE(E44,".","")))/LEN(".")=1,"p","")</f>
        <v>p</v>
      </c>
    </row>
    <row customHeight="1" ht="11.25">
      <c r="D45" s="1678"/>
      <c r="E45" s="552" t="str">
        <f>FHD_NUM_P_9</f>
        <v>2.2.1</v>
      </c>
      <c r="F45" s="1690" t="str">
        <f>FHD_P_9</f>
        <v>Средневзвешенная стоимость 1 кВт.ч (с учетом мощности)</v>
      </c>
      <c r="G45" s="1921" t="s">
        <v>555</v>
      </c>
      <c r="H45" s="563"/>
      <c r="I45" s="563"/>
      <c r="J45" s="277" t="str">
        <f>FHD_NOTE_P_9</f>
        <v/>
      </c>
      <c r="K45" s="1676" t="str">
        <f>IF((LEN(E45)-LEN(SUBSTITUTE(E45,".","")))/LEN(".")=1,"p","")</f>
        <v/>
      </c>
    </row>
    <row s="3292" customFormat="1" customHeight="1" ht="11.25">
      <c r="A46" s="994"/>
      <c r="C46" s="1676"/>
      <c r="D46" s="580"/>
      <c r="E46" s="552" t="str">
        <f>FHD_NUM_P_10</f>
        <v>2.2.2</v>
      </c>
      <c r="F46" s="1690" t="str">
        <f>FHD_P_10</f>
        <v>Объём приобретения электрической энергии</v>
      </c>
      <c r="G46" s="1921" t="s">
        <v>556</v>
      </c>
      <c r="H46" s="563"/>
      <c r="I46" s="563"/>
      <c r="J46" s="277" t="str">
        <f>FHD_NOTE_P_10</f>
        <v/>
      </c>
      <c r="K46" s="1676" t="str">
        <f>IF((LEN(E46)-LEN(SUBSTITUTE(E46,".","")))/LEN(".")=1,"p","")</f>
        <v/>
      </c>
      <c r="L46" s="1676"/>
      <c r="M46" s="1676"/>
      <c r="R46" s="1676"/>
      <c r="U46" s="550"/>
      <c r="AA46" s="1672"/>
      <c r="AB46" s="1672"/>
      <c r="AC46" s="1672"/>
      <c r="AD46" s="1672"/>
      <c r="AE46" s="1672"/>
    </row>
    <row s="3292" customFormat="1" customHeight="1" ht="11.25" hidden="1">
      <c r="A47" s="996" t="s">
        <v>557</v>
      </c>
      <c r="C47" s="1676"/>
      <c r="D47" s="581"/>
      <c r="E47" s="552" t="str">
        <f>FHD_NUM_P_11</f>
        <v/>
      </c>
      <c r="F47" s="1554" t="str">
        <f>FHD_P_11</f>
        <v/>
      </c>
      <c r="G47" s="1921" t="s">
        <v>536</v>
      </c>
      <c r="H47" s="563"/>
      <c r="I47" s="563"/>
      <c r="J47" s="277" t="str">
        <f>FHD_NOTE_P_11</f>
        <v/>
      </c>
      <c r="K47" s="1676" t="str">
        <f>IF((LEN(E47)-LEN(SUBSTITUTE(E47,".","")))/LEN(".")=1,"p","")</f>
        <v/>
      </c>
      <c r="L47" s="1676"/>
      <c r="M47" s="1676"/>
      <c r="R47" s="1676"/>
      <c r="U47" s="550"/>
      <c r="AA47" s="1672"/>
      <c r="AB47" s="1672"/>
      <c r="AC47" s="1672"/>
      <c r="AD47" s="1672"/>
      <c r="AE47" s="1672"/>
    </row>
    <row s="3292" customFormat="1" customHeight="1" ht="18">
      <c r="A48" s="996" t="s">
        <v>558</v>
      </c>
      <c r="C48" s="1676"/>
      <c r="D48" s="1678"/>
      <c r="E48" s="552" t="str">
        <f>FHD_NUM_P_12</f>
        <v>2.3</v>
      </c>
      <c r="F48" s="1554" t="str">
        <f>FHD_P_12</f>
        <v>Расходы на химические реагенты, используемые в технологическом процессе</v>
      </c>
      <c r="G48" s="1921" t="s">
        <v>536</v>
      </c>
      <c r="H48" s="583"/>
      <c r="I48" s="583"/>
      <c r="J48" s="277" t="str">
        <f>FHD_NOTE_P_12</f>
        <v/>
      </c>
      <c r="K48" s="1676" t="str">
        <f>IF((LEN(E48)-LEN(SUBSTITUTE(E48,".","")))/LEN(".")=1,"p","")</f>
        <v>p</v>
      </c>
      <c r="L48" s="1676"/>
      <c r="M48" s="1676"/>
      <c r="R48" s="1676"/>
      <c r="U48" s="550"/>
      <c r="AA48" s="1672"/>
      <c r="AB48" s="1672"/>
      <c r="AC48" s="1672"/>
      <c r="AD48" s="1672"/>
      <c r="AE48" s="1672"/>
    </row>
    <row s="3297" customFormat="1" customHeight="1" ht="11.25">
      <c r="A49" s="995"/>
      <c r="C49" s="736"/>
      <c r="D49" s="679"/>
      <c r="E49" s="552" t="str">
        <f>FHD_NUM_P_13</f>
        <v>2.4</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536</v>
      </c>
      <c r="H49" s="563"/>
      <c r="I49" s="563"/>
      <c r="J49" s="277" t="str">
        <f>FHD_NOTE_P_13</f>
        <v>Указывается общая сумма расходов на оплату труда и отчислений на социальные нужды основного производственного персонала.</v>
      </c>
      <c r="K49" s="1676" t="str">
        <f>IF((LEN(E49)-LEN(SUBSTITUTE(E49,".","")))/LEN(".")=1,"p","")</f>
        <v>p</v>
      </c>
      <c r="L49" s="736"/>
      <c r="M49" s="736"/>
      <c r="R49" s="736"/>
      <c r="U49" s="737"/>
      <c r="AA49" s="738"/>
      <c r="AB49" s="738"/>
      <c r="AC49" s="738"/>
      <c r="AD49" s="738"/>
      <c r="AE49" s="738"/>
    </row>
    <row s="3297" customFormat="1" customHeight="1" ht="11.25">
      <c r="A50" s="995"/>
      <c r="C50" s="736"/>
      <c r="D50" s="679"/>
      <c r="E50" s="552" t="str">
        <f>FHD_NUM_P_14</f>
        <v>2.4.1</v>
      </c>
      <c r="F50" s="1690" t="str">
        <f>FHD_P_14</f>
        <v>Расходы на оплату труда основного производственного персонала</v>
      </c>
      <c r="G50" s="1921" t="s">
        <v>536</v>
      </c>
      <c r="H50" s="563"/>
      <c r="I50" s="563"/>
      <c r="J50" s="277" t="str">
        <f>FHD_NOTE_P_14</f>
        <v/>
      </c>
      <c r="K50" s="1676" t="str">
        <f>IF((LEN(E50)-LEN(SUBSTITUTE(E50,".","")))/LEN(".")=1,"p","")</f>
        <v/>
      </c>
      <c r="L50" s="736"/>
      <c r="M50" s="736"/>
      <c r="R50" s="736"/>
      <c r="U50" s="737"/>
      <c r="AA50" s="738"/>
      <c r="AB50" s="738"/>
      <c r="AC50" s="738"/>
      <c r="AD50" s="738"/>
      <c r="AE50" s="738"/>
    </row>
    <row s="3297" customFormat="1" customHeight="1" ht="11.25">
      <c r="A51" s="995"/>
      <c r="C51" s="736"/>
      <c r="D51" s="679"/>
      <c r="E51" s="552" t="str">
        <f>FHD_NUM_P_15</f>
        <v>2.4.2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536</v>
      </c>
      <c r="H51" s="563"/>
      <c r="I51" s="563"/>
      <c r="J51" s="277" t="str">
        <f>FHD_NOTE_P_15</f>
        <v/>
      </c>
      <c r="K51" s="1676" t="str">
        <f>IF((LEN(E51)-LEN(SUBSTITUTE(E51,".","")))/LEN(".")=1,"p","")</f>
        <v/>
      </c>
      <c r="L51" s="736"/>
      <c r="M51" s="736"/>
      <c r="R51" s="736"/>
      <c r="U51" s="737"/>
      <c r="AA51" s="738"/>
      <c r="AB51" s="738"/>
      <c r="AC51" s="738"/>
      <c r="AD51" s="738"/>
      <c r="AE51" s="738"/>
    </row>
    <row s="3292" customFormat="1" customHeight="1" ht="11.25">
      <c r="A52" s="994"/>
      <c r="C52" s="1676"/>
      <c r="D52" s="1678"/>
      <c r="E52" s="552" t="str">
        <f>FHD_NUM_P_16</f>
        <v>2.5</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536</v>
      </c>
      <c r="H52" s="563"/>
      <c r="I52" s="563"/>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76" t="str">
        <f>IF((LEN(E52)-LEN(SUBSTITUTE(E52,".","")))/LEN(".")=1,"p","")</f>
        <v>p</v>
      </c>
      <c r="L52" s="1676"/>
      <c r="M52" s="1682"/>
      <c r="N52" s="543"/>
      <c r="O52" s="543"/>
      <c r="R52" s="1676"/>
      <c r="U52" s="550"/>
      <c r="AA52" s="1672"/>
      <c r="AB52" s="1672"/>
      <c r="AC52" s="1672"/>
      <c r="AD52" s="1672"/>
      <c r="AE52" s="1672"/>
    </row>
    <row s="3292" customFormat="1" customHeight="1" ht="11.25">
      <c r="A53" s="994"/>
      <c r="C53" s="1676"/>
      <c r="D53" s="1678"/>
      <c r="E53" s="552" t="str">
        <f>FHD_NUM_P_17</f>
        <v>2.5.1</v>
      </c>
      <c r="F53" s="1690" t="str">
        <f>FHD_P_17</f>
        <v>Расходы на оплату труда административно-управленческого персонала</v>
      </c>
      <c r="G53" s="1921" t="s">
        <v>536</v>
      </c>
      <c r="H53" s="563"/>
      <c r="I53" s="563"/>
      <c r="J53" s="277" t="str">
        <f>FHD_NOTE_P_17</f>
        <v/>
      </c>
      <c r="K53" s="1676" t="str">
        <f>IF((LEN(E53)-LEN(SUBSTITUTE(E53,".","")))/LEN(".")=1,"p","")</f>
        <v/>
      </c>
      <c r="L53" s="1676"/>
      <c r="M53" s="1682"/>
      <c r="N53" s="543"/>
      <c r="O53" s="543"/>
      <c r="R53" s="1676"/>
      <c r="U53" s="550"/>
      <c r="AA53" s="1672"/>
      <c r="AB53" s="1672"/>
      <c r="AC53" s="1672"/>
      <c r="AD53" s="1672"/>
      <c r="AE53" s="1672"/>
    </row>
    <row s="3292" customFormat="1" customHeight="1" ht="11.25">
      <c r="A54" s="994"/>
      <c r="C54" s="1676"/>
      <c r="D54" s="1678"/>
      <c r="E54" s="552" t="str">
        <f>FHD_NUM_P_18</f>
        <v>2.5.2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536</v>
      </c>
      <c r="H54" s="563"/>
      <c r="I54" s="563"/>
      <c r="J54" s="277" t="str">
        <f>FHD_NOTE_P_18</f>
        <v/>
      </c>
      <c r="K54" s="1676" t="str">
        <f>IF((LEN(E54)-LEN(SUBSTITUTE(E54,".","")))/LEN(".")=1,"p","")</f>
        <v/>
      </c>
      <c r="L54" s="1676"/>
      <c r="M54" s="1682"/>
      <c r="N54" s="543"/>
      <c r="O54" s="543"/>
      <c r="R54" s="1676"/>
      <c r="U54" s="550"/>
      <c r="AA54" s="1672"/>
      <c r="AB54" s="1672"/>
      <c r="AC54" s="1672"/>
      <c r="AD54" s="1672"/>
      <c r="AE54" s="1672"/>
    </row>
    <row s="3292" customFormat="1" customHeight="1" ht="11.25">
      <c r="A55" s="994"/>
      <c r="C55" s="1676"/>
      <c r="D55" s="581"/>
      <c r="E55" s="552" t="str">
        <f>FHD_NUM_P_19</f>
        <v>2.6</v>
      </c>
      <c r="F55" s="1554" t="str">
        <f>FHD_P_19</f>
        <v>Расходы на амортизацию основных средств и нематериальных активов</v>
      </c>
      <c r="G55" s="1921" t="s">
        <v>536</v>
      </c>
      <c r="H55" s="563"/>
      <c r="I55" s="563"/>
      <c r="J55" s="277" t="str">
        <f>FHD_NOTE_P_19</f>
        <v/>
      </c>
      <c r="K55" s="1676" t="str">
        <f>IF((LEN(E55)-LEN(SUBSTITUTE(E55,".","")))/LEN(".")=1,"p","")</f>
        <v>p</v>
      </c>
      <c r="L55" s="1676"/>
      <c r="M55" s="1676"/>
      <c r="R55" s="1676"/>
      <c r="U55" s="550"/>
      <c r="AA55" s="1672"/>
      <c r="AB55" s="1672"/>
      <c r="AC55" s="1672"/>
      <c r="AD55" s="1672"/>
      <c r="AE55" s="1672"/>
    </row>
    <row s="3292" customFormat="1" customHeight="1" ht="11.25">
      <c r="A56" s="994"/>
      <c r="C56" s="1676"/>
      <c r="D56" s="581"/>
      <c r="E56" s="552" t="str">
        <f>FHD_NUM_P_20</f>
        <v>2.6.1</v>
      </c>
      <c r="F56" s="1690" t="str">
        <f>FHD_P_20</f>
        <v>Расходы на амортизацию основных средств</v>
      </c>
      <c r="G56" s="1921" t="s">
        <v>536</v>
      </c>
      <c r="H56" s="563"/>
      <c r="I56" s="563"/>
      <c r="J56" s="277" t="str">
        <f>FHD_NOTE_P_20</f>
        <v/>
      </c>
      <c r="K56" s="1676" t="str">
        <f>IF((LEN(E56)-LEN(SUBSTITUTE(E56,".","")))/LEN(".")=1,"p","")</f>
        <v/>
      </c>
      <c r="L56" s="1676"/>
      <c r="M56" s="1676"/>
      <c r="R56" s="1676"/>
      <c r="U56" s="550"/>
      <c r="AA56" s="1672"/>
      <c r="AB56" s="1672"/>
      <c r="AC56" s="1672"/>
      <c r="AD56" s="1672"/>
      <c r="AE56" s="1672"/>
    </row>
    <row s="3292" customFormat="1" customHeight="1" ht="11.25">
      <c r="A57" s="994"/>
      <c r="C57" s="1676"/>
      <c r="D57" s="581"/>
      <c r="E57" s="552" t="str">
        <f>FHD_NUM_P_21</f>
        <v>2.6.2</v>
      </c>
      <c r="F57" s="1690" t="str">
        <f>FHD_P_21</f>
        <v>Расходы на амортизацию нематериальных активов</v>
      </c>
      <c r="G57" s="1921" t="s">
        <v>536</v>
      </c>
      <c r="H57" s="563"/>
      <c r="I57" s="563"/>
      <c r="J57" s="277" t="str">
        <f>FHD_NOTE_P_21</f>
        <v/>
      </c>
      <c r="K57" s="1676" t="str">
        <f>IF((LEN(E57)-LEN(SUBSTITUTE(E57,".","")))/LEN(".")=1,"p","")</f>
        <v/>
      </c>
      <c r="L57" s="1676"/>
      <c r="M57" s="1676"/>
      <c r="R57" s="1676"/>
      <c r="U57" s="550"/>
      <c r="AA57" s="1672"/>
      <c r="AB57" s="1672"/>
      <c r="AC57" s="1672"/>
      <c r="AD57" s="1672"/>
      <c r="AE57" s="1672"/>
    </row>
    <row s="3292" customFormat="1" customHeight="1" ht="11.25">
      <c r="A58" s="994"/>
      <c r="C58" s="1676"/>
      <c r="D58" s="1678"/>
      <c r="E58" s="552" t="str">
        <f>FHD_NUM_P_22</f>
        <v>2.7</v>
      </c>
      <c r="F58" s="1554" t="str">
        <f>FHD_P_22</f>
        <v>Расходы на аренду имущества, используемого для осуществления регулируемых видов деятельности в сфере холодного водоснабжения</v>
      </c>
      <c r="G58" s="1921" t="s">
        <v>536</v>
      </c>
      <c r="H58" s="563"/>
      <c r="I58" s="563"/>
      <c r="J58" s="277" t="str">
        <f>FHD_NOTE_P_22</f>
        <v/>
      </c>
      <c r="K58" s="1676" t="str">
        <f>IF((LEN(E58)-LEN(SUBSTITUTE(E58,".","")))/LEN(".")=1,"p","")</f>
        <v>p</v>
      </c>
      <c r="L58" s="1676"/>
      <c r="M58" s="1676"/>
      <c r="R58" s="1676"/>
      <c r="U58" s="550"/>
      <c r="AA58" s="1672"/>
      <c r="AB58" s="1672"/>
      <c r="AC58" s="1672"/>
      <c r="AD58" s="1672"/>
      <c r="AE58" s="1672"/>
    </row>
    <row s="3292" customFormat="1" customHeight="1" ht="11.25">
      <c r="A59" s="994"/>
      <c r="C59" s="1676"/>
      <c r="D59" s="581"/>
      <c r="E59" s="552" t="str">
        <f>FHD_NUM_P_23</f>
        <v>2.8</v>
      </c>
      <c r="F59" s="1554" t="str">
        <f>FHD_P_23</f>
        <v>Общепроизводственные расходы, в том числе:</v>
      </c>
      <c r="G59" s="1921" t="s">
        <v>536</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2" customFormat="1" customHeight="1" ht="11.25">
      <c r="A60" s="994"/>
      <c r="C60" s="1676"/>
      <c r="D60" s="581"/>
      <c r="E60" s="552" t="str">
        <f>FHD_NUM_P_24</f>
        <v>2.8.1</v>
      </c>
      <c r="F60" s="1690" t="str">
        <f>FHD_P_24</f>
        <v>Расходы на текущий ремонт</v>
      </c>
      <c r="G60" s="1921" t="s">
        <v>536</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2" customFormat="1" customHeight="1" ht="11.25">
      <c r="A61" s="994"/>
      <c r="C61" s="1676"/>
      <c r="D61" s="581"/>
      <c r="E61" s="552" t="str">
        <f>FHD_NUM_P_25</f>
        <v>2.8.2</v>
      </c>
      <c r="F61" s="1690" t="str">
        <f>FHD_P_25</f>
        <v>Расходы на капитальный ремонт</v>
      </c>
      <c r="G61" s="1921" t="s">
        <v>536</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2" customFormat="1" customHeight="1" ht="11.25">
      <c r="A62" s="994"/>
      <c r="C62" s="1676"/>
      <c r="D62" s="1678"/>
      <c r="E62" s="552" t="str">
        <f>FHD_NUM_P_26</f>
        <v>2.9</v>
      </c>
      <c r="F62" s="1554" t="str">
        <f>FHD_P_26</f>
        <v>Общехозяйственные расходы, в том числе:</v>
      </c>
      <c r="G62" s="1921" t="s">
        <v>536</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2" customFormat="1" customHeight="1" ht="11.25">
      <c r="A63" s="994"/>
      <c r="C63" s="1676"/>
      <c r="D63" s="1678"/>
      <c r="E63" s="552" t="str">
        <f>FHD_NUM_P_27</f>
        <v>2.9.1</v>
      </c>
      <c r="F63" s="1690" t="str">
        <f>FHD_P_27</f>
        <v>Расходы на текущий ремонт</v>
      </c>
      <c r="G63" s="1921" t="s">
        <v>536</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2" customFormat="1" customHeight="1" ht="11.25">
      <c r="A64" s="994"/>
      <c r="C64" s="1676"/>
      <c r="D64" s="1678"/>
      <c r="E64" s="552" t="str">
        <f>FHD_NUM_P_28</f>
        <v>2.9.2</v>
      </c>
      <c r="F64" s="1690" t="str">
        <f>FHD_P_28</f>
        <v>Расходы на капитальный ремонт</v>
      </c>
      <c r="G64" s="1921" t="s">
        <v>536</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2" customFormat="1" customHeight="1" ht="11.25">
      <c r="A65" s="994"/>
      <c r="C65" s="1676"/>
      <c r="D65" s="1678"/>
      <c r="E65" s="552" t="str">
        <f>FHD_NUM_P_29</f>
        <v>2.10</v>
      </c>
      <c r="F65" s="1554" t="str">
        <f>FHD_P_29</f>
        <v>Расходы на капитальный и текущий ремонт основных средств</v>
      </c>
      <c r="G65" s="1921" t="s">
        <v>536</v>
      </c>
      <c r="H65" s="563"/>
      <c r="I65" s="563"/>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2" customFormat="1" customHeight="1" ht="11.25">
      <c r="A66" s="994"/>
      <c r="C66" s="1676"/>
      <c r="D66" s="1678"/>
      <c r="E66" s="552" t="str">
        <f>FHD_NUM_P_30</f>
        <v>2.10.1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294</v>
      </c>
      <c r="H66" s="1689" t="s">
        <v>559</v>
      </c>
      <c r="I66" s="1689" t="s">
        <v>559</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2" customFormat="1" customHeight="1" ht="22.5">
      <c r="A67" s="2210" t="s">
        <v>560</v>
      </c>
      <c r="C67" s="1676"/>
      <c r="D67" s="1678"/>
      <c r="E67" s="552" t="str">
        <f>FHD_NUM_P_31</f>
        <v>2.11</v>
      </c>
      <c r="F67" s="155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21" t="s">
        <v>536</v>
      </c>
      <c r="H67" s="563"/>
      <c r="I67" s="563"/>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6" t="str">
        <f>IF((LEN(E67)-LEN(SUBSTITUTE(E67,".","")))/LEN(".")=1,"p","")</f>
        <v>p</v>
      </c>
      <c r="L67" s="1676"/>
      <c r="M67" s="1676"/>
      <c r="R67" s="1676"/>
      <c r="U67" s="550"/>
      <c r="AA67" s="1672"/>
      <c r="AB67" s="1672"/>
      <c r="AC67" s="1672"/>
      <c r="AD67" s="1672"/>
      <c r="AE67" s="1672"/>
    </row>
    <row s="3292" customFormat="1" customHeight="1" ht="45">
      <c r="A68" s="2210"/>
      <c r="C68" s="1676"/>
      <c r="D68" s="1678"/>
      <c r="E68" s="552" t="str">
        <f>FHD_NUM_P_32</f>
        <v>2.11.1</v>
      </c>
      <c r="F68" s="169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1" t="s">
        <v>294</v>
      </c>
      <c r="H68" s="1689" t="s">
        <v>559</v>
      </c>
      <c r="I68" s="1689" t="s">
        <v>559</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2" customFormat="1" customHeight="1" ht="11.25">
      <c r="A69" s="994"/>
      <c r="C69" s="1676"/>
      <c r="D69" s="1678"/>
      <c r="E69" s="552" t="str">
        <f>FHD_NUM_P_33</f>
        <v>2.12</v>
      </c>
      <c r="F69" s="155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22" t="s">
        <v>536</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6" t="str">
        <f>IF((LEN(E69)-LEN(SUBSTITUTE(E69,".","")))/LEN(".")=1,"p","")</f>
        <v>p</v>
      </c>
      <c r="L69" s="1676"/>
      <c r="M69" s="1676"/>
      <c r="R69" s="1676"/>
      <c r="U69" s="550"/>
      <c r="AA69" s="1672"/>
      <c r="AB69" s="1672"/>
      <c r="AC69" s="1672"/>
      <c r="AD69" s="1672"/>
      <c r="AE69" s="1672"/>
    </row>
    <row s="4716" customFormat="1" customHeight="1" ht="0.75">
      <c r="A70" s="1175"/>
      <c r="D70" s="554"/>
      <c r="E70" s="1020" t="str">
        <f>E69&amp;".0"</f>
        <v>2.12.0</v>
      </c>
      <c r="F70" s="998"/>
      <c r="G70" s="1020"/>
      <c r="H70" s="999"/>
      <c r="I70" s="999"/>
      <c r="J70" s="1000"/>
      <c r="K70" s="1676" t="str">
        <f>IF((LEN(E70)-LEN(SUBSTITUTE(E70,".","")))/LEN(".")=1,"p","")</f>
        <v/>
      </c>
    </row>
    <row s="3292" customFormat="1" customHeight="1" ht="14.25">
      <c r="A71" s="994"/>
      <c r="C71" s="1676"/>
      <c r="D71" s="1673"/>
      <c r="E71" s="576"/>
      <c r="F71" s="577" t="s">
        <v>561</v>
      </c>
      <c r="G71" s="578"/>
      <c r="H71" s="579"/>
      <c r="I71" s="579"/>
      <c r="J71" s="289"/>
      <c r="K71" s="1676"/>
      <c r="L71" s="1676"/>
      <c r="M71" s="1676"/>
      <c r="R71" s="1676"/>
      <c r="U71" s="550"/>
      <c r="AA71" s="1672"/>
      <c r="AB71" s="1672"/>
      <c r="AC71" s="1672"/>
      <c r="AD71" s="1672"/>
      <c r="AE71" s="1672"/>
    </row>
    <row s="3292" customFormat="1" customHeight="1" ht="18.75" hidden="1">
      <c r="A72" s="996" t="s">
        <v>562</v>
      </c>
      <c r="C72" s="1676"/>
      <c r="D72" s="1678"/>
      <c r="E72" s="552" t="str">
        <f>FHD_NUM_P_34</f>
        <v/>
      </c>
      <c r="F72" s="1923" t="str">
        <f>FHD_P_34</f>
        <v/>
      </c>
      <c r="G72" s="1921" t="s">
        <v>536</v>
      </c>
      <c r="H72" s="563"/>
      <c r="I72" s="563"/>
      <c r="J72" s="277" t="str">
        <f>FHD_NOTE_P_34</f>
        <v/>
      </c>
      <c r="K72" s="549"/>
      <c r="L72" s="1676"/>
      <c r="M72" s="1676"/>
      <c r="R72" s="1676"/>
      <c r="U72" s="550"/>
      <c r="AA72" s="1672"/>
      <c r="AB72" s="1672"/>
      <c r="AC72" s="1672"/>
      <c r="AD72" s="1672"/>
      <c r="AE72" s="1672"/>
    </row>
    <row s="3292" customFormat="1" customHeight="1" ht="18.75">
      <c r="A73" s="994"/>
      <c r="C73" s="1676"/>
      <c r="D73" s="581"/>
      <c r="E73" s="552" t="str">
        <f>FHD_NUM_P_35</f>
        <v>3</v>
      </c>
      <c r="F73" s="1923" t="str">
        <f>FHD_P_35</f>
        <v>Чистая прибыль, полученная от регулируемого вида деятельности в сфере холодного водоснабжения, в том числе:</v>
      </c>
      <c r="G73" s="1921" t="s">
        <v>536</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2" customFormat="1" customHeight="1" ht="18.75">
      <c r="A74" s="994"/>
      <c r="C74" s="1676"/>
      <c r="D74" s="1678"/>
      <c r="E74" s="552" t="str">
        <f>FHD_NUM_P_36</f>
        <v>3.1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536</v>
      </c>
      <c r="H74" s="563"/>
      <c r="I74" s="563"/>
      <c r="J74" s="277" t="str">
        <f>FHD_NOTE_P_36</f>
        <v/>
      </c>
      <c r="K74" s="549"/>
      <c r="L74" s="1676"/>
      <c r="M74" s="1676"/>
      <c r="R74" s="1676"/>
      <c r="U74" s="550"/>
      <c r="AA74" s="1672"/>
      <c r="AB74" s="1672"/>
      <c r="AC74" s="1672"/>
      <c r="AD74" s="1672"/>
      <c r="AE74" s="1672"/>
    </row>
    <row s="3292" customFormat="1" customHeight="1" ht="18.75">
      <c r="A75" s="994"/>
      <c r="C75" s="1676"/>
      <c r="D75" s="1678"/>
      <c r="E75" s="552" t="str">
        <f>FHD_NUM_P_37</f>
        <v>4</v>
      </c>
      <c r="F75" s="1923" t="str">
        <f>FHD_P_37</f>
        <v>Изменение стоимости основных фондов, в том числе:</v>
      </c>
      <c r="G75" s="1921" t="s">
        <v>536</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2" customFormat="1" customHeight="1" ht="18.75">
      <c r="A76" s="994"/>
      <c r="C76" s="1676"/>
      <c r="D76" s="1678"/>
      <c r="E76" s="552" t="str">
        <f>FHD_NUM_P_38</f>
        <v>4.1</v>
      </c>
      <c r="F76" s="1554" t="str">
        <f>FHD_P_38</f>
        <v>Изменение стоимости основных фондов за счет их ввода в эксплуатацию (вывода из эксплуатации)</v>
      </c>
      <c r="G76" s="1921" t="s">
        <v>536</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2" customFormat="1" customHeight="1" ht="18.75">
      <c r="A77" s="994"/>
      <c r="C77" s="1676"/>
      <c r="D77" s="1678"/>
      <c r="E77" s="552" t="str">
        <f>FHD_NUM_P_39</f>
        <v>4.1.1</v>
      </c>
      <c r="F77" s="1690" t="str">
        <f>FHD_P_39</f>
        <v>Изменение стоимости основных фондов за счет их ввода в эксплуатацию</v>
      </c>
      <c r="G77" s="1921" t="s">
        <v>536</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2" customFormat="1" customHeight="1" ht="18.75">
      <c r="A78" s="994"/>
      <c r="C78" s="1676"/>
      <c r="D78" s="1678"/>
      <c r="E78" s="552" t="str">
        <f>FHD_NUM_P_40</f>
        <v>4.1.2</v>
      </c>
      <c r="F78" s="1690" t="str">
        <f>FHD_P_40</f>
        <v>Изменение стоимости основных фондов за счет их вывода в эксплуатацию</v>
      </c>
      <c r="G78" s="1921" t="s">
        <v>536</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2" customFormat="1" customHeight="1" ht="18.75">
      <c r="A79" s="994"/>
      <c r="C79" s="1676"/>
      <c r="D79" s="1678"/>
      <c r="E79" s="552" t="str">
        <f>FHD_NUM_P_41</f>
        <v>4.2</v>
      </c>
      <c r="F79" s="1554" t="str">
        <f>FHD_P_41</f>
        <v>Изменение стоимости основных фондов за счет их переоценки</v>
      </c>
      <c r="G79" s="1922" t="s">
        <v>536</v>
      </c>
      <c r="H79" s="563"/>
      <c r="I79" s="563"/>
      <c r="J79" s="277" t="str">
        <f>FHD_NOTE_P_41</f>
        <v/>
      </c>
      <c r="K79" s="549"/>
      <c r="L79" s="1676"/>
      <c r="M79" s="1676"/>
      <c r="R79" s="1676"/>
      <c r="U79" s="550"/>
      <c r="AA79" s="1672"/>
      <c r="AB79" s="1672"/>
      <c r="AC79" s="1672"/>
      <c r="AD79" s="1672"/>
      <c r="AE79" s="1672"/>
    </row>
    <row s="3292" customFormat="1" customHeight="1" ht="18.75">
      <c r="A80" s="996" t="s">
        <v>563</v>
      </c>
      <c r="C80" s="1676"/>
      <c r="D80" s="1678"/>
      <c r="E80" s="552" t="str">
        <f>FHD_NUM_P_42</f>
        <v>5</v>
      </c>
      <c r="F80" s="1923" t="str">
        <f>FHD_P_42</f>
        <v>Валовая прибыль (убытки) от продажи товаров и услуг по регулируемым видам деятельности в сфере холодного водоснабжения</v>
      </c>
      <c r="G80" s="1921" t="s">
        <v>536</v>
      </c>
      <c r="H80" s="983"/>
      <c r="I80" s="563"/>
      <c r="J80" s="277" t="str">
        <f>FHD_NOTE_P_42</f>
        <v/>
      </c>
      <c r="K80" s="549"/>
      <c r="L80" s="1676"/>
      <c r="M80" s="1676"/>
      <c r="R80" s="1676"/>
      <c r="U80" s="550"/>
      <c r="AA80" s="1672"/>
      <c r="AB80" s="1672"/>
      <c r="AC80" s="1672"/>
      <c r="AD80" s="1672"/>
      <c r="AE80" s="1672"/>
    </row>
    <row s="3292"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294</v>
      </c>
      <c r="H81" s="1062"/>
      <c r="I81" s="824"/>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9"/>
      <c r="L81" s="1676"/>
      <c r="M81" s="1676"/>
      <c r="R81" s="1676"/>
      <c r="U81" s="550"/>
      <c r="AA81" s="1672"/>
      <c r="AB81" s="1672"/>
      <c r="AC81" s="1672"/>
      <c r="AD81" s="1672"/>
      <c r="AE81" s="1672"/>
    </row>
    <row s="4787" customFormat="1" customHeight="1" ht="18.75">
      <c r="A82" s="2210" t="s">
        <v>564</v>
      </c>
      <c r="C82" s="741"/>
      <c r="D82" s="739"/>
      <c r="E82" s="552" t="str">
        <f>FHD_NUM_P_44</f>
        <v>7</v>
      </c>
      <c r="F82" s="1923" t="str">
        <f>FHD_P_44</f>
        <v>Объём поднятой воды</v>
      </c>
      <c r="G82" s="1924" t="s">
        <v>565</v>
      </c>
      <c r="H82" s="984"/>
      <c r="I82" s="583"/>
      <c r="J82" s="277" t="str">
        <f>FHD_NOTE_P_44</f>
        <v/>
      </c>
      <c r="K82" s="740"/>
      <c r="L82" s="741"/>
      <c r="M82" s="741"/>
      <c r="R82" s="741"/>
      <c r="U82" s="742"/>
      <c r="AA82" s="743"/>
      <c r="AB82" s="743"/>
      <c r="AC82" s="743"/>
      <c r="AD82" s="743"/>
      <c r="AE82" s="743"/>
    </row>
    <row s="4787" customFormat="1" customHeight="1" ht="18.75">
      <c r="A83" s="2210"/>
      <c r="C83" s="741"/>
      <c r="D83" s="739"/>
      <c r="E83" s="552" t="str">
        <f>FHD_NUM_P_45</f>
        <v>8</v>
      </c>
      <c r="F83" s="1923" t="str">
        <f>FHD_P_45</f>
        <v>Объём покупной воды</v>
      </c>
      <c r="G83" s="1924" t="s">
        <v>565</v>
      </c>
      <c r="H83" s="984"/>
      <c r="I83" s="583"/>
      <c r="J83" s="277" t="str">
        <f>FHD_NOTE_P_45</f>
        <v/>
      </c>
      <c r="K83" s="740"/>
      <c r="L83" s="741"/>
      <c r="M83" s="741"/>
      <c r="R83" s="741"/>
      <c r="U83" s="742"/>
      <c r="AA83" s="743"/>
      <c r="AB83" s="743"/>
      <c r="AC83" s="743"/>
      <c r="AD83" s="743"/>
      <c r="AE83" s="743"/>
    </row>
    <row s="4787" customFormat="1" customHeight="1" ht="18.75">
      <c r="A84" s="2210"/>
      <c r="C84" s="741"/>
      <c r="D84" s="744"/>
      <c r="E84" s="552" t="str">
        <f>FHD_NUM_P_46</f>
        <v>9</v>
      </c>
      <c r="F84" s="1923" t="str">
        <f>FHD_P_46</f>
        <v>Объём воды, пропущенной через очистные сооружения</v>
      </c>
      <c r="G84" s="1924" t="s">
        <v>565</v>
      </c>
      <c r="H84" s="984"/>
      <c r="I84" s="583"/>
      <c r="J84" s="277" t="str">
        <f>FHD_NOTE_P_46</f>
        <v/>
      </c>
      <c r="K84" s="740"/>
      <c r="L84" s="741"/>
      <c r="M84" s="741"/>
      <c r="R84" s="741"/>
      <c r="U84" s="742"/>
      <c r="AA84" s="743"/>
      <c r="AB84" s="743"/>
      <c r="AC84" s="743"/>
      <c r="AD84" s="743"/>
      <c r="AE84" s="743"/>
    </row>
    <row s="4787" customFormat="1" customHeight="1" ht="18.75">
      <c r="A85" s="2210"/>
      <c r="C85" s="741"/>
      <c r="D85" s="739"/>
      <c r="E85" s="552" t="str">
        <f>FHD_NUM_P_47</f>
        <v>10</v>
      </c>
      <c r="F85" s="1923" t="str">
        <f>FHD_P_47</f>
        <v>Объём отпущенной потребителям воды, в том числе:</v>
      </c>
      <c r="G85" s="1924" t="s">
        <v>565</v>
      </c>
      <c r="H85" s="984"/>
      <c r="I85" s="583"/>
      <c r="J85" s="277" t="str">
        <f>FHD_NOTE_P_47</f>
        <v>Указывается общий объем отпущенной потребителям воды.</v>
      </c>
      <c r="K85" s="740"/>
      <c r="L85" s="741"/>
      <c r="M85" s="741"/>
      <c r="R85" s="741"/>
      <c r="U85" s="742"/>
      <c r="AA85" s="743"/>
      <c r="AB85" s="743"/>
      <c r="AC85" s="743"/>
      <c r="AD85" s="743"/>
      <c r="AE85" s="743"/>
    </row>
    <row s="4796" customFormat="1" customHeight="1" ht="18.75">
      <c r="A86" s="2210"/>
      <c r="B86" s="916"/>
      <c r="C86" s="741"/>
      <c r="D86" s="739"/>
      <c r="E86" s="552" t="str">
        <f>FHD_NUM_P_48</f>
        <v>10.1</v>
      </c>
      <c r="F86" s="1923" t="str">
        <f>FHD_P_48</f>
        <v>Объём отпущенной потребителям воды, определенный по приборам учета</v>
      </c>
      <c r="G86" s="1924" t="s">
        <v>565</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4796" customFormat="1" customHeight="1" ht="18.75">
      <c r="A87" s="2210"/>
      <c r="B87" s="916"/>
      <c r="C87" s="741"/>
      <c r="D87" s="739"/>
      <c r="E87" s="552" t="str">
        <f>FHD_NUM_P_49</f>
        <v>10.2</v>
      </c>
      <c r="F87" s="1923" t="str">
        <f>FHD_P_49</f>
        <v>Объём отпущенной потребителям воды, определенный расчетным способом</v>
      </c>
      <c r="G87" s="1924" t="s">
        <v>565</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4796" customFormat="1" customHeight="1" ht="18.75">
      <c r="A88" s="2210"/>
      <c r="B88" s="916"/>
      <c r="C88" s="741"/>
      <c r="D88" s="739"/>
      <c r="E88" s="552" t="str">
        <f>FHD_NUM_P_50</f>
        <v>10.2.1</v>
      </c>
      <c r="F88" s="1923" t="str">
        <f>FHD_P_50</f>
        <v>Объём отпущенной потребителям воды, определенный по нормативам потребления коммунальных услуг</v>
      </c>
      <c r="G88" s="1924" t="s">
        <v>565</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4796" customFormat="1" customHeight="1" ht="18.75">
      <c r="A89" s="2210"/>
      <c r="B89" s="916"/>
      <c r="C89" s="741"/>
      <c r="D89" s="739"/>
      <c r="E89" s="552" t="str">
        <f>FHD_NUM_P_51</f>
        <v>10.2.2</v>
      </c>
      <c r="F89" s="1923" t="str">
        <f>FHD_P_51</f>
        <v>Объём отпущенной потребителям воды, определенный по нормативам потребления коммунальных ресурсов </v>
      </c>
      <c r="G89" s="1924" t="s">
        <v>565</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4796" customFormat="1" customHeight="1" ht="18.75">
      <c r="A90" s="2210"/>
      <c r="B90" s="916"/>
      <c r="C90" s="741"/>
      <c r="D90" s="739"/>
      <c r="E90" s="552" t="str">
        <f>FHD_NUM_P_52</f>
        <v>11</v>
      </c>
      <c r="F90" s="1923" t="str">
        <f>FHD_P_52</f>
        <v>Потери воды в сетях</v>
      </c>
      <c r="G90" s="1924" t="s">
        <v>542</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4787" customFormat="1" customHeight="1" ht="18.75" hidden="1">
      <c r="A91" s="2212" t="s">
        <v>566</v>
      </c>
      <c r="C91" s="741"/>
      <c r="D91" s="739"/>
      <c r="E91" s="552" t="str">
        <f>FHD_NUM_P_53</f>
        <v/>
      </c>
      <c r="F91" s="1923" t="str">
        <f>FHD_P_53</f>
        <v/>
      </c>
      <c r="G91" s="1924" t="s">
        <v>565</v>
      </c>
      <c r="H91" s="984"/>
      <c r="I91" s="583"/>
      <c r="J91" s="277" t="str">
        <f>FHD_NOTE_P_53</f>
        <v/>
      </c>
      <c r="K91" s="740"/>
      <c r="L91" s="741"/>
      <c r="M91" s="741"/>
      <c r="R91" s="741"/>
      <c r="U91" s="742"/>
      <c r="AA91" s="743"/>
      <c r="AB91" s="743"/>
      <c r="AC91" s="743"/>
      <c r="AD91" s="743"/>
      <c r="AE91" s="743"/>
    </row>
    <row s="4787" customFormat="1" customHeight="1" ht="18.75" hidden="1">
      <c r="A92" s="2212"/>
      <c r="C92" s="741"/>
      <c r="D92" s="739"/>
      <c r="E92" s="552" t="str">
        <f>FHD_NUM_P_54</f>
        <v/>
      </c>
      <c r="F92" s="1923" t="str">
        <f>FHD_P_54</f>
        <v/>
      </c>
      <c r="G92" s="1924" t="s">
        <v>565</v>
      </c>
      <c r="H92" s="984"/>
      <c r="I92" s="583"/>
      <c r="J92" s="277" t="str">
        <f>FHD_NOTE_P_54</f>
        <v/>
      </c>
      <c r="K92" s="740"/>
      <c r="L92" s="741"/>
      <c r="M92" s="741"/>
      <c r="R92" s="741"/>
      <c r="U92" s="742"/>
      <c r="AA92" s="743"/>
      <c r="AB92" s="743"/>
      <c r="AC92" s="743"/>
      <c r="AD92" s="743"/>
      <c r="AE92" s="743"/>
    </row>
    <row s="4787"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4787" customFormat="1" customHeight="1" ht="18.75" hidden="1">
      <c r="A94" s="2212"/>
      <c r="C94" s="741"/>
      <c r="D94" s="739"/>
      <c r="E94" s="552" t="str">
        <f>FHD_NUM_P_56</f>
        <v/>
      </c>
      <c r="F94" s="1923" t="str">
        <f>FHD_P_56</f>
        <v/>
      </c>
      <c r="G94" s="1924" t="s">
        <v>567</v>
      </c>
      <c r="H94" s="984"/>
      <c r="I94" s="583"/>
      <c r="J94" s="277" t="str">
        <f>FHD_NOTE_P_56</f>
        <v/>
      </c>
      <c r="K94" s="740"/>
      <c r="L94" s="741"/>
      <c r="M94" s="741"/>
      <c r="R94" s="741"/>
      <c r="U94" s="742"/>
      <c r="AA94" s="743"/>
      <c r="AB94" s="743"/>
      <c r="AC94" s="743"/>
      <c r="AD94" s="743"/>
      <c r="AE94" s="743"/>
    </row>
    <row s="4796" customFormat="1" customHeight="1" ht="18.75" hidden="1">
      <c r="A95" s="2212"/>
      <c r="B95" s="916"/>
      <c r="C95" s="741"/>
      <c r="D95" s="739"/>
      <c r="E95" s="552" t="str">
        <f>FHD_NUM_P_57</f>
        <v/>
      </c>
      <c r="F95" s="1923" t="str">
        <f>FHD_P_57</f>
        <v/>
      </c>
      <c r="G95" s="1924" t="s">
        <v>542</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568</v>
      </c>
      <c r="D96" s="1678"/>
      <c r="E96" s="552" t="str">
        <f>FHD_NUM_P_58</f>
        <v/>
      </c>
      <c r="F96" s="1923" t="str">
        <f>FHD_P_58</f>
        <v/>
      </c>
      <c r="G96" s="1924" t="s">
        <v>565</v>
      </c>
      <c r="H96" s="984"/>
      <c r="I96" s="583"/>
      <c r="J96" s="277" t="str">
        <f>FHD_NOTE_P_58</f>
        <v/>
      </c>
      <c r="K96" s="549"/>
    </row>
    <row customHeight="1" ht="18.75" hidden="1">
      <c r="A97" s="2210"/>
      <c r="D97" s="1678"/>
      <c r="E97" s="552" t="str">
        <f>FHD_NUM_P_59</f>
        <v/>
      </c>
      <c r="F97" s="1923" t="str">
        <f>FHD_P_59</f>
        <v/>
      </c>
      <c r="G97" s="1924" t="s">
        <v>565</v>
      </c>
      <c r="H97" s="984"/>
      <c r="I97" s="583"/>
      <c r="J97" s="277" t="str">
        <f>FHD_NOTE_P_59</f>
        <v/>
      </c>
      <c r="K97" s="549"/>
    </row>
    <row customHeight="1" ht="18.75" hidden="1">
      <c r="A98" s="2210"/>
      <c r="D98" s="1678"/>
      <c r="E98" s="552" t="str">
        <f>FHD_NUM_P_60</f>
        <v/>
      </c>
      <c r="F98" s="1923" t="str">
        <f>FHD_P_60</f>
        <v/>
      </c>
      <c r="G98" s="1924" t="s">
        <v>565</v>
      </c>
      <c r="H98" s="984"/>
      <c r="I98" s="583"/>
      <c r="J98" s="277" t="str">
        <f>FHD_NOTE_P_60</f>
        <v/>
      </c>
      <c r="K98" s="549"/>
    </row>
    <row s="3292" customFormat="1" customHeight="1" ht="18.75" hidden="1">
      <c r="A99" s="2210" t="s">
        <v>569</v>
      </c>
      <c r="C99" s="1676"/>
      <c r="D99" s="1678"/>
      <c r="E99" s="552" t="str">
        <f>FHD_NUM_P_61</f>
        <v/>
      </c>
      <c r="F99" s="1923" t="str">
        <f>FHD_P_61</f>
        <v/>
      </c>
      <c r="G99" s="1921" t="s">
        <v>540</v>
      </c>
      <c r="H99" s="986"/>
      <c r="I99" s="748"/>
      <c r="J99" s="277" t="str">
        <f>FHD_NOTE_P_61</f>
        <v/>
      </c>
      <c r="K99" s="549"/>
      <c r="L99" s="1676"/>
      <c r="M99" s="1676"/>
      <c r="R99" s="1676"/>
      <c r="U99" s="550"/>
      <c r="AA99" s="1672"/>
      <c r="AB99" s="1672"/>
      <c r="AC99" s="1672"/>
      <c r="AD99" s="1672"/>
      <c r="AE99" s="1672"/>
    </row>
    <row s="4716" customFormat="1" customHeight="1" ht="0.75" hidden="1">
      <c r="A100" s="2210"/>
      <c r="D100" s="554"/>
      <c r="E100" s="1020" t="str">
        <f>E99&amp;".0"</f>
        <v>.0</v>
      </c>
      <c r="F100" s="1001"/>
      <c r="G100" s="1002"/>
      <c r="H100" s="999"/>
      <c r="I100" s="999"/>
      <c r="J100" s="1003"/>
    </row>
    <row customHeight="1" ht="15" hidden="1">
      <c r="A101" s="2210"/>
      <c r="D101" s="1673"/>
      <c r="E101" s="978"/>
      <c r="F101" s="979" t="s">
        <v>570</v>
      </c>
      <c r="G101" s="578"/>
      <c r="H101" s="579"/>
      <c r="I101" s="579"/>
      <c r="J101" s="1011" t="s">
        <v>571</v>
      </c>
      <c r="K101" s="549"/>
    </row>
    <row s="3292" customFormat="1" customHeight="1" ht="18.75" hidden="1">
      <c r="A102" s="2210"/>
      <c r="C102" s="1676"/>
      <c r="D102" s="1678"/>
      <c r="E102" s="552" t="str">
        <f>FHD_NUM_P_62</f>
        <v/>
      </c>
      <c r="F102" s="1923" t="str">
        <f>FHD_P_62</f>
        <v/>
      </c>
      <c r="G102" s="1920" t="s">
        <v>540</v>
      </c>
      <c r="H102" s="563"/>
      <c r="I102" s="563"/>
      <c r="J102" s="277" t="str">
        <f>FHD_NOTE_P_62</f>
        <v/>
      </c>
      <c r="K102" s="549"/>
      <c r="L102" s="1676"/>
      <c r="M102" s="1676"/>
      <c r="R102" s="1676"/>
      <c r="U102" s="550"/>
      <c r="AA102" s="1672"/>
      <c r="AB102" s="1672"/>
      <c r="AC102" s="1672"/>
      <c r="AD102" s="1672"/>
      <c r="AE102" s="1672"/>
    </row>
    <row s="3292" customFormat="1" customHeight="1" ht="18.75" hidden="1">
      <c r="A103" s="2210"/>
      <c r="C103" s="1676"/>
      <c r="D103" s="1678"/>
      <c r="E103" s="552" t="str">
        <f>FHD_NUM_P_63</f>
        <v/>
      </c>
      <c r="F103" s="1923" t="str">
        <f>FHD_P_63</f>
        <v/>
      </c>
      <c r="G103" s="1920" t="s">
        <v>567</v>
      </c>
      <c r="H103" s="583"/>
      <c r="I103" s="583"/>
      <c r="J103" s="277" t="str">
        <f>FHD_NOTE_P_63</f>
        <v/>
      </c>
      <c r="K103" s="549"/>
      <c r="L103" s="1676"/>
      <c r="M103" s="1676"/>
      <c r="R103" s="1676"/>
      <c r="U103" s="550"/>
      <c r="AA103" s="1672"/>
      <c r="AB103" s="1672"/>
      <c r="AC103" s="1672"/>
      <c r="AD103" s="1672"/>
      <c r="AE103" s="1672"/>
    </row>
    <row s="3292" customFormat="1" customHeight="1" ht="18.75" hidden="1">
      <c r="A104" s="2210"/>
      <c r="C104" s="1676" t="s">
        <v>572</v>
      </c>
      <c r="D104" s="1678"/>
      <c r="E104" s="552" t="str">
        <f>FHD_NUM_P_64</f>
        <v/>
      </c>
      <c r="F104" s="1923" t="str">
        <f>FHD_P_64</f>
        <v/>
      </c>
      <c r="G104" s="1920" t="s">
        <v>567</v>
      </c>
      <c r="H104" s="551"/>
      <c r="I104" s="551"/>
      <c r="J104" s="277" t="str">
        <f>FHD_NOTE_P_64</f>
        <v/>
      </c>
      <c r="K104" s="549"/>
      <c r="L104" s="1676"/>
      <c r="M104" s="1676"/>
      <c r="R104" s="1676"/>
      <c r="U104" s="550"/>
      <c r="AA104" s="1672"/>
      <c r="AB104" s="1672"/>
      <c r="AC104" s="1672"/>
      <c r="AD104" s="1672"/>
      <c r="AE104" s="1672"/>
    </row>
    <row s="3292" customFormat="1" customHeight="1" ht="18.75" hidden="1">
      <c r="A105" s="2210"/>
      <c r="C105" s="1676"/>
      <c r="D105" s="1678"/>
      <c r="E105" s="552" t="str">
        <f>FHD_NUM_P_65</f>
        <v/>
      </c>
      <c r="F105" s="1923" t="str">
        <f>FHD_P_65</f>
        <v/>
      </c>
      <c r="G105" s="1920" t="s">
        <v>567</v>
      </c>
      <c r="H105" s="583"/>
      <c r="I105" s="583"/>
      <c r="J105" s="277" t="str">
        <f>FHD_NOTE_P_65</f>
        <v/>
      </c>
      <c r="K105" s="549"/>
      <c r="L105" s="1676"/>
      <c r="M105" s="1676"/>
      <c r="R105" s="1676"/>
      <c r="U105" s="550"/>
      <c r="AA105" s="1672"/>
      <c r="AB105" s="1672"/>
      <c r="AC105" s="1672"/>
      <c r="AD105" s="1672"/>
      <c r="AE105" s="1672"/>
    </row>
    <row s="3292" customFormat="1" customHeight="1" ht="18.75" hidden="1">
      <c r="A106" s="2210"/>
      <c r="C106" s="1676"/>
      <c r="D106" s="1678"/>
      <c r="E106" s="552" t="str">
        <f>FHD_NUM_P_66</f>
        <v/>
      </c>
      <c r="F106" s="1554" t="str">
        <f>FHD_P_66</f>
        <v/>
      </c>
      <c r="G106" s="1920" t="s">
        <v>567</v>
      </c>
      <c r="H106" s="583"/>
      <c r="I106" s="583"/>
      <c r="J106" s="277" t="str">
        <f>FHD_NOTE_P_66</f>
        <v/>
      </c>
      <c r="K106" s="549"/>
      <c r="L106" s="1676"/>
      <c r="M106" s="1676"/>
      <c r="R106" s="1676"/>
      <c r="U106" s="550"/>
      <c r="AA106" s="1672"/>
      <c r="AB106" s="1672"/>
      <c r="AC106" s="1672"/>
      <c r="AD106" s="1672"/>
      <c r="AE106" s="1672"/>
    </row>
    <row s="3292" customFormat="1" customHeight="1" ht="18.75" hidden="1">
      <c r="A107" s="2210"/>
      <c r="C107" s="1676"/>
      <c r="D107" s="1678"/>
      <c r="E107" s="552" t="str">
        <f>FHD_NUM_P_67</f>
        <v/>
      </c>
      <c r="F107" s="1690" t="str">
        <f>FHD_P_67</f>
        <v/>
      </c>
      <c r="G107" s="1920" t="s">
        <v>567</v>
      </c>
      <c r="H107" s="583"/>
      <c r="I107" s="583"/>
      <c r="J107" s="277" t="str">
        <f>FHD_NOTE_P_67</f>
        <v/>
      </c>
      <c r="K107" s="549"/>
      <c r="L107" s="1676"/>
      <c r="M107" s="1676"/>
      <c r="R107" s="1676"/>
      <c r="U107" s="550"/>
      <c r="AA107" s="1672"/>
      <c r="AB107" s="1672"/>
      <c r="AC107" s="1672"/>
      <c r="AD107" s="1672"/>
      <c r="AE107" s="1672"/>
    </row>
    <row s="3292" customFormat="1" customHeight="1" ht="18.75" hidden="1">
      <c r="A108" s="2210"/>
      <c r="C108" s="1676"/>
      <c r="D108" s="1678"/>
      <c r="E108" s="552" t="str">
        <f>FHD_NUM_P_68</f>
        <v/>
      </c>
      <c r="F108" s="1554" t="str">
        <f>FHD_P_68</f>
        <v/>
      </c>
      <c r="G108" s="1920" t="s">
        <v>567</v>
      </c>
      <c r="H108" s="583"/>
      <c r="I108" s="583"/>
      <c r="J108" s="277" t="str">
        <f>FHD_NOTE_P_68</f>
        <v/>
      </c>
      <c r="K108" s="549"/>
      <c r="L108" s="1676"/>
      <c r="M108" s="1676"/>
      <c r="R108" s="1676"/>
      <c r="U108" s="550"/>
      <c r="AA108" s="1672"/>
      <c r="AB108" s="1672"/>
      <c r="AC108" s="1672"/>
      <c r="AD108" s="1672"/>
      <c r="AE108" s="1672"/>
    </row>
    <row s="3292" customFormat="1" customHeight="1" ht="18.75" hidden="1">
      <c r="A109" s="2210"/>
      <c r="C109" s="1676"/>
      <c r="D109" s="1678"/>
      <c r="E109" s="552" t="str">
        <f>FHD_NUM_P_69</f>
        <v/>
      </c>
      <c r="F109" s="1554" t="str">
        <f>FHD_P_69</f>
        <v/>
      </c>
      <c r="G109" s="1920" t="s">
        <v>567</v>
      </c>
      <c r="H109" s="583"/>
      <c r="I109" s="583"/>
      <c r="J109" s="277" t="str">
        <f>FHD_NOTE_P_69</f>
        <v/>
      </c>
      <c r="K109" s="549"/>
      <c r="L109" s="1676"/>
      <c r="M109" s="1676"/>
      <c r="R109" s="1676"/>
      <c r="U109" s="550"/>
      <c r="AA109" s="1672"/>
      <c r="AB109" s="1672"/>
      <c r="AC109" s="1672"/>
      <c r="AD109" s="1672"/>
      <c r="AE109" s="1672"/>
    </row>
    <row s="3292" customFormat="1" customHeight="1" ht="22.5" hidden="1">
      <c r="A110" s="2210"/>
      <c r="C110" s="1676"/>
      <c r="D110" s="1678"/>
      <c r="E110" s="552" t="str">
        <f>FHD_NUM_P_70</f>
        <v/>
      </c>
      <c r="F110" s="1923" t="str">
        <f>FHD_P_70</f>
        <v/>
      </c>
      <c r="G110" s="1920" t="s">
        <v>573</v>
      </c>
      <c r="H110" s="563"/>
      <c r="I110" s="563"/>
      <c r="J110" s="277" t="str">
        <f>FHD_NOTE_P_70</f>
        <v/>
      </c>
      <c r="K110" s="549"/>
      <c r="L110" s="1676"/>
      <c r="M110" s="1676"/>
      <c r="R110" s="1676"/>
      <c r="U110" s="550"/>
      <c r="AA110" s="1672"/>
      <c r="AB110" s="1672"/>
      <c r="AC110" s="1672"/>
      <c r="AD110" s="1672"/>
      <c r="AE110" s="1672"/>
    </row>
    <row s="3292" customFormat="1" customHeight="1" ht="22.5" hidden="1">
      <c r="A111" s="2210"/>
      <c r="C111" s="1676"/>
      <c r="D111" s="1678"/>
      <c r="E111" s="552" t="str">
        <f>FHD_NUM_P_71</f>
        <v/>
      </c>
      <c r="F111" s="1923" t="str">
        <f>FHD_P_71</f>
        <v/>
      </c>
      <c r="G111" s="1920" t="s">
        <v>573</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12</v>
      </c>
      <c r="F112" s="1923" t="str">
        <f>FHD_P_72</f>
        <v>Среднесписочная численность основного производственного персонала</v>
      </c>
      <c r="G112" s="1919" t="s">
        <v>574</v>
      </c>
      <c r="H112" s="583"/>
      <c r="I112" s="583"/>
      <c r="J112" s="277" t="str">
        <f>FHD_NOTE_P_72</f>
        <v/>
      </c>
      <c r="K112" s="549"/>
    </row>
    <row customHeight="1" ht="18.75" hidden="1">
      <c r="A113" s="996" t="s">
        <v>575</v>
      </c>
      <c r="D113" s="1678"/>
      <c r="E113" s="552" t="str">
        <f>FHD_NUM_P_73</f>
        <v/>
      </c>
      <c r="F113" s="1923" t="str">
        <f>FHD_P_73</f>
        <v/>
      </c>
      <c r="G113" s="977" t="s">
        <v>574</v>
      </c>
      <c r="H113" s="975"/>
      <c r="I113" s="975"/>
      <c r="J113" s="277" t="str">
        <f>FHD_NOTE_P_73</f>
        <v/>
      </c>
      <c r="K113" s="549"/>
    </row>
    <row customHeight="1" ht="33.75">
      <c r="A114" s="996" t="s">
        <v>576</v>
      </c>
      <c r="D114" s="1678"/>
      <c r="E114" s="552" t="str">
        <f>FHD_NUM_P_74</f>
        <v>13</v>
      </c>
      <c r="F114" s="1923" t="str">
        <f>FHD_P_74</f>
        <v>Удельный расход электрической энергии на подачу воды в сеть</v>
      </c>
      <c r="G114" s="1919" t="s">
        <v>577</v>
      </c>
      <c r="H114" s="583"/>
      <c r="I114" s="583"/>
      <c r="J114" s="277" t="str">
        <f>FHD_NOTE_P_74</f>
        <v/>
      </c>
      <c r="K114" s="549"/>
    </row>
    <row s="4796" customFormat="1" customHeight="1" ht="18.75">
      <c r="A115" s="2212" t="s">
        <v>578</v>
      </c>
      <c r="B115" s="916"/>
      <c r="C115" s="741"/>
      <c r="D115" s="739"/>
      <c r="E115" s="552" t="str">
        <f>FHD_NUM_P_75</f>
        <v>14</v>
      </c>
      <c r="F115" s="1923" t="str">
        <f>FHD_P_75</f>
        <v>Расход воды на собственные нужды, в том числе:</v>
      </c>
      <c r="G115" s="1919" t="s">
        <v>542</v>
      </c>
      <c r="H115" s="563"/>
      <c r="I115" s="563"/>
      <c r="J115" s="277" t="str">
        <f>FHD_NOTE_P_75</f>
        <v>Указывается доля общего расхода воды на собственные нужны от объема отпуска воды потребителям.</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4796" customFormat="1" customHeight="1" ht="18.75">
      <c r="A116" s="2212"/>
      <c r="B116" s="916"/>
      <c r="C116" s="741"/>
      <c r="D116" s="739"/>
      <c r="E116" s="552" t="str">
        <f>FHD_NUM_P_76</f>
        <v>14.1</v>
      </c>
      <c r="F116" s="1923" t="str">
        <f>FHD_P_76</f>
        <v>Расход воды на хозяйственно-бытовые нужды</v>
      </c>
      <c r="G116" s="1919" t="s">
        <v>542</v>
      </c>
      <c r="H116" s="563"/>
      <c r="I116" s="563"/>
      <c r="J116" s="277" t="str">
        <f>FHD_NOTE_P_76</f>
        <v>Указывается доля расхода воды на хозяйственно-бытовые нужны от объема отпуска воды потребителям.</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4796" customFormat="1" customHeight="1" ht="18.75">
      <c r="A117" s="2212"/>
      <c r="B117" s="916"/>
      <c r="C117" s="741"/>
      <c r="D117" s="739"/>
      <c r="E117" s="552" t="str">
        <f>FHD_NUM_P_77</f>
        <v>15</v>
      </c>
      <c r="F117" s="1923" t="str">
        <f>FHD_P_77</f>
        <v>Показатель использования производственных объектов (по объему перекачки), в том числе:</v>
      </c>
      <c r="G117" s="1919" t="s">
        <v>542</v>
      </c>
      <c r="H117" s="563"/>
      <c r="I117" s="563"/>
      <c r="J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4716" customFormat="1" customHeight="1" ht="0.75">
      <c r="A118" s="2212"/>
      <c r="D118" s="554"/>
      <c r="E118" s="1020" t="str">
        <f>E117&amp;".0"</f>
        <v>15.0</v>
      </c>
      <c r="F118" s="1004"/>
      <c r="G118" s="1691"/>
      <c r="H118" s="999"/>
      <c r="I118" s="999"/>
      <c r="J118" s="1003"/>
    </row>
    <row s="4796" customFormat="1" customHeight="1" ht="15">
      <c r="A119" s="2212"/>
      <c r="B119" s="916"/>
      <c r="C119" s="741"/>
      <c r="D119" s="752"/>
      <c r="E119" s="980"/>
      <c r="F119" s="981" t="s">
        <v>579</v>
      </c>
      <c r="G119" s="753"/>
      <c r="H119" s="754"/>
      <c r="I119" s="754"/>
      <c r="J119" s="1010" t="s">
        <v>580</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hidden="1">
      <c r="A120" s="2210" t="s">
        <v>581</v>
      </c>
      <c r="D120" s="1678"/>
      <c r="E120" s="552" t="str">
        <f>FHD_NUM_P_78</f>
        <v/>
      </c>
      <c r="F120" s="1923" t="str">
        <f>FHD_P_78</f>
        <v/>
      </c>
      <c r="G120" s="1920" t="s">
        <v>544</v>
      </c>
      <c r="H120" s="583"/>
      <c r="I120" s="583"/>
      <c r="J120" s="277" t="str">
        <f>FHD_NOTE_P_78</f>
        <v/>
      </c>
      <c r="K120" s="549"/>
    </row>
    <row s="4716" customFormat="1" customHeight="1" ht="0.75" hidden="1">
      <c r="A121" s="2210"/>
      <c r="D121" s="554"/>
      <c r="E121" s="1020" t="str">
        <f>E120&amp;".0"</f>
        <v>.0</v>
      </c>
      <c r="F121" s="1004"/>
      <c r="G121" s="1691"/>
      <c r="H121" s="999"/>
      <c r="I121" s="999"/>
      <c r="J121" s="1003"/>
    </row>
    <row customHeight="1" ht="15" hidden="1">
      <c r="A122" s="2210"/>
      <c r="D122" s="1673"/>
      <c r="E122" s="576"/>
      <c r="F122" s="1176" t="s">
        <v>570</v>
      </c>
      <c r="G122" s="578"/>
      <c r="H122" s="579"/>
      <c r="I122" s="579"/>
      <c r="J122" s="1011" t="s">
        <v>582</v>
      </c>
      <c r="K122" s="549"/>
    </row>
    <row customHeight="1" ht="22.5" hidden="1">
      <c r="A123" s="2210"/>
      <c r="D123" s="1678"/>
      <c r="E123" s="552" t="str">
        <f>FHD_NUM_P_79</f>
        <v/>
      </c>
      <c r="F123" s="1923" t="str">
        <f>FHD_P_79</f>
        <v/>
      </c>
      <c r="G123" s="1921" t="s">
        <v>546</v>
      </c>
      <c r="H123" s="583"/>
      <c r="I123" s="583"/>
      <c r="J123" s="277" t="str">
        <f>FHD_NOTE_P_79</f>
        <v/>
      </c>
      <c r="K123" s="549"/>
    </row>
    <row s="4716" customFormat="1" customHeight="1" ht="0.75" hidden="1">
      <c r="A124" s="2210"/>
      <c r="D124" s="554"/>
      <c r="E124" s="1020" t="str">
        <f>E123&amp;".0"</f>
        <v>.0</v>
      </c>
      <c r="F124" s="1005"/>
      <c r="G124" s="1691"/>
      <c r="H124" s="999"/>
      <c r="I124" s="999"/>
      <c r="J124" s="1003"/>
    </row>
    <row customHeight="1" ht="15" hidden="1">
      <c r="A125" s="2210"/>
      <c r="D125" s="1673"/>
      <c r="E125" s="576"/>
      <c r="F125" s="1176" t="s">
        <v>570</v>
      </c>
      <c r="G125" s="578"/>
      <c r="H125" s="579"/>
      <c r="I125" s="579"/>
      <c r="J125" s="1011" t="s">
        <v>583</v>
      </c>
      <c r="K125" s="549"/>
    </row>
    <row customHeight="1" ht="22.5" hidden="1">
      <c r="A126" s="2210"/>
      <c r="D126" s="1678"/>
      <c r="E126" s="552" t="str">
        <f>FHD_NUM_P_80</f>
        <v/>
      </c>
      <c r="F126" s="1923" t="str">
        <f>FHD_P_80</f>
        <v/>
      </c>
      <c r="G126" s="1921" t="s">
        <v>584</v>
      </c>
      <c r="H126" s="563"/>
      <c r="I126" s="563"/>
      <c r="J126" s="277" t="str">
        <f>FHD_NOTE_P_80</f>
        <v/>
      </c>
      <c r="K126" s="549"/>
    </row>
    <row customHeight="1" ht="18.75" hidden="1">
      <c r="A127" s="2210"/>
      <c r="D127" s="1678"/>
      <c r="E127" s="552" t="str">
        <f>FHD_NUM_P_81</f>
        <v/>
      </c>
      <c r="F127" s="1923" t="str">
        <f>FHD_P_81</f>
        <v/>
      </c>
      <c r="G127" s="1921" t="s">
        <v>585</v>
      </c>
      <c r="H127" s="563"/>
      <c r="I127" s="563"/>
      <c r="J127" s="277" t="str">
        <f>FHD_NOTE_P_81</f>
        <v/>
      </c>
      <c r="K127" s="549"/>
    </row>
    <row customHeight="1" ht="18.75" hidden="1">
      <c r="A128" s="2210"/>
      <c r="C128" s="1676" t="s">
        <v>572</v>
      </c>
      <c r="D128" s="1678"/>
      <c r="E128" s="552" t="str">
        <f>FHD_NUM_P_82</f>
        <v/>
      </c>
      <c r="F128" s="1923" t="str">
        <f>FHD_P_82</f>
        <v/>
      </c>
      <c r="G128" s="1921" t="s">
        <v>294</v>
      </c>
      <c r="H128" s="407"/>
      <c r="I128" s="407"/>
      <c r="J128" s="277" t="str">
        <f>FHD_NOTE_P_82</f>
        <v/>
      </c>
      <c r="K128" s="549"/>
    </row>
    <row customHeight="1" ht="18.75" hidden="1">
      <c r="A129" s="2210"/>
      <c r="C129" s="1676" t="s">
        <v>572</v>
      </c>
      <c r="D129" s="1678"/>
      <c r="E129" s="552" t="str">
        <f>FHD_NUM_P_83</f>
        <v/>
      </c>
      <c r="F129" s="1554" t="str">
        <f>FHD_P_83</f>
        <v/>
      </c>
      <c r="G129" s="1921" t="s">
        <v>294</v>
      </c>
      <c r="H129" s="407"/>
      <c r="I129" s="407"/>
      <c r="J129" s="277" t="str">
        <f>FHD_NOTE_P_83</f>
        <v/>
      </c>
      <c r="K129" s="549"/>
    </row>
    <row customHeight="1" ht="18.75" hidden="1">
      <c r="A130" s="2210"/>
      <c r="C130" s="1676" t="s">
        <v>572</v>
      </c>
      <c r="D130" s="1678"/>
      <c r="E130" s="552" t="str">
        <f>FHD_NUM_P_84</f>
        <v/>
      </c>
      <c r="F130" s="1554" t="str">
        <f>FHD_P_84</f>
        <v/>
      </c>
      <c r="G130" s="1921" t="s">
        <v>294</v>
      </c>
      <c r="H130" s="407"/>
      <c r="I130" s="407"/>
      <c r="J130" s="277" t="str">
        <f>FHD_NOTE_P_84</f>
        <v/>
      </c>
      <c r="K130" s="549"/>
    </row>
    <row customHeight="1" ht="11.25">
      <c r="D131" s="1678"/>
    </row>
    <row customHeight="1" ht="12.75">
      <c r="D132" s="1678"/>
      <c r="E132" s="332"/>
      <c r="F132" s="369"/>
      <c r="G132" s="369"/>
      <c r="H132" s="369"/>
      <c r="I132" s="1687"/>
      <c r="J132" s="587"/>
    </row>
    <row s="4752"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752"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752"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752"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752"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752"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752"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752"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752"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752"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752"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752"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752"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752"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752"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752"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752"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752"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752"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752"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752"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752"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752"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752"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752"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752"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752"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752"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752"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752"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752"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752"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752"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752"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752"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752"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752"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752"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752"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752"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752"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752"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752"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752"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752"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752"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752"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752"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752"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752"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752"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752"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752"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752"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752"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752"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752"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752"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752"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752"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752"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752"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752"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4752"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4752"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4752"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4752"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4752"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4752"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4752"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4752"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4752"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4752"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4752"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4752"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4752"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4752"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4752"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4752"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4752"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4752"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4752"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4752"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4752"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4752"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4752"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4752"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4752"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4752"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4752"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4752"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4752"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4752"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4752"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4752"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4752"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4752"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4752"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4752"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4752"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4752"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4752"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4752"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4752"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4752"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4752"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4752"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4752"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4752"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4752"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4752"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4752"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4752"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4752"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4752"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4752"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4752"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4752"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4752"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4752"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4752"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4752"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4752"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4752"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4752"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4752"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4752"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4752"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4752"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4752"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4752"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4752"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4752"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4752"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4752"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4752"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4752"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4752"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4752"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4752"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4752"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4752"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4752"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4752"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4752"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4752"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4752"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4752"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4752"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4752"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4752"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4752"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4752"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4752"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4752"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4752"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2C8174-F508-2D87-0A3D-C4DEFF73DD0D}"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831" width="14.7109375" hidden="1" customWidth="1"/>
    <col min="2" max="2" style="3151" width="17.00390625" hidden="1" customWidth="1"/>
    <col min="3" max="3" style="3153" width="3.7109375" customWidth="1"/>
    <col min="4" max="4" style="3153" width="1.8515625" hidden="1" customWidth="1"/>
    <col min="5" max="6" style="3153" width="7.7109375" customWidth="1"/>
    <col min="7" max="7" style="3153" width="29.7109375" customWidth="1"/>
    <col min="8" max="8" style="3153" width="3.7109375" customWidth="1"/>
    <col min="9" max="9" style="3153" width="5.421875" customWidth="1"/>
    <col min="10" max="10" style="3153" width="24.57421875" customWidth="1"/>
    <col min="11" max="11" style="3153" width="24.421875" customWidth="1"/>
    <col min="12" max="12" style="3153" width="3.7109375" customWidth="1"/>
    <col min="13" max="13" style="3153" width="6.28125" customWidth="1"/>
    <col min="14" max="14" style="3153" width="25.8515625" customWidth="1"/>
    <col min="15" max="18" style="3153" width="18.7109375" customWidth="1"/>
    <col min="19" max="19" style="3153" width="93.421875" customWidth="1"/>
    <col min="20" max="20" style="3153" width="10.57421875" customWidth="1"/>
    <col min="21" max="21" style="4833" width="10.57421875" customWidth="1"/>
    <col min="22" max="22" style="4833" width="11.7109375" customWidth="1"/>
    <col min="23" max="23" style="4834" width="10.57421875" customWidth="1"/>
    <col min="24" max="27" style="3151" width="10.57421875" customWidth="1"/>
    <col min="28" max="83" style="3153"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5"/>
      <c r="G5" s="2085"/>
      <c r="H5" s="2085"/>
      <c r="I5" s="2085"/>
      <c r="J5" s="2085"/>
      <c r="K5" s="2085"/>
      <c r="L5" s="619"/>
      <c r="M5" s="619"/>
    </row>
    <row s="2625" customFormat="1" customHeight="1" ht="16.5">
      <c r="A6" s="616"/>
      <c r="B6" s="765"/>
      <c r="C6" s="515"/>
      <c r="D6" s="1065"/>
      <c r="E6" s="2053" t="str">
        <f>IF(org=0,"Не определено",org)</f>
        <v>АО "РИР" (филиал в г. Глазове)</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2"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288</v>
      </c>
      <c r="F9" s="1956"/>
      <c r="G9" s="1956"/>
      <c r="H9" s="1956"/>
      <c r="I9" s="1956"/>
      <c r="J9" s="1956"/>
      <c r="K9" s="1956"/>
      <c r="L9" s="1956"/>
      <c r="M9" s="1956"/>
      <c r="N9" s="1956"/>
      <c r="O9" s="1956"/>
      <c r="P9" s="1956"/>
      <c r="Q9" s="1956"/>
      <c r="R9" s="1957"/>
      <c r="S9" s="1971" t="s">
        <v>289</v>
      </c>
      <c r="T9" s="330"/>
    </row>
    <row customHeight="1" ht="33.75">
      <c r="D10" s="557" t="s">
        <v>86</v>
      </c>
      <c r="E10" s="1971" t="s">
        <v>86</v>
      </c>
      <c r="F10" s="1971"/>
      <c r="G10" s="527" t="s">
        <v>290</v>
      </c>
      <c r="H10" s="1971" t="s">
        <v>86</v>
      </c>
      <c r="I10" s="1971"/>
      <c r="J10" s="527" t="s">
        <v>586</v>
      </c>
      <c r="K10" s="527" t="s">
        <v>587</v>
      </c>
      <c r="L10" s="1971" t="s">
        <v>86</v>
      </c>
      <c r="M10" s="1971"/>
      <c r="N10" s="527" t="s">
        <v>588</v>
      </c>
      <c r="O10" s="527" t="s">
        <v>589</v>
      </c>
      <c r="P10" s="527" t="s">
        <v>590</v>
      </c>
      <c r="Q10" s="527" t="s">
        <v>591</v>
      </c>
      <c r="R10" s="527" t="s">
        <v>592</v>
      </c>
      <c r="S10" s="1971"/>
      <c r="T10" s="330"/>
    </row>
    <row s="2613" customFormat="1" customHeight="1" ht="15" hidden="1">
      <c r="A11" s="1059"/>
      <c r="D11" s="1032" t="s">
        <v>107</v>
      </c>
      <c r="E11" s="1032"/>
      <c r="F11" s="1032" t="s">
        <v>108</v>
      </c>
      <c r="G11" s="1032" t="s">
        <v>88</v>
      </c>
      <c r="H11" s="1032"/>
      <c r="I11" s="1032" t="s">
        <v>89</v>
      </c>
      <c r="J11" s="1032" t="s">
        <v>109</v>
      </c>
      <c r="K11" s="1032" t="s">
        <v>90</v>
      </c>
      <c r="L11" s="1032"/>
      <c r="M11" s="1032" t="s">
        <v>91</v>
      </c>
      <c r="N11" s="1032" t="s">
        <v>110</v>
      </c>
      <c r="O11" s="1032" t="s">
        <v>146</v>
      </c>
      <c r="P11" s="1032" t="s">
        <v>147</v>
      </c>
      <c r="Q11" s="1032" t="s">
        <v>148</v>
      </c>
      <c r="R11" s="1032" t="s">
        <v>149</v>
      </c>
      <c r="S11" s="1032" t="s">
        <v>150</v>
      </c>
      <c r="U11" s="617"/>
      <c r="V11" s="617"/>
      <c r="W11" s="617"/>
    </row>
    <row s="2629" customFormat="1" customHeight="1" ht="0.75">
      <c r="A12" s="621"/>
      <c r="B12" s="360"/>
      <c r="D12" s="554"/>
      <c r="E12" s="342"/>
      <c r="F12" s="342"/>
      <c r="Q12" s="622"/>
      <c r="R12" s="623"/>
      <c r="T12" s="624"/>
      <c r="U12" s="625"/>
      <c r="V12" s="625"/>
      <c r="W12" s="626"/>
      <c r="X12" s="360"/>
      <c r="Y12" s="360"/>
      <c r="Z12" s="360"/>
      <c r="AA12" s="360"/>
    </row>
    <row s="2612" customFormat="1" customHeight="1" ht="0.75">
      <c r="A13" s="627"/>
      <c r="B13" s="572"/>
      <c r="D13" s="554" t="s">
        <v>366</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8" customFormat="1" customHeight="1" ht="15" hidden="1">
      <c r="A14" s="629" t="s">
        <v>115</v>
      </c>
      <c r="B14" s="630"/>
      <c r="C14" s="630"/>
      <c r="D14" s="2217" t="s">
        <v>107</v>
      </c>
      <c r="E14" s="2225" t="s">
        <v>103</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593</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8" customFormat="1" customHeight="1" ht="15" hidden="1">
      <c r="A15" s="629"/>
      <c r="B15" s="630"/>
      <c r="C15" s="630"/>
      <c r="D15" s="2218"/>
      <c r="E15" s="2225" t="s">
        <v>548</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8" customFormat="1" customHeight="1" ht="15" hidden="1">
      <c r="A16" s="629"/>
      <c r="B16" s="630"/>
      <c r="C16" s="630"/>
      <c r="D16" s="2218"/>
      <c r="E16" s="2225" t="s">
        <v>549</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8" customFormat="1" customHeight="1" ht="22.5" hidden="1">
      <c r="A17" s="639"/>
      <c r="B17" s="423"/>
      <c r="C17" s="418"/>
      <c r="D17" s="2218"/>
      <c r="E17" s="2222" t="s">
        <v>594</v>
      </c>
      <c r="F17" s="2222"/>
      <c r="G17" s="2222"/>
      <c r="H17" s="2222"/>
      <c r="I17" s="2222"/>
      <c r="J17" s="2222"/>
      <c r="K17" s="2222"/>
      <c r="L17" s="2222"/>
      <c r="M17" s="2222"/>
      <c r="N17" s="2222"/>
      <c r="O17" s="2222"/>
      <c r="P17" s="2222"/>
      <c r="Q17" s="564">
        <f>SUMIF(T18:T19,"i",Q18:Q19)</f>
        <v>0</v>
      </c>
      <c r="R17" s="1024"/>
      <c r="S17" s="903" t="s">
        <v>595</v>
      </c>
      <c r="T17" s="723" t="s">
        <v>596</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8"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8"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8" customFormat="1" customHeight="1" ht="22.5" hidden="1">
      <c r="A20" s="639"/>
      <c r="B20" s="423"/>
      <c r="C20" s="418"/>
      <c r="D20" s="2218"/>
      <c r="E20" s="2222" t="s">
        <v>597</v>
      </c>
      <c r="F20" s="2222"/>
      <c r="G20" s="2222"/>
      <c r="H20" s="2222"/>
      <c r="I20" s="2222"/>
      <c r="J20" s="2222"/>
      <c r="K20" s="2222"/>
      <c r="L20" s="2222"/>
      <c r="M20" s="2222"/>
      <c r="N20" s="2222"/>
      <c r="O20" s="2222"/>
      <c r="P20" s="2222"/>
      <c r="Q20" s="564">
        <f>SUMIF(T21:T22,"i",Q21:Q22)</f>
        <v>0</v>
      </c>
      <c r="R20" s="1024"/>
      <c r="S20" s="715" t="s">
        <v>598</v>
      </c>
      <c r="T20" s="723" t="s">
        <v>596</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8"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8"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83679-79EC-4995-0AF3-EA268BD07F79}"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725" width="10.7109375" hidden="1" customWidth="1"/>
    <col min="2" max="2" style="3292" width="16.8515625" hidden="1" customWidth="1"/>
    <col min="3" max="3" style="4716" width="5.57421875" hidden="1" customWidth="1"/>
    <col min="4" max="4" style="4828" width="3.7109375" customWidth="1"/>
    <col min="5" max="5" style="2949" width="7.7109375" customWidth="1"/>
    <col min="6" max="6" style="2949" width="56.14062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4716" width="5.28125" customWidth="1"/>
    <col min="13" max="13" style="4716" width="3.7109375" customWidth="1"/>
    <col min="14" max="17" style="3292" width="3.7109375" customWidth="1"/>
    <col min="18" max="18" style="4716" width="10.57421875" customWidth="1"/>
    <col min="19" max="19" style="3292" width="34.7109375" customWidth="1"/>
    <col min="20" max="20" style="3292" width="9.421875" customWidth="1"/>
    <col min="21" max="21" style="4729"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77"/>
      <c r="F2" s="546"/>
      <c r="G2" s="1679" t="s">
        <v>536</v>
      </c>
      <c r="H2" s="547"/>
      <c r="I2" s="547"/>
      <c r="J2" s="548" t="s">
        <v>599</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600</v>
      </c>
      <c r="F6" s="2151"/>
      <c r="G6" s="2151"/>
      <c r="H6" s="2151"/>
      <c r="I6" s="2151"/>
      <c r="J6" s="562"/>
    </row>
    <row customHeight="1" ht="24">
      <c r="E7" s="2141" t="str">
        <f>IF(org=0,"Не определено",org)</f>
        <v>АО "РИР" (филиал в г. Глазове)</v>
      </c>
      <c r="F7" s="2141"/>
      <c r="G7" s="2141"/>
      <c r="H7" s="2141"/>
      <c r="I7" s="2141"/>
    </row>
    <row customHeight="1" ht="11.25">
      <c r="E8" s="1143"/>
      <c r="F8" s="1143"/>
      <c r="G8" s="1143"/>
      <c r="H8" s="1143"/>
      <c r="I8" s="1143"/>
    </row>
    <row s="4716" customFormat="1" customHeight="1" ht="0.75">
      <c r="A9" s="1175"/>
      <c r="D9" s="1682"/>
      <c r="H9" s="895"/>
      <c r="I9" s="895" t="s">
        <v>115</v>
      </c>
    </row>
    <row customHeight="1" ht="11.25">
      <c r="E10" s="717"/>
      <c r="F10" s="2213" t="s">
        <v>103</v>
      </c>
      <c r="G10" s="2214"/>
      <c r="H10" s="1592" t="str">
        <f>IF(H9="","",INDEX(DIFFERENTIATION_UNMERGE_VD,MATCH(H9,DIFFERENTIATION_ID_DIFF,0)))</f>
        <v/>
      </c>
      <c r="I10" s="1592">
        <f>IF(I9="","",INDEX(DIFFERENTIATION_UNMERGE_VD,MATCH(I9,DIFFERENTIATION_ID_DIFF,0)))</f>
        <v>0</v>
      </c>
      <c r="J10" s="1971"/>
    </row>
    <row customHeight="1" ht="11.25">
      <c r="E11" s="717"/>
      <c r="F11" s="2213" t="s">
        <v>548</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549</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288</v>
      </c>
      <c r="F13" s="2216"/>
      <c r="G13" s="2216"/>
      <c r="H13" s="1591"/>
      <c r="I13" s="1591"/>
      <c r="J13" s="1971"/>
    </row>
    <row customHeight="1" ht="22.5">
      <c r="E14" s="1679" t="s">
        <v>86</v>
      </c>
      <c r="F14" s="1674" t="s">
        <v>290</v>
      </c>
      <c r="G14" s="1674" t="s">
        <v>550</v>
      </c>
      <c r="H14" s="1674" t="s">
        <v>291</v>
      </c>
      <c r="I14" s="1674" t="s">
        <v>291</v>
      </c>
      <c r="J14" s="1971"/>
    </row>
    <row customHeight="1" ht="18.75">
      <c r="D15" s="1678"/>
      <c r="E15" s="1670" t="s">
        <v>107</v>
      </c>
      <c r="F15" s="713" t="s">
        <v>601</v>
      </c>
      <c r="G15" s="1686" t="s">
        <v>536</v>
      </c>
      <c r="H15" s="563"/>
      <c r="I15" s="563"/>
      <c r="J15" s="277" t="s">
        <v>602</v>
      </c>
      <c r="K15" s="549" t="s">
        <v>603</v>
      </c>
    </row>
    <row customHeight="1" ht="33.75">
      <c r="D16" s="1678"/>
      <c r="E16" s="1670" t="s">
        <v>108</v>
      </c>
      <c r="F16" s="713" t="s">
        <v>604</v>
      </c>
      <c r="G16" s="1686" t="s">
        <v>536</v>
      </c>
      <c r="H16" s="564">
        <f>SUM(H17,H20:H32)</f>
        <v>0</v>
      </c>
      <c r="I16" s="564">
        <f>SUM(I17,I20:I32)</f>
        <v>0</v>
      </c>
      <c r="J16" s="277" t="s">
        <v>605</v>
      </c>
      <c r="K16" s="549" t="s">
        <v>603</v>
      </c>
    </row>
    <row customHeight="1" ht="18.75">
      <c r="D17" s="1678"/>
      <c r="E17" s="1704" t="s">
        <v>606</v>
      </c>
      <c r="F17" s="961" t="s">
        <v>607</v>
      </c>
      <c r="G17" s="1683" t="s">
        <v>536</v>
      </c>
      <c r="H17" s="563"/>
      <c r="I17" s="563"/>
      <c r="J17" s="277" t="s">
        <v>608</v>
      </c>
      <c r="K17" s="549"/>
    </row>
    <row customHeight="1" ht="22.5">
      <c r="D18" s="1678"/>
      <c r="E18" s="1704" t="s">
        <v>609</v>
      </c>
      <c r="F18" s="1690" t="s">
        <v>610</v>
      </c>
      <c r="G18" s="1683" t="s">
        <v>536</v>
      </c>
      <c r="H18" s="563"/>
      <c r="I18" s="563"/>
      <c r="J18" s="277" t="s">
        <v>611</v>
      </c>
      <c r="K18" s="549"/>
    </row>
    <row customHeight="1" ht="33.75">
      <c r="D19" s="1678"/>
      <c r="E19" s="1704" t="s">
        <v>612</v>
      </c>
      <c r="F19" s="1690" t="s">
        <v>613</v>
      </c>
      <c r="G19" s="1683" t="s">
        <v>536</v>
      </c>
      <c r="H19" s="563"/>
      <c r="I19" s="563"/>
      <c r="J19" s="277"/>
      <c r="K19" s="549"/>
    </row>
    <row customHeight="1" ht="18.75">
      <c r="D20" s="1678"/>
      <c r="E20" s="1704" t="s">
        <v>295</v>
      </c>
      <c r="F20" s="961" t="s">
        <v>614</v>
      </c>
      <c r="G20" s="1683" t="s">
        <v>536</v>
      </c>
      <c r="H20" s="563"/>
      <c r="I20" s="563"/>
      <c r="J20" s="277" t="s">
        <v>615</v>
      </c>
      <c r="K20" s="549"/>
    </row>
    <row customHeight="1" ht="18.75">
      <c r="D21" s="1678"/>
      <c r="E21" s="1704" t="s">
        <v>616</v>
      </c>
      <c r="F21" s="1690" t="s">
        <v>617</v>
      </c>
      <c r="G21" s="1683" t="s">
        <v>536</v>
      </c>
      <c r="H21" s="563"/>
      <c r="I21" s="563"/>
      <c r="J21" s="277"/>
      <c r="K21" s="549"/>
    </row>
    <row customHeight="1" ht="18.75">
      <c r="D22" s="1678"/>
      <c r="E22" s="1704" t="s">
        <v>618</v>
      </c>
      <c r="F22" s="1690" t="s">
        <v>619</v>
      </c>
      <c r="G22" s="1683" t="s">
        <v>536</v>
      </c>
      <c r="H22" s="563"/>
      <c r="I22" s="563"/>
      <c r="J22" s="277"/>
      <c r="K22" s="549"/>
    </row>
    <row customHeight="1" ht="22.5">
      <c r="D23" s="1678"/>
      <c r="E23" s="1704" t="s">
        <v>298</v>
      </c>
      <c r="F23" s="961" t="s">
        <v>620</v>
      </c>
      <c r="G23" s="1683" t="s">
        <v>536</v>
      </c>
      <c r="H23" s="563"/>
      <c r="I23" s="563"/>
      <c r="J23" s="277" t="s">
        <v>621</v>
      </c>
      <c r="K23" s="549"/>
    </row>
    <row customHeight="1" ht="18.75">
      <c r="D24" s="1678"/>
      <c r="E24" s="1704" t="s">
        <v>622</v>
      </c>
      <c r="F24" s="1690" t="s">
        <v>623</v>
      </c>
      <c r="G24" s="1683" t="s">
        <v>536</v>
      </c>
      <c r="H24" s="563"/>
      <c r="I24" s="563"/>
      <c r="J24" s="277"/>
      <c r="K24" s="549"/>
    </row>
    <row customHeight="1" ht="33.75">
      <c r="D25" s="1678"/>
      <c r="E25" s="1704" t="s">
        <v>624</v>
      </c>
      <c r="F25" s="1690" t="s">
        <v>625</v>
      </c>
      <c r="G25" s="1683" t="s">
        <v>536</v>
      </c>
      <c r="H25" s="563"/>
      <c r="I25" s="563"/>
      <c r="J25" s="277"/>
      <c r="K25" s="549"/>
    </row>
    <row customHeight="1" ht="22.5">
      <c r="D26" s="1678"/>
      <c r="E26" s="1704" t="s">
        <v>626</v>
      </c>
      <c r="F26" s="961" t="s">
        <v>627</v>
      </c>
      <c r="G26" s="1683" t="s">
        <v>536</v>
      </c>
      <c r="H26" s="563"/>
      <c r="I26" s="563"/>
      <c r="J26" s="277" t="s">
        <v>628</v>
      </c>
      <c r="K26" s="549"/>
    </row>
    <row customHeight="1" ht="18.75">
      <c r="D27" s="1678"/>
      <c r="E27" s="1715" t="s">
        <v>629</v>
      </c>
      <c r="F27" s="1690" t="s">
        <v>630</v>
      </c>
      <c r="G27" s="1694" t="s">
        <v>536</v>
      </c>
      <c r="H27" s="1716"/>
      <c r="I27" s="1716"/>
      <c r="J27" s="277"/>
      <c r="K27" s="549"/>
    </row>
    <row customHeight="1" ht="18.75">
      <c r="D28" s="1678"/>
      <c r="E28" s="1715" t="s">
        <v>631</v>
      </c>
      <c r="F28" s="1690" t="s">
        <v>632</v>
      </c>
      <c r="G28" s="1694" t="s">
        <v>536</v>
      </c>
      <c r="H28" s="1716"/>
      <c r="I28" s="1716"/>
      <c r="J28" s="277"/>
      <c r="K28" s="549"/>
    </row>
    <row customHeight="1" ht="18.75">
      <c r="D29" s="1678"/>
      <c r="E29" s="1715" t="s">
        <v>633</v>
      </c>
      <c r="F29" s="961" t="s">
        <v>634</v>
      </c>
      <c r="G29" s="1694" t="s">
        <v>536</v>
      </c>
      <c r="H29" s="1716"/>
      <c r="I29" s="1716"/>
      <c r="J29" s="277"/>
      <c r="K29" s="549"/>
    </row>
    <row customHeight="1" ht="18.75">
      <c r="D30" s="1678"/>
      <c r="E30" s="1715" t="s">
        <v>635</v>
      </c>
      <c r="F30" s="961" t="s">
        <v>636</v>
      </c>
      <c r="G30" s="1694" t="s">
        <v>536</v>
      </c>
      <c r="H30" s="1716"/>
      <c r="I30" s="1716"/>
      <c r="J30" s="277"/>
      <c r="K30" s="549"/>
    </row>
    <row customHeight="1" ht="18.75">
      <c r="D31" s="1678"/>
      <c r="E31" s="1715" t="s">
        <v>637</v>
      </c>
      <c r="F31" s="961" t="s">
        <v>638</v>
      </c>
      <c r="G31" s="1694" t="s">
        <v>536</v>
      </c>
      <c r="H31" s="1716"/>
      <c r="I31" s="1716"/>
      <c r="J31" s="277"/>
      <c r="K31" s="549"/>
    </row>
    <row s="3292" customFormat="1" customHeight="1" ht="22.5">
      <c r="A32" s="994"/>
      <c r="C32" s="1676"/>
      <c r="D32" s="1678"/>
      <c r="E32" s="1715" t="s">
        <v>639</v>
      </c>
      <c r="F32" s="961" t="s">
        <v>640</v>
      </c>
      <c r="G32" s="1684" t="s">
        <v>536</v>
      </c>
      <c r="H32" s="585">
        <f>SUM(H33:H34)</f>
        <v>0</v>
      </c>
      <c r="I32" s="585">
        <f>SUM(I33:I34)</f>
        <v>0</v>
      </c>
      <c r="J32" s="277" t="s">
        <v>641</v>
      </c>
      <c r="K32" s="549"/>
      <c r="L32" s="1676"/>
      <c r="M32" s="1676"/>
      <c r="R32" s="1676"/>
      <c r="U32" s="550"/>
      <c r="AA32" s="1672"/>
      <c r="AB32" s="1672"/>
      <c r="AC32" s="1672"/>
      <c r="AD32" s="1672"/>
      <c r="AE32" s="1672"/>
    </row>
    <row s="4716" customFormat="1" customHeight="1" ht="0.75">
      <c r="A33" s="1175"/>
      <c r="D33" s="554"/>
      <c r="E33" s="808" t="str">
        <f>E32&amp;".0"</f>
        <v>2.8.0</v>
      </c>
      <c r="F33" s="998"/>
      <c r="G33" s="557"/>
      <c r="H33" s="999"/>
      <c r="I33" s="999"/>
      <c r="J33" s="1000"/>
    </row>
    <row s="3292" customFormat="1" customHeight="1" ht="18.75">
      <c r="A34" s="994"/>
      <c r="C34" s="1676"/>
      <c r="D34" s="1673"/>
      <c r="E34" s="576"/>
      <c r="F34" s="1706" t="s">
        <v>561</v>
      </c>
      <c r="G34" s="578"/>
      <c r="H34" s="579"/>
      <c r="I34" s="579"/>
      <c r="J34" s="289" t="s">
        <v>642</v>
      </c>
      <c r="K34" s="549"/>
      <c r="L34" s="1676"/>
      <c r="M34" s="1676"/>
      <c r="R34" s="1676"/>
      <c r="U34" s="550"/>
      <c r="AA34" s="1672"/>
      <c r="AB34" s="1672"/>
      <c r="AC34" s="1672"/>
      <c r="AD34" s="1672"/>
      <c r="AE34" s="1672"/>
    </row>
    <row customHeight="1" ht="56.25">
      <c r="D35" s="1678"/>
      <c r="E35" s="1715" t="s">
        <v>643</v>
      </c>
      <c r="F35" s="961" t="s">
        <v>644</v>
      </c>
      <c r="G35" s="1694" t="s">
        <v>536</v>
      </c>
      <c r="H35" s="1716"/>
      <c r="I35" s="1716"/>
      <c r="J35" s="277" t="s">
        <v>645</v>
      </c>
      <c r="K35" s="549"/>
    </row>
    <row s="3292" customFormat="1" customHeight="1" ht="22.5">
      <c r="A36" s="996" t="s">
        <v>562</v>
      </c>
      <c r="C36" s="1676"/>
      <c r="D36" s="1678"/>
      <c r="E36" s="1704" t="s">
        <v>88</v>
      </c>
      <c r="F36" s="713" t="s">
        <v>646</v>
      </c>
      <c r="G36" s="1683" t="s">
        <v>536</v>
      </c>
      <c r="H36" s="563"/>
      <c r="I36" s="563"/>
      <c r="J36" s="277" t="s">
        <v>647</v>
      </c>
      <c r="K36" s="549"/>
      <c r="L36" s="1676"/>
      <c r="M36" s="1676"/>
      <c r="R36" s="1676"/>
      <c r="U36" s="550"/>
      <c r="AA36" s="1672"/>
      <c r="AB36" s="1672"/>
      <c r="AC36" s="1672"/>
      <c r="AD36" s="1672"/>
      <c r="AE36" s="1672"/>
    </row>
    <row s="3292" customFormat="1" customHeight="1" ht="22.5">
      <c r="A37" s="996"/>
      <c r="C37" s="1676"/>
      <c r="D37" s="1678"/>
      <c r="E37" s="1704" t="s">
        <v>314</v>
      </c>
      <c r="F37" s="961" t="s">
        <v>648</v>
      </c>
      <c r="G37" s="1694"/>
      <c r="H37" s="563"/>
      <c r="I37" s="563"/>
      <c r="J37" s="277"/>
      <c r="K37" s="549"/>
      <c r="L37" s="1676"/>
      <c r="M37" s="1676"/>
      <c r="R37" s="1676"/>
      <c r="U37" s="550"/>
      <c r="AA37" s="1672"/>
      <c r="AB37" s="1672"/>
      <c r="AC37" s="1672"/>
      <c r="AD37" s="1672"/>
      <c r="AE37" s="1672"/>
    </row>
    <row s="3292" customFormat="1" customHeight="1" ht="18.75">
      <c r="A38" s="994"/>
      <c r="C38" s="1676"/>
      <c r="D38" s="581"/>
      <c r="E38" s="1704" t="s">
        <v>89</v>
      </c>
      <c r="F38" s="713" t="s">
        <v>649</v>
      </c>
      <c r="G38" s="1683" t="s">
        <v>536</v>
      </c>
      <c r="H38" s="563"/>
      <c r="I38" s="563"/>
      <c r="J38" s="277" t="s">
        <v>650</v>
      </c>
      <c r="K38" s="549"/>
      <c r="L38" s="1676"/>
      <c r="M38" s="1676"/>
      <c r="R38" s="1676"/>
      <c r="U38" s="550"/>
      <c r="AA38" s="1672"/>
      <c r="AB38" s="1672"/>
      <c r="AC38" s="1672"/>
      <c r="AD38" s="1672"/>
      <c r="AE38" s="1672"/>
    </row>
    <row s="3292" customFormat="1" customHeight="1" ht="22.5">
      <c r="A39" s="994"/>
      <c r="C39" s="1676"/>
      <c r="D39" s="581"/>
      <c r="E39" s="1704" t="s">
        <v>651</v>
      </c>
      <c r="F39" s="961" t="s">
        <v>652</v>
      </c>
      <c r="G39" s="1694" t="s">
        <v>536</v>
      </c>
      <c r="H39" s="563"/>
      <c r="I39" s="563"/>
      <c r="J39" s="277" t="s">
        <v>653</v>
      </c>
      <c r="K39" s="549"/>
      <c r="L39" s="1676"/>
      <c r="M39" s="1676"/>
      <c r="R39" s="1676"/>
      <c r="U39" s="550"/>
      <c r="AA39" s="1672"/>
      <c r="AB39" s="1672"/>
      <c r="AC39" s="1672"/>
      <c r="AD39" s="1672"/>
      <c r="AE39" s="1672"/>
    </row>
    <row s="3292" customFormat="1" customHeight="1" ht="22.5">
      <c r="A40" s="994"/>
      <c r="C40" s="1676"/>
      <c r="D40" s="1678"/>
      <c r="E40" s="1704" t="s">
        <v>654</v>
      </c>
      <c r="F40" s="1690" t="s">
        <v>655</v>
      </c>
      <c r="G40" s="1683" t="s">
        <v>536</v>
      </c>
      <c r="H40" s="563"/>
      <c r="I40" s="563"/>
      <c r="J40" s="277" t="s">
        <v>656</v>
      </c>
      <c r="K40" s="549"/>
      <c r="L40" s="1676"/>
      <c r="M40" s="1676"/>
      <c r="R40" s="1676"/>
      <c r="U40" s="550"/>
      <c r="AA40" s="1672"/>
      <c r="AB40" s="1672"/>
      <c r="AC40" s="1672"/>
      <c r="AD40" s="1672"/>
      <c r="AE40" s="1672"/>
    </row>
    <row s="3292" customFormat="1" customHeight="1" ht="22.5">
      <c r="A41" s="994"/>
      <c r="C41" s="1676"/>
      <c r="D41" s="1678"/>
      <c r="E41" s="1704" t="s">
        <v>657</v>
      </c>
      <c r="F41" s="1690" t="s">
        <v>658</v>
      </c>
      <c r="G41" s="1683" t="s">
        <v>536</v>
      </c>
      <c r="H41" s="563"/>
      <c r="I41" s="563"/>
      <c r="J41" s="277" t="s">
        <v>659</v>
      </c>
      <c r="K41" s="549"/>
      <c r="L41" s="1676"/>
      <c r="M41" s="1676"/>
      <c r="R41" s="1676"/>
      <c r="U41" s="550"/>
      <c r="AA41" s="1672"/>
      <c r="AB41" s="1672"/>
      <c r="AC41" s="1672"/>
      <c r="AD41" s="1672"/>
      <c r="AE41" s="1672"/>
    </row>
    <row s="3292" customFormat="1" customHeight="1" ht="22.5">
      <c r="A42" s="994"/>
      <c r="C42" s="1676"/>
      <c r="D42" s="1678"/>
      <c r="E42" s="1704" t="s">
        <v>660</v>
      </c>
      <c r="F42" s="1690" t="s">
        <v>661</v>
      </c>
      <c r="G42" s="1683" t="s">
        <v>536</v>
      </c>
      <c r="H42" s="563"/>
      <c r="I42" s="563"/>
      <c r="J42" s="277" t="s">
        <v>662</v>
      </c>
      <c r="K42" s="549"/>
      <c r="L42" s="1676"/>
      <c r="M42" s="1676"/>
      <c r="R42" s="1676"/>
      <c r="U42" s="550"/>
      <c r="AA42" s="1672"/>
      <c r="AB42" s="1672"/>
      <c r="AC42" s="1672"/>
      <c r="AD42" s="1672"/>
      <c r="AE42" s="1672"/>
    </row>
    <row s="3292" customFormat="1" customHeight="1" ht="33.75">
      <c r="A43" s="994"/>
      <c r="C43" s="1676" t="s">
        <v>572</v>
      </c>
      <c r="D43" s="1678"/>
      <c r="E43" s="1704" t="s">
        <v>109</v>
      </c>
      <c r="F43" s="713" t="s">
        <v>663</v>
      </c>
      <c r="G43" s="1686" t="s">
        <v>664</v>
      </c>
      <c r="H43" s="407"/>
      <c r="I43" s="407"/>
      <c r="J43" s="277" t="s">
        <v>665</v>
      </c>
      <c r="K43" s="549"/>
      <c r="L43" s="1676"/>
      <c r="M43" s="1676"/>
      <c r="R43" s="1676"/>
      <c r="U43" s="550"/>
      <c r="AA43" s="1672"/>
      <c r="AB43" s="1672"/>
      <c r="AC43" s="1672"/>
      <c r="AD43" s="1672"/>
      <c r="AE43" s="1672"/>
    </row>
    <row s="3292" customFormat="1" customHeight="1" ht="22.5">
      <c r="A44" s="994"/>
      <c r="C44" s="1676"/>
      <c r="D44" s="1678"/>
      <c r="E44" s="1704" t="s">
        <v>90</v>
      </c>
      <c r="F44" s="713" t="s">
        <v>666</v>
      </c>
      <c r="G44" s="1683" t="s">
        <v>667</v>
      </c>
      <c r="H44" s="551"/>
      <c r="I44" s="551"/>
      <c r="J44" s="277" t="s">
        <v>668</v>
      </c>
      <c r="K44" s="549"/>
      <c r="L44" s="1676"/>
      <c r="M44" s="1676"/>
      <c r="R44" s="1676"/>
      <c r="U44" s="550"/>
      <c r="AA44" s="1672"/>
      <c r="AB44" s="1672"/>
      <c r="AC44" s="1672"/>
      <c r="AD44" s="1672"/>
      <c r="AE44" s="1672"/>
    </row>
    <row s="3292" customFormat="1" customHeight="1" ht="22.5">
      <c r="A45" s="994"/>
      <c r="C45" s="1676"/>
      <c r="D45" s="1678"/>
      <c r="E45" s="1704" t="s">
        <v>91</v>
      </c>
      <c r="F45" s="713" t="s">
        <v>669</v>
      </c>
      <c r="G45" s="1694" t="s">
        <v>670</v>
      </c>
      <c r="H45" s="551"/>
      <c r="I45" s="551"/>
      <c r="J45" s="277" t="s">
        <v>671</v>
      </c>
      <c r="K45" s="549"/>
      <c r="L45" s="1676"/>
      <c r="M45" s="1676"/>
      <c r="R45" s="1676"/>
      <c r="U45" s="550"/>
      <c r="AA45" s="1672"/>
      <c r="AB45" s="1672"/>
      <c r="AC45" s="1672"/>
      <c r="AD45" s="1672"/>
      <c r="AE45" s="1672"/>
    </row>
    <row s="3292" customFormat="1" customHeight="1" ht="18.75">
      <c r="A46" s="994"/>
      <c r="C46" s="1676"/>
      <c r="D46" s="1678"/>
      <c r="E46" s="1704" t="s">
        <v>110</v>
      </c>
      <c r="F46" s="713" t="s">
        <v>672</v>
      </c>
      <c r="G46" s="1683" t="s">
        <v>574</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4752"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4752"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4752"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4752"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4752"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4752"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4752"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4752"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4752"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4752"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4752"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4752"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4752"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4752"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4752"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4752"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4752"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4752"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4752"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4752"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4752"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4752"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4752"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4752"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4752"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4752"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4752"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4752"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4752"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4752"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4752"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4752"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4752"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4752"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4752"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4752"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4752"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4752"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4752"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4752"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4752"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4752"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4752"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4752"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4752"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4752"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4752"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4752"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4752"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4752"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4752"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4752"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4752"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4752"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4752"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4752"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4752"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4752"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4752"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4752"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4752"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4752"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4752"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4752"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4752"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4752"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4752"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4752"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4752"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4752"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4752"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4752"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4752"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4752"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4752"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4752"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4752"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4752"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4752"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4752"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4752"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4752"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4752"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4752"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4752"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752"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752"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752"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752"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752"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752"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752"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752"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752"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752"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752"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752"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752"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752"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752"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752"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752"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752"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752"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752"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752"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752"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752"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752"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752"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752"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752"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752"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752"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752"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752"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752"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752"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752"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752"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752"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752"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752"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752"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752"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752"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752"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752"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752"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752"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752"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752"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752"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752"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752"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752"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752"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752"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752"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752"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752"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752"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752"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752"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752"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752"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752"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4752"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4752"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4752"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4752"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4752"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4752"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4752"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4752"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4752"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CCF9D6-AF2F-0FD4-BF88-B04B015BC8BE}"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725" width="10.7109375" hidden="1" customWidth="1"/>
    <col min="2" max="2" style="3292" width="16.8515625" hidden="1" customWidth="1"/>
    <col min="3" max="3" style="4716" width="5.57421875" hidden="1" customWidth="1"/>
    <col min="4" max="4" style="4828"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4716" width="5.28125" customWidth="1"/>
    <col min="13" max="13" style="4716" width="3.7109375" customWidth="1"/>
    <col min="14" max="17" style="3292" width="3.7109375" customWidth="1"/>
    <col min="18" max="18" style="4716" width="10.57421875" customWidth="1"/>
    <col min="19" max="19" style="3292" width="34.7109375" customWidth="1"/>
    <col min="20" max="20" style="3292" width="9.421875" customWidth="1"/>
    <col min="21" max="21" style="4729"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98"/>
      <c r="F2" s="546"/>
      <c r="G2" s="1697" t="s">
        <v>536</v>
      </c>
      <c r="H2" s="547"/>
      <c r="I2" s="547"/>
      <c r="J2" s="548" t="s">
        <v>539</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673</v>
      </c>
      <c r="F6" s="2140"/>
      <c r="G6" s="2140"/>
      <c r="H6" s="2140"/>
      <c r="I6" s="2140"/>
      <c r="J6" s="562"/>
    </row>
    <row customHeight="1" ht="24">
      <c r="E7" s="2141" t="str">
        <f>IF(org=0,"Не определено",org)</f>
        <v>АО "РИР" (филиал в г. Глазове)</v>
      </c>
      <c r="F7" s="2141"/>
      <c r="G7" s="2141"/>
      <c r="H7" s="2141"/>
      <c r="I7" s="2141"/>
    </row>
    <row customHeight="1" ht="11.25">
      <c r="E8" s="1143"/>
      <c r="F8" s="1143"/>
      <c r="G8" s="1143"/>
      <c r="H8" s="1143"/>
      <c r="I8" s="1143"/>
    </row>
    <row s="4716" customFormat="1" customHeight="1" ht="0.75">
      <c r="A9" s="1175"/>
      <c r="D9" s="1682"/>
      <c r="H9" s="895"/>
      <c r="I9" s="895" t="s">
        <v>115</v>
      </c>
    </row>
    <row customHeight="1" ht="11.25">
      <c r="E10" s="717"/>
      <c r="F10" s="2213" t="s">
        <v>103</v>
      </c>
      <c r="G10" s="2214"/>
      <c r="H10" s="1699" t="str">
        <f>IF(H9="","",INDEX(DIFFERENTIATION_UNMERGE_VD,MATCH(H9,DIFFERENTIATION_ID_DIFF,0)))</f>
        <v/>
      </c>
      <c r="I10" s="1699">
        <f>IF(I9="","",INDEX(DIFFERENTIATION_UNMERGE_VD,MATCH(I9,DIFFERENTIATION_ID_DIFF,0)))</f>
        <v>0</v>
      </c>
      <c r="J10" s="1971"/>
    </row>
    <row customHeight="1" ht="11.25">
      <c r="E11" s="717"/>
      <c r="F11" s="2213" t="s">
        <v>548</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549</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288</v>
      </c>
      <c r="F13" s="2216"/>
      <c r="G13" s="2216"/>
      <c r="H13" s="1696"/>
      <c r="I13" s="1696"/>
      <c r="J13" s="1971"/>
    </row>
    <row customHeight="1" ht="22.5">
      <c r="E14" s="1697" t="s">
        <v>86</v>
      </c>
      <c r="F14" s="1700" t="s">
        <v>290</v>
      </c>
      <c r="G14" s="1700" t="s">
        <v>550</v>
      </c>
      <c r="H14" s="1700" t="s">
        <v>291</v>
      </c>
      <c r="I14" s="1700" t="s">
        <v>291</v>
      </c>
      <c r="J14" s="1971"/>
    </row>
    <row customHeight="1" ht="18.75">
      <c r="D15" s="1678"/>
      <c r="E15" s="1670" t="s">
        <v>107</v>
      </c>
      <c r="F15" s="713" t="s">
        <v>674</v>
      </c>
      <c r="G15" s="1697" t="s">
        <v>536</v>
      </c>
      <c r="H15" s="563"/>
      <c r="I15" s="563"/>
      <c r="J15" s="277" t="s">
        <v>675</v>
      </c>
      <c r="K15" s="549" t="s">
        <v>603</v>
      </c>
    </row>
    <row customHeight="1" ht="22.5">
      <c r="D16" s="1678"/>
      <c r="E16" s="1670" t="s">
        <v>108</v>
      </c>
      <c r="F16" s="1705" t="s">
        <v>676</v>
      </c>
      <c r="G16" s="1697" t="s">
        <v>536</v>
      </c>
      <c r="H16" s="564">
        <f>SUM(H17,H20:H27)</f>
        <v>0</v>
      </c>
      <c r="I16" s="564">
        <f>SUM(I17,I20:I27)</f>
        <v>0</v>
      </c>
      <c r="J16" s="277" t="s">
        <v>677</v>
      </c>
      <c r="K16" s="549" t="s">
        <v>603</v>
      </c>
    </row>
    <row customHeight="1" ht="33.75">
      <c r="D17" s="1678"/>
      <c r="E17" s="1704" t="s">
        <v>606</v>
      </c>
      <c r="F17" s="1707" t="s">
        <v>678</v>
      </c>
      <c r="G17" s="1694" t="s">
        <v>536</v>
      </c>
      <c r="H17" s="563"/>
      <c r="I17" s="563"/>
      <c r="J17" s="277" t="s">
        <v>679</v>
      </c>
      <c r="K17" s="549"/>
    </row>
    <row customHeight="1" ht="18.75">
      <c r="D18" s="1678"/>
      <c r="E18" s="1704" t="s">
        <v>609</v>
      </c>
      <c r="F18" s="1708" t="s">
        <v>680</v>
      </c>
      <c r="G18" s="1694" t="s">
        <v>536</v>
      </c>
      <c r="H18" s="563"/>
      <c r="I18" s="563"/>
      <c r="J18" s="277"/>
      <c r="K18" s="549"/>
    </row>
    <row customHeight="1" ht="22.5">
      <c r="D19" s="1678"/>
      <c r="E19" s="1704" t="s">
        <v>612</v>
      </c>
      <c r="F19" s="1708" t="s">
        <v>681</v>
      </c>
      <c r="G19" s="1694" t="s">
        <v>536</v>
      </c>
      <c r="H19" s="563"/>
      <c r="I19" s="563"/>
      <c r="J19" s="277"/>
      <c r="K19" s="549"/>
    </row>
    <row customHeight="1" ht="33.75">
      <c r="D20" s="1678"/>
      <c r="E20" s="1704" t="s">
        <v>295</v>
      </c>
      <c r="F20" s="1707" t="s">
        <v>682</v>
      </c>
      <c r="G20" s="1694" t="s">
        <v>536</v>
      </c>
      <c r="H20" s="563"/>
      <c r="I20" s="563"/>
      <c r="J20" s="277"/>
      <c r="K20" s="549"/>
    </row>
    <row customHeight="1" ht="33.75">
      <c r="D21" s="1678"/>
      <c r="E21" s="1704" t="s">
        <v>298</v>
      </c>
      <c r="F21" s="1707" t="s">
        <v>683</v>
      </c>
      <c r="G21" s="1694" t="s">
        <v>536</v>
      </c>
      <c r="H21" s="563"/>
      <c r="I21" s="563"/>
      <c r="J21" s="277"/>
      <c r="K21" s="549"/>
    </row>
    <row customHeight="1" ht="56.25">
      <c r="D22" s="1678"/>
      <c r="E22" s="1704" t="s">
        <v>626</v>
      </c>
      <c r="F22" s="1707" t="s">
        <v>684</v>
      </c>
      <c r="G22" s="1694" t="s">
        <v>536</v>
      </c>
      <c r="H22" s="563"/>
      <c r="I22" s="563"/>
      <c r="J22" s="277"/>
      <c r="K22" s="549"/>
    </row>
    <row customHeight="1" ht="33.75">
      <c r="D23" s="1678"/>
      <c r="E23" s="1704" t="s">
        <v>633</v>
      </c>
      <c r="F23" s="1707" t="s">
        <v>685</v>
      </c>
      <c r="G23" s="1694" t="s">
        <v>536</v>
      </c>
      <c r="H23" s="563"/>
      <c r="I23" s="563"/>
      <c r="J23" s="277"/>
      <c r="K23" s="549"/>
    </row>
    <row customHeight="1" ht="33.75">
      <c r="D24" s="1678"/>
      <c r="E24" s="1704" t="s">
        <v>635</v>
      </c>
      <c r="F24" s="1707" t="s">
        <v>686</v>
      </c>
      <c r="G24" s="1694" t="s">
        <v>536</v>
      </c>
      <c r="H24" s="563"/>
      <c r="I24" s="563"/>
      <c r="J24" s="277"/>
      <c r="K24" s="549"/>
    </row>
    <row customHeight="1" ht="22.5">
      <c r="D25" s="1678"/>
      <c r="E25" s="1704" t="s">
        <v>637</v>
      </c>
      <c r="F25" s="1707" t="s">
        <v>687</v>
      </c>
      <c r="G25" s="1694" t="s">
        <v>536</v>
      </c>
      <c r="H25" s="563"/>
      <c r="I25" s="563"/>
      <c r="J25" s="277"/>
      <c r="K25" s="549"/>
    </row>
    <row customHeight="1" ht="67.5">
      <c r="D26" s="1678"/>
      <c r="E26" s="1704" t="s">
        <v>639</v>
      </c>
      <c r="F26" s="1707" t="s">
        <v>688</v>
      </c>
      <c r="G26" s="1694" t="s">
        <v>536</v>
      </c>
      <c r="H26" s="563"/>
      <c r="I26" s="563"/>
      <c r="J26" s="277"/>
      <c r="K26" s="549"/>
    </row>
    <row s="3292" customFormat="1" customHeight="1" ht="22.5">
      <c r="A27" s="994"/>
      <c r="C27" s="1676"/>
      <c r="D27" s="1678"/>
      <c r="E27" s="1669" t="s">
        <v>643</v>
      </c>
      <c r="F27" s="1668" t="s">
        <v>689</v>
      </c>
      <c r="G27" s="1695" t="s">
        <v>536</v>
      </c>
      <c r="H27" s="585">
        <f>SUM(H28:H29)</f>
        <v>0</v>
      </c>
      <c r="I27" s="585">
        <f>SUM(I28:I29)</f>
        <v>0</v>
      </c>
      <c r="J27" s="277" t="s">
        <v>641</v>
      </c>
      <c r="K27" s="549"/>
      <c r="L27" s="1676"/>
      <c r="M27" s="1676"/>
      <c r="R27" s="1676"/>
      <c r="U27" s="550"/>
      <c r="AA27" s="1672"/>
      <c r="AB27" s="1672"/>
      <c r="AC27" s="1672"/>
      <c r="AD27" s="1672"/>
      <c r="AE27" s="1672"/>
    </row>
    <row s="4716" customFormat="1" customHeight="1" ht="0.75">
      <c r="A28" s="1175"/>
      <c r="D28" s="554"/>
      <c r="E28" s="808" t="str">
        <f>E27&amp;".0"</f>
        <v>2.9.0</v>
      </c>
      <c r="F28" s="998"/>
      <c r="G28" s="557"/>
      <c r="H28" s="999"/>
      <c r="I28" s="999"/>
      <c r="J28" s="1000"/>
    </row>
    <row s="3292" customFormat="1" customHeight="1" ht="18.75">
      <c r="A29" s="994"/>
      <c r="C29" s="1676"/>
      <c r="D29" s="1673"/>
      <c r="E29" s="576"/>
      <c r="F29" s="1706" t="s">
        <v>561</v>
      </c>
      <c r="G29" s="578"/>
      <c r="H29" s="579"/>
      <c r="I29" s="579"/>
      <c r="J29" s="289" t="s">
        <v>642</v>
      </c>
      <c r="K29" s="549"/>
      <c r="L29" s="1676"/>
      <c r="M29" s="1676"/>
      <c r="R29" s="1676"/>
      <c r="U29" s="550"/>
      <c r="AA29" s="1672"/>
      <c r="AB29" s="1672"/>
      <c r="AC29" s="1672"/>
      <c r="AD29" s="1672"/>
      <c r="AE29" s="1672"/>
    </row>
    <row s="3292" customFormat="1" customHeight="1" ht="22.5">
      <c r="A30" s="994"/>
      <c r="C30" s="1676"/>
      <c r="D30" s="1678"/>
      <c r="E30" s="1704" t="s">
        <v>88</v>
      </c>
      <c r="F30" s="1701" t="s">
        <v>690</v>
      </c>
      <c r="G30" s="1694" t="s">
        <v>536</v>
      </c>
      <c r="H30" s="563"/>
      <c r="I30" s="563"/>
      <c r="J30" s="277"/>
      <c r="K30" s="549"/>
      <c r="L30" s="1676"/>
      <c r="M30" s="1676"/>
      <c r="R30" s="1676"/>
      <c r="U30" s="550"/>
      <c r="AA30" s="1672"/>
      <c r="AB30" s="1672"/>
      <c r="AC30" s="1672"/>
      <c r="AD30" s="1672"/>
      <c r="AE30" s="1672"/>
    </row>
    <row s="3292" customFormat="1" customHeight="1" ht="33.75">
      <c r="A31" s="994"/>
      <c r="C31" s="1676"/>
      <c r="D31" s="581"/>
      <c r="E31" s="1704" t="s">
        <v>89</v>
      </c>
      <c r="F31" s="1701" t="s">
        <v>691</v>
      </c>
      <c r="G31" s="1694" t="s">
        <v>536</v>
      </c>
      <c r="H31" s="563"/>
      <c r="I31" s="563"/>
      <c r="J31" s="277" t="s">
        <v>692</v>
      </c>
      <c r="K31" s="549"/>
      <c r="L31" s="1676"/>
      <c r="M31" s="1676"/>
      <c r="R31" s="1676"/>
      <c r="U31" s="550"/>
      <c r="AA31" s="1672"/>
      <c r="AB31" s="1672"/>
      <c r="AC31" s="1672"/>
      <c r="AD31" s="1672"/>
      <c r="AE31" s="1672"/>
    </row>
    <row s="3292" customFormat="1" customHeight="1" ht="22.5">
      <c r="A32" s="994"/>
      <c r="C32" s="1676"/>
      <c r="D32" s="1678"/>
      <c r="E32" s="1704" t="s">
        <v>651</v>
      </c>
      <c r="F32" s="696" t="s">
        <v>655</v>
      </c>
      <c r="G32" s="1694" t="s">
        <v>536</v>
      </c>
      <c r="H32" s="563"/>
      <c r="I32" s="563"/>
      <c r="J32" s="277" t="s">
        <v>693</v>
      </c>
      <c r="K32" s="549"/>
      <c r="L32" s="1676"/>
      <c r="M32" s="1676"/>
      <c r="R32" s="1676"/>
      <c r="U32" s="550"/>
      <c r="AA32" s="1672"/>
      <c r="AB32" s="1672"/>
      <c r="AC32" s="1672"/>
      <c r="AD32" s="1672"/>
      <c r="AE32" s="1672"/>
    </row>
    <row s="3292" customFormat="1" customHeight="1" ht="22.5">
      <c r="A33" s="994"/>
      <c r="C33" s="1676"/>
      <c r="D33" s="1678"/>
      <c r="E33" s="1704" t="s">
        <v>694</v>
      </c>
      <c r="F33" s="696" t="s">
        <v>695</v>
      </c>
      <c r="G33" s="1694" t="s">
        <v>536</v>
      </c>
      <c r="H33" s="563"/>
      <c r="I33" s="563"/>
      <c r="J33" s="277" t="s">
        <v>696</v>
      </c>
      <c r="K33" s="549"/>
      <c r="L33" s="1676"/>
      <c r="M33" s="1676"/>
      <c r="R33" s="1676"/>
      <c r="U33" s="550"/>
      <c r="AA33" s="1672"/>
      <c r="AB33" s="1672"/>
      <c r="AC33" s="1672"/>
      <c r="AD33" s="1672"/>
      <c r="AE33" s="1672"/>
    </row>
    <row s="3292" customFormat="1" customHeight="1" ht="22.5">
      <c r="A34" s="994"/>
      <c r="C34" s="1676"/>
      <c r="D34" s="1678"/>
      <c r="E34" s="1704" t="s">
        <v>697</v>
      </c>
      <c r="F34" s="696" t="s">
        <v>661</v>
      </c>
      <c r="G34" s="1694" t="s">
        <v>536</v>
      </c>
      <c r="H34" s="563"/>
      <c r="I34" s="563"/>
      <c r="J34" s="277" t="s">
        <v>698</v>
      </c>
      <c r="K34" s="549"/>
      <c r="L34" s="1676"/>
      <c r="M34" s="1676"/>
      <c r="R34" s="1676"/>
      <c r="U34" s="550"/>
      <c r="AA34" s="1672"/>
      <c r="AB34" s="1672"/>
      <c r="AC34" s="1672"/>
      <c r="AD34" s="1672"/>
      <c r="AE34" s="1672"/>
    </row>
    <row s="3292" customFormat="1" customHeight="1" ht="33.75">
      <c r="A35" s="994"/>
      <c r="C35" s="1676" t="s">
        <v>572</v>
      </c>
      <c r="D35" s="1678"/>
      <c r="E35" s="1704" t="s">
        <v>109</v>
      </c>
      <c r="F35" s="1701" t="s">
        <v>663</v>
      </c>
      <c r="G35" s="1697" t="s">
        <v>294</v>
      </c>
      <c r="H35" s="407"/>
      <c r="I35" s="407"/>
      <c r="J35" s="277" t="s">
        <v>699</v>
      </c>
      <c r="K35" s="549"/>
      <c r="L35" s="1676"/>
      <c r="M35" s="1676"/>
      <c r="R35" s="1676"/>
      <c r="U35" s="550"/>
      <c r="AA35" s="1672"/>
      <c r="AB35" s="1672"/>
      <c r="AC35" s="1672"/>
      <c r="AD35" s="1672"/>
      <c r="AE35" s="1672"/>
    </row>
    <row s="3292" customFormat="1" customHeight="1" ht="22.5">
      <c r="A36" s="994"/>
      <c r="C36" s="1676"/>
      <c r="D36" s="1678"/>
      <c r="E36" s="1704" t="s">
        <v>90</v>
      </c>
      <c r="F36" s="1701" t="s">
        <v>700</v>
      </c>
      <c r="G36" s="1694" t="s">
        <v>667</v>
      </c>
      <c r="H36" s="551"/>
      <c r="I36" s="551"/>
      <c r="J36" s="277" t="s">
        <v>668</v>
      </c>
      <c r="K36" s="549"/>
      <c r="L36" s="1676"/>
      <c r="M36" s="1676"/>
      <c r="R36" s="1676"/>
      <c r="U36" s="550"/>
      <c r="AA36" s="1672"/>
      <c r="AB36" s="1672"/>
      <c r="AC36" s="1672"/>
      <c r="AD36" s="1672"/>
      <c r="AE36" s="1672"/>
    </row>
    <row s="3292" customFormat="1" customHeight="1" ht="22.5">
      <c r="A37" s="994"/>
      <c r="C37" s="1676"/>
      <c r="D37" s="1678"/>
      <c r="E37" s="1704" t="s">
        <v>91</v>
      </c>
      <c r="F37" s="1701" t="s">
        <v>701</v>
      </c>
      <c r="G37" s="1694" t="s">
        <v>670</v>
      </c>
      <c r="H37" s="551"/>
      <c r="I37" s="551"/>
      <c r="J37" s="277" t="s">
        <v>671</v>
      </c>
      <c r="K37" s="549"/>
      <c r="L37" s="1676"/>
      <c r="M37" s="1676"/>
      <c r="R37" s="1676"/>
      <c r="U37" s="550"/>
      <c r="AA37" s="1672"/>
      <c r="AB37" s="1672"/>
      <c r="AC37" s="1672"/>
      <c r="AD37" s="1672"/>
      <c r="AE37" s="1672"/>
    </row>
    <row customHeight="1" ht="11.25">
      <c r="D38" s="1678"/>
    </row>
    <row customHeight="1" ht="26.25">
      <c r="D39" s="1678"/>
      <c r="E39" s="1273" t="s">
        <v>702</v>
      </c>
      <c r="F39" s="2106" t="s">
        <v>703</v>
      </c>
      <c r="G39" s="2106"/>
      <c r="H39" s="2106"/>
      <c r="I39" s="2106"/>
      <c r="J39" s="2106"/>
    </row>
    <row s="4752" customFormat="1" customHeight="1" ht="37.5">
      <c r="A40" s="994"/>
      <c r="B40" s="1676"/>
      <c r="C40" s="1676"/>
      <c r="D40" s="347"/>
      <c r="F40" s="2106" t="s">
        <v>704</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4752"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4752"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4752"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4752"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4752"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4752"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4752"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4752"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4752"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4752"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4752"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4752"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4752"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4752"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4752"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4752"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4752"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4752"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4752"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4752"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4752"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4752"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4752"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4752"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4752"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4752"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4752"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4752"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4752"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4752"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4752"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4752"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4752"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4752"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4752"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4752"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4752"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4752"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4752"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4752"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4752"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4752"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4752"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4752"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4752"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4752"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4752"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4752"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4752"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4752"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4752"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4752"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4752"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4752"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4752"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4752"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4752"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4752"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4752"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4752"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4752"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4752"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4752"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4752"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4752"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4752"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4752"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4752"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4752"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4752"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4752"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4752"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4752"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4752"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4752"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4752"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4752"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4752"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4752"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4752"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4752"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4752"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4752"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4752"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4752"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4752"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4752"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4752"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4752"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4752"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4752"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4752"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4752"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752"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752"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752"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752"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752"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752"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752"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752"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752"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752"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752"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752"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752"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752"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752"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752"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752"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752"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752"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752"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752"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752"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752"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752"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752"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752"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752"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752"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752"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752"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752"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752"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752"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752"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752"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752"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752"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752"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752"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752"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752"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752"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752"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752"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752"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752"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752"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752"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752"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752"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752"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752"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752"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752"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752"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752"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752"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752"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752"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752"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752"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752"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B0BF36-E25C-B2D7-3F49-248F5993CE73}"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927" width="9.140625" hidden="1" customWidth="1"/>
    <col min="2" max="2" style="2613" width="3.57421875" hidden="1" customWidth="1"/>
    <col min="3" max="3" style="3153" width="3.7109375" customWidth="1"/>
    <col min="4" max="4" style="3153" width="7.7109375" customWidth="1"/>
    <col min="5" max="5" style="3153" width="69.8515625" customWidth="1"/>
    <col min="6" max="6" style="3153" width="11.140625" customWidth="1"/>
    <col min="7" max="8" style="3153" width="44.00390625" hidden="1" customWidth="1"/>
    <col min="9" max="10" style="2625" width="44.00390625" customWidth="1"/>
    <col min="11" max="11" style="3153" width="74.00390625" customWidth="1"/>
    <col min="12" max="12" style="3153" width="3.7109375" customWidth="1"/>
    <col min="13" max="23" style="3153" width="10.57421875"/>
  </cols>
  <sheetData>
    <row s="2626" customFormat="1" customHeight="1" ht="11.25" hidden="1">
      <c r="A1" s="542"/>
      <c r="B1" s="517"/>
      <c r="G1" s="423">
        <v>4</v>
      </c>
      <c r="I1" s="423">
        <v>4</v>
      </c>
      <c r="K1" s="423">
        <v>5</v>
      </c>
    </row>
    <row customHeight="1" ht="3"/>
    <row customHeight="1" ht="75">
      <c r="D3" s="209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2"/>
      <c r="F3" s="2093"/>
    </row>
    <row s="2625" customFormat="1" customHeight="1" ht="20.25">
      <c r="A4" s="958"/>
      <c r="B4" s="517"/>
      <c r="D4" s="2079" t="str">
        <f>IF(org=0,"Не определено",org)</f>
        <v>АО "РИР" (филиал в г. Глазове)</v>
      </c>
      <c r="E4" s="2080"/>
      <c r="F4" s="2081"/>
    </row>
    <row customHeight="1" ht="11.25">
      <c r="C5" s="515"/>
      <c r="D5" s="594"/>
      <c r="E5" s="594"/>
      <c r="F5" s="594"/>
      <c r="G5" s="594"/>
      <c r="H5" s="758"/>
      <c r="I5" s="594"/>
      <c r="J5" s="758"/>
      <c r="K5" s="594"/>
    </row>
    <row customHeight="1" ht="0.75">
      <c r="C6" s="515"/>
      <c r="D6" s="515"/>
      <c r="E6" s="528"/>
      <c r="F6" s="620"/>
      <c r="G6" s="1029"/>
      <c r="H6" s="1029"/>
      <c r="I6" s="1029" t="s">
        <v>115</v>
      </c>
      <c r="J6" s="1029"/>
    </row>
    <row customHeight="1" ht="11.25">
      <c r="D7" s="717"/>
      <c r="E7" s="2213" t="s">
        <v>103</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548</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549</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5" customFormat="1" customHeight="1" ht="11.25">
      <c r="A10" s="1028"/>
      <c r="B10" s="517"/>
      <c r="D10" s="1955" t="s">
        <v>288</v>
      </c>
      <c r="E10" s="1956"/>
      <c r="F10" s="1956"/>
      <c r="G10" s="1956"/>
      <c r="H10" s="1956"/>
      <c r="I10" s="1956"/>
      <c r="J10" s="1957"/>
      <c r="K10" s="2036"/>
      <c r="L10" s="515"/>
    </row>
    <row s="2629" customFormat="1" customHeight="1" ht="22.5">
      <c r="A11" s="2233"/>
      <c r="B11" s="2233"/>
      <c r="C11" s="663"/>
      <c r="D11" s="709" t="s">
        <v>86</v>
      </c>
      <c r="E11" s="711" t="s">
        <v>705</v>
      </c>
      <c r="F11" s="711" t="s">
        <v>550</v>
      </c>
      <c r="G11" s="471" t="s">
        <v>291</v>
      </c>
      <c r="H11" s="471" t="s">
        <v>380</v>
      </c>
      <c r="I11" s="813" t="s">
        <v>291</v>
      </c>
      <c r="J11" s="814" t="s">
        <v>380</v>
      </c>
      <c r="K11" s="2090"/>
      <c r="L11" s="664"/>
    </row>
    <row s="2613" customFormat="1" customHeight="1" ht="10.5">
      <c r="A12" s="959"/>
      <c r="D12" s="1032" t="s">
        <v>107</v>
      </c>
      <c r="E12" s="1032" t="s">
        <v>108</v>
      </c>
      <c r="F12" s="1032" t="s">
        <v>88</v>
      </c>
      <c r="G12" s="1033" t="str">
        <f>G1&amp;".1"</f>
        <v>4.1</v>
      </c>
      <c r="H12" s="1033" t="str">
        <f>G1&amp;".2"</f>
        <v>4.2</v>
      </c>
      <c r="I12" s="1033" t="str">
        <f>I1&amp;".1"</f>
        <v>4.1</v>
      </c>
      <c r="J12" s="1033" t="str">
        <f>I1&amp;".2"</f>
        <v>4.2</v>
      </c>
      <c r="K12" s="1033"/>
    </row>
    <row customHeight="1" ht="22.5" hidden="1">
      <c r="A13" s="2232" t="s">
        <v>706</v>
      </c>
      <c r="D13" s="960" t="s">
        <v>107</v>
      </c>
      <c r="E13" s="267" t="s">
        <v>707</v>
      </c>
      <c r="F13" s="666" t="s">
        <v>708</v>
      </c>
      <c r="G13" s="563"/>
      <c r="H13" s="667"/>
      <c r="I13" s="563"/>
      <c r="J13" s="667"/>
      <c r="K13" s="277" t="s">
        <v>709</v>
      </c>
      <c r="L13" s="726"/>
    </row>
    <row customHeight="1" ht="22.5" hidden="1">
      <c r="A14" s="2232"/>
      <c r="D14" s="545" t="s">
        <v>108</v>
      </c>
      <c r="E14" s="267" t="s">
        <v>710</v>
      </c>
      <c r="F14" s="666" t="s">
        <v>711</v>
      </c>
      <c r="G14" s="563"/>
      <c r="H14" s="668"/>
      <c r="I14" s="563"/>
      <c r="J14" s="668"/>
      <c r="K14" s="277" t="s">
        <v>712</v>
      </c>
      <c r="L14" s="726"/>
    </row>
    <row s="2625" customFormat="1" customHeight="1" ht="78.75" hidden="1">
      <c r="A15" s="2232"/>
      <c r="B15" s="517"/>
      <c r="D15" s="960" t="s">
        <v>88</v>
      </c>
      <c r="E15" s="713" t="s">
        <v>713</v>
      </c>
      <c r="F15" s="957" t="s">
        <v>294</v>
      </c>
      <c r="G15" s="957" t="s">
        <v>294</v>
      </c>
      <c r="H15" s="92"/>
      <c r="I15" s="957" t="s">
        <v>294</v>
      </c>
      <c r="J15" s="92"/>
      <c r="K15" s="277" t="s">
        <v>714</v>
      </c>
      <c r="L15" s="726"/>
    </row>
    <row s="2625" customFormat="1" customHeight="1" ht="22.5" hidden="1">
      <c r="A16" s="2232"/>
      <c r="B16" s="517"/>
      <c r="D16" s="960" t="s">
        <v>314</v>
      </c>
      <c r="E16" s="961" t="s">
        <v>715</v>
      </c>
      <c r="F16" s="957" t="s">
        <v>716</v>
      </c>
      <c r="G16" s="823"/>
      <c r="H16" s="92"/>
      <c r="I16" s="823"/>
      <c r="J16" s="92"/>
      <c r="K16" s="277"/>
      <c r="L16" s="726"/>
    </row>
    <row s="2625" customFormat="1" customHeight="1" ht="22.5" hidden="1">
      <c r="A17" s="2232"/>
      <c r="B17" s="517"/>
      <c r="D17" s="960" t="s">
        <v>322</v>
      </c>
      <c r="E17" s="961" t="s">
        <v>717</v>
      </c>
      <c r="F17" s="957" t="s">
        <v>718</v>
      </c>
      <c r="G17" s="823"/>
      <c r="H17" s="92"/>
      <c r="I17" s="823"/>
      <c r="J17" s="92"/>
      <c r="K17" s="277"/>
      <c r="L17" s="726"/>
    </row>
    <row s="2625" customFormat="1" customHeight="1" ht="33.75" hidden="1">
      <c r="A18" s="2232"/>
      <c r="B18" s="517"/>
      <c r="D18" s="960" t="s">
        <v>324</v>
      </c>
      <c r="E18" s="961" t="s">
        <v>719</v>
      </c>
      <c r="F18" s="957" t="s">
        <v>555</v>
      </c>
      <c r="G18" s="686"/>
      <c r="H18" s="92"/>
      <c r="I18" s="686"/>
      <c r="J18" s="92"/>
      <c r="K18" s="277"/>
      <c r="L18" s="726"/>
    </row>
    <row customHeight="1" ht="101.25" hidden="1">
      <c r="A19" s="2232"/>
      <c r="D19" s="960" t="s">
        <v>89</v>
      </c>
      <c r="E19" s="267" t="s">
        <v>720</v>
      </c>
      <c r="F19" s="666" t="s">
        <v>530</v>
      </c>
      <c r="G19" s="669"/>
      <c r="H19" s="668"/>
      <c r="I19" s="962"/>
      <c r="J19" s="668"/>
      <c r="K19" s="277" t="s">
        <v>721</v>
      </c>
      <c r="L19" s="726"/>
    </row>
    <row s="2625" customFormat="1" customHeight="1" ht="18.75" hidden="1">
      <c r="A20" s="2232"/>
      <c r="C20" s="963"/>
      <c r="D20" s="960" t="s">
        <v>651</v>
      </c>
      <c r="E20" s="961" t="s">
        <v>722</v>
      </c>
      <c r="F20" s="957" t="s">
        <v>294</v>
      </c>
      <c r="G20" s="957" t="s">
        <v>294</v>
      </c>
      <c r="H20" s="956" t="s">
        <v>294</v>
      </c>
      <c r="I20" s="957" t="s">
        <v>294</v>
      </c>
      <c r="J20" s="956" t="s">
        <v>294</v>
      </c>
      <c r="K20" s="955"/>
      <c r="L20" s="726"/>
      <c r="W20" s="681"/>
    </row>
    <row s="2625" customFormat="1" customHeight="1" ht="33.75" hidden="1">
      <c r="A21" s="2232"/>
      <c r="C21" s="963"/>
      <c r="D21" s="960" t="s">
        <v>654</v>
      </c>
      <c r="E21" s="582" t="s">
        <v>723</v>
      </c>
      <c r="F21" s="957" t="s">
        <v>724</v>
      </c>
      <c r="G21" s="949"/>
      <c r="H21" s="92"/>
      <c r="I21" s="949"/>
      <c r="J21" s="92"/>
      <c r="K21" s="955"/>
      <c r="L21" s="726"/>
      <c r="W21" s="681"/>
    </row>
    <row s="2625" customFormat="1" customHeight="1" ht="33.75" hidden="1">
      <c r="A22" s="2232"/>
      <c r="C22" s="963"/>
      <c r="D22" s="960" t="s">
        <v>657</v>
      </c>
      <c r="E22" s="582" t="s">
        <v>725</v>
      </c>
      <c r="F22" s="957" t="s">
        <v>726</v>
      </c>
      <c r="G22" s="949"/>
      <c r="H22" s="92"/>
      <c r="I22" s="949"/>
      <c r="J22" s="92"/>
      <c r="K22" s="955"/>
      <c r="L22" s="726"/>
      <c r="W22" s="681"/>
    </row>
    <row s="2625" customFormat="1" customHeight="1" ht="22.5" hidden="1">
      <c r="A23" s="2232"/>
      <c r="C23" s="963"/>
      <c r="D23" s="960" t="s">
        <v>694</v>
      </c>
      <c r="E23" s="961" t="s">
        <v>727</v>
      </c>
      <c r="F23" s="957" t="s">
        <v>294</v>
      </c>
      <c r="G23" s="957" t="s">
        <v>294</v>
      </c>
      <c r="H23" s="956" t="s">
        <v>294</v>
      </c>
      <c r="I23" s="957" t="s">
        <v>294</v>
      </c>
      <c r="J23" s="956" t="s">
        <v>294</v>
      </c>
      <c r="K23" s="955"/>
      <c r="L23" s="726"/>
      <c r="W23" s="681"/>
    </row>
    <row s="2625" customFormat="1" customHeight="1" ht="22.5" hidden="1">
      <c r="A24" s="2232"/>
      <c r="C24" s="963"/>
      <c r="D24" s="960" t="s">
        <v>728</v>
      </c>
      <c r="E24" s="582" t="s">
        <v>729</v>
      </c>
      <c r="F24" s="957" t="s">
        <v>730</v>
      </c>
      <c r="G24" s="949"/>
      <c r="H24" s="692"/>
      <c r="I24" s="949"/>
      <c r="J24" s="692"/>
      <c r="K24" s="955"/>
      <c r="L24" s="726"/>
      <c r="W24" s="681"/>
    </row>
    <row s="2625" customFormat="1" customHeight="1" ht="22.5" hidden="1">
      <c r="A25" s="2232"/>
      <c r="C25" s="963"/>
      <c r="D25" s="960" t="s">
        <v>731</v>
      </c>
      <c r="E25" s="582" t="s">
        <v>732</v>
      </c>
      <c r="F25" s="957" t="s">
        <v>294</v>
      </c>
      <c r="G25" s="957" t="s">
        <v>294</v>
      </c>
      <c r="H25" s="956" t="s">
        <v>294</v>
      </c>
      <c r="I25" s="957" t="s">
        <v>294</v>
      </c>
      <c r="J25" s="956" t="s">
        <v>294</v>
      </c>
      <c r="K25" s="955"/>
      <c r="L25" s="726"/>
      <c r="W25" s="681"/>
    </row>
    <row s="2625" customFormat="1" customHeight="1" ht="18.75" hidden="1">
      <c r="A26" s="2232"/>
      <c r="C26" s="963"/>
      <c r="D26" s="960" t="s">
        <v>733</v>
      </c>
      <c r="E26" s="559" t="s">
        <v>734</v>
      </c>
      <c r="F26" s="957" t="s">
        <v>735</v>
      </c>
      <c r="G26" s="686"/>
      <c r="H26" s="692"/>
      <c r="I26" s="686"/>
      <c r="J26" s="692"/>
      <c r="K26" s="955"/>
      <c r="L26" s="726"/>
      <c r="W26" s="681"/>
    </row>
    <row s="2625" customFormat="1" customHeight="1" ht="18.75" hidden="1">
      <c r="A27" s="2232"/>
      <c r="C27" s="963"/>
      <c r="D27" s="960" t="s">
        <v>736</v>
      </c>
      <c r="E27" s="559" t="s">
        <v>737</v>
      </c>
      <c r="F27" s="957" t="s">
        <v>738</v>
      </c>
      <c r="G27" s="686"/>
      <c r="H27" s="692"/>
      <c r="I27" s="686"/>
      <c r="J27" s="692"/>
      <c r="K27" s="955"/>
      <c r="L27" s="726"/>
      <c r="W27" s="681"/>
    </row>
    <row s="2625" customFormat="1" customHeight="1" ht="18.75" hidden="1">
      <c r="A28" s="2232"/>
      <c r="C28" s="963"/>
      <c r="D28" s="960" t="s">
        <v>739</v>
      </c>
      <c r="E28" s="582" t="s">
        <v>740</v>
      </c>
      <c r="F28" s="957" t="s">
        <v>294</v>
      </c>
      <c r="G28" s="957" t="s">
        <v>294</v>
      </c>
      <c r="H28" s="956" t="s">
        <v>294</v>
      </c>
      <c r="I28" s="957" t="s">
        <v>294</v>
      </c>
      <c r="J28" s="956" t="s">
        <v>294</v>
      </c>
      <c r="K28" s="955"/>
      <c r="L28" s="726"/>
      <c r="W28" s="681"/>
    </row>
    <row s="2625" customFormat="1" customHeight="1" ht="18.75" hidden="1">
      <c r="A29" s="2232"/>
      <c r="C29" s="963"/>
      <c r="D29" s="960" t="s">
        <v>741</v>
      </c>
      <c r="E29" s="559" t="s">
        <v>734</v>
      </c>
      <c r="F29" s="957" t="s">
        <v>742</v>
      </c>
      <c r="G29" s="686"/>
      <c r="H29" s="692"/>
      <c r="I29" s="686"/>
      <c r="J29" s="692"/>
      <c r="K29" s="955"/>
      <c r="L29" s="726"/>
      <c r="W29" s="681"/>
    </row>
    <row s="2625" customFormat="1" customHeight="1" ht="18.75" hidden="1">
      <c r="A30" s="2232"/>
      <c r="C30" s="963"/>
      <c r="D30" s="960" t="s">
        <v>743</v>
      </c>
      <c r="E30" s="559" t="s">
        <v>744</v>
      </c>
      <c r="F30" s="957" t="s">
        <v>745</v>
      </c>
      <c r="G30" s="686"/>
      <c r="H30" s="692"/>
      <c r="I30" s="686"/>
      <c r="J30" s="692"/>
      <c r="K30" s="955"/>
      <c r="L30" s="726"/>
      <c r="W30" s="681"/>
    </row>
    <row customHeight="1" ht="126.75" hidden="1">
      <c r="A31" s="2232"/>
      <c r="D31" s="960" t="s">
        <v>109</v>
      </c>
      <c r="E31" s="267" t="s">
        <v>746</v>
      </c>
      <c r="F31" s="666" t="s">
        <v>542</v>
      </c>
      <c r="G31" s="563"/>
      <c r="H31" s="668"/>
      <c r="I31" s="563"/>
      <c r="J31" s="668"/>
      <c r="K31" s="277" t="s">
        <v>747</v>
      </c>
      <c r="L31" s="726"/>
    </row>
    <row customHeight="1" ht="56.25" hidden="1">
      <c r="A32" s="2232"/>
      <c r="D32" s="960" t="s">
        <v>90</v>
      </c>
      <c r="E32" s="267" t="s">
        <v>748</v>
      </c>
      <c r="F32" s="545" t="s">
        <v>718</v>
      </c>
      <c r="G32" s="563"/>
      <c r="H32" s="668"/>
      <c r="I32" s="563"/>
      <c r="J32" s="668"/>
      <c r="K32" s="277" t="s">
        <v>749</v>
      </c>
      <c r="L32" s="726"/>
    </row>
    <row customHeight="1" ht="11.25" hidden="1">
      <c r="A33" s="2232"/>
      <c r="E33" s="670"/>
      <c r="F33" s="167"/>
      <c r="G33" s="167"/>
      <c r="H33" s="167"/>
      <c r="I33" s="167"/>
      <c r="J33" s="167"/>
      <c r="K33" s="167"/>
    </row>
    <row customHeight="1" ht="12.75" hidden="1">
      <c r="A34" s="2232"/>
      <c r="D34" s="49">
        <v>1</v>
      </c>
      <c r="E34" s="331" t="s">
        <v>750</v>
      </c>
    </row>
    <row customHeight="1" ht="11.25" hidden="1">
      <c r="A35" s="2232"/>
      <c r="D35" s="369"/>
      <c r="E35" s="331" t="s">
        <v>751</v>
      </c>
    </row>
    <row s="2629" customFormat="1" customHeight="1" ht="11.25">
      <c r="A36" s="1040"/>
      <c r="B36" s="524"/>
      <c r="D36" s="1041"/>
      <c r="E36" s="1042"/>
    </row>
    <row s="2625" customFormat="1" customHeight="1" ht="22.5">
      <c r="A37" s="2232" t="s">
        <v>752</v>
      </c>
      <c r="B37" s="517"/>
      <c r="D37" s="960">
        <v>1</v>
      </c>
      <c r="E37" s="713" t="s">
        <v>753</v>
      </c>
      <c r="F37" s="666" t="s">
        <v>708</v>
      </c>
      <c r="G37" s="563"/>
      <c r="H37" s="525"/>
      <c r="I37" s="563"/>
      <c r="J37" s="525"/>
      <c r="K37" s="277" t="s">
        <v>754</v>
      </c>
    </row>
    <row s="2625" customFormat="1" customHeight="1" ht="22.5">
      <c r="A38" s="2232"/>
      <c r="B38" s="517"/>
      <c r="D38" s="675" t="s">
        <v>108</v>
      </c>
      <c r="E38" s="1039" t="s">
        <v>755</v>
      </c>
      <c r="F38" s="1043" t="s">
        <v>530</v>
      </c>
      <c r="G38" s="1043" t="s">
        <v>530</v>
      </c>
      <c r="H38" s="1037"/>
      <c r="I38" s="1043" t="s">
        <v>530</v>
      </c>
      <c r="J38" s="1037"/>
      <c r="K38" s="1038"/>
    </row>
    <row s="2625" customFormat="1" customHeight="1" ht="33.75">
      <c r="A39" s="2232"/>
      <c r="B39" s="517"/>
      <c r="D39" s="671" t="s">
        <v>609</v>
      </c>
      <c r="E39" s="729" t="s">
        <v>756</v>
      </c>
      <c r="F39" s="666" t="s">
        <v>757</v>
      </c>
      <c r="G39" s="674"/>
      <c r="H39" s="1030"/>
      <c r="I39" s="674"/>
      <c r="J39" s="1030"/>
      <c r="K39" s="277" t="s">
        <v>758</v>
      </c>
    </row>
    <row s="2625" customFormat="1" customHeight="1" ht="33.75">
      <c r="A40" s="2232"/>
      <c r="B40" s="517"/>
      <c r="D40" s="671" t="s">
        <v>612</v>
      </c>
      <c r="E40" s="729" t="s">
        <v>759</v>
      </c>
      <c r="F40" s="1034" t="s">
        <v>760</v>
      </c>
      <c r="G40" s="747"/>
      <c r="H40" s="1030"/>
      <c r="I40" s="747"/>
      <c r="J40" s="1030"/>
      <c r="K40" s="277" t="s">
        <v>761</v>
      </c>
    </row>
    <row s="2625" customFormat="1" customHeight="1" ht="22.5">
      <c r="A41" s="2232"/>
      <c r="B41" s="517"/>
      <c r="D41" s="671" t="s">
        <v>88</v>
      </c>
      <c r="E41" s="728" t="s">
        <v>762</v>
      </c>
      <c r="F41" s="666" t="s">
        <v>530</v>
      </c>
      <c r="G41" s="666" t="s">
        <v>530</v>
      </c>
      <c r="H41" s="1031"/>
      <c r="I41" s="666" t="s">
        <v>530</v>
      </c>
      <c r="J41" s="1031"/>
      <c r="K41" s="290"/>
    </row>
    <row s="2625" customFormat="1" customHeight="1" ht="45">
      <c r="A42" s="2232"/>
      <c r="B42" s="517"/>
      <c r="D42" s="671" t="s">
        <v>314</v>
      </c>
      <c r="E42" s="729" t="s">
        <v>763</v>
      </c>
      <c r="F42" s="666" t="s">
        <v>542</v>
      </c>
      <c r="G42" s="563"/>
      <c r="H42" s="1031"/>
      <c r="I42" s="563"/>
      <c r="J42" s="1031"/>
      <c r="K42" s="290" t="s">
        <v>764</v>
      </c>
    </row>
    <row s="2625" customFormat="1" customHeight="1" ht="45">
      <c r="A43" s="2232"/>
      <c r="B43" s="517"/>
      <c r="D43" s="671" t="s">
        <v>322</v>
      </c>
      <c r="E43" s="673" t="s">
        <v>765</v>
      </c>
      <c r="F43" s="1035" t="s">
        <v>542</v>
      </c>
      <c r="G43" s="748"/>
      <c r="H43" s="1030"/>
      <c r="I43" s="748"/>
      <c r="J43" s="1030"/>
      <c r="K43" s="290" t="s">
        <v>766</v>
      </c>
    </row>
    <row s="2625" customFormat="1" customHeight="1" ht="11.25">
      <c r="A44" s="2232"/>
      <c r="B44" s="517"/>
      <c r="D44" s="671" t="s">
        <v>89</v>
      </c>
      <c r="E44" s="672" t="s">
        <v>767</v>
      </c>
      <c r="F44" s="666" t="s">
        <v>757</v>
      </c>
      <c r="G44" s="674"/>
      <c r="H44" s="1030"/>
      <c r="I44" s="674"/>
      <c r="J44" s="1030"/>
      <c r="K44" s="277"/>
    </row>
    <row s="2625" customFormat="1" customHeight="1" ht="11.25">
      <c r="A45" s="2232"/>
      <c r="B45" s="517"/>
      <c r="D45" s="671" t="s">
        <v>651</v>
      </c>
      <c r="E45" s="673" t="s">
        <v>768</v>
      </c>
      <c r="F45" s="666" t="s">
        <v>757</v>
      </c>
      <c r="G45" s="674"/>
      <c r="H45" s="1030"/>
      <c r="I45" s="674"/>
      <c r="J45" s="1030"/>
      <c r="K45" s="277"/>
    </row>
    <row s="2625" customFormat="1" customHeight="1" ht="11.25">
      <c r="A46" s="2232"/>
      <c r="B46" s="517"/>
      <c r="D46" s="671" t="s">
        <v>694</v>
      </c>
      <c r="E46" s="673" t="s">
        <v>769</v>
      </c>
      <c r="F46" s="666" t="s">
        <v>757</v>
      </c>
      <c r="G46" s="674"/>
      <c r="H46" s="1030"/>
      <c r="I46" s="674"/>
      <c r="J46" s="1030"/>
      <c r="K46" s="277"/>
    </row>
    <row s="2625" customFormat="1" customHeight="1" ht="11.25">
      <c r="A47" s="2232"/>
      <c r="B47" s="517"/>
      <c r="D47" s="671" t="s">
        <v>697</v>
      </c>
      <c r="E47" s="673" t="s">
        <v>770</v>
      </c>
      <c r="F47" s="666" t="s">
        <v>757</v>
      </c>
      <c r="G47" s="674"/>
      <c r="H47" s="1030"/>
      <c r="I47" s="674"/>
      <c r="J47" s="1030"/>
      <c r="K47" s="277"/>
    </row>
    <row s="2625" customFormat="1" customHeight="1" ht="11.25">
      <c r="A48" s="2232"/>
      <c r="B48" s="517"/>
      <c r="D48" s="671" t="s">
        <v>771</v>
      </c>
      <c r="E48" s="677" t="s">
        <v>772</v>
      </c>
      <c r="F48" s="666" t="s">
        <v>757</v>
      </c>
      <c r="G48" s="674"/>
      <c r="H48" s="1030"/>
      <c r="I48" s="674"/>
      <c r="J48" s="1030"/>
      <c r="K48" s="277"/>
    </row>
    <row s="2625" customFormat="1" customHeight="1" ht="11.25">
      <c r="A49" s="2232"/>
      <c r="B49" s="517"/>
      <c r="D49" s="671" t="s">
        <v>773</v>
      </c>
      <c r="E49" s="677" t="s">
        <v>774</v>
      </c>
      <c r="F49" s="666" t="s">
        <v>757</v>
      </c>
      <c r="G49" s="674"/>
      <c r="H49" s="1030"/>
      <c r="I49" s="674"/>
      <c r="J49" s="1030"/>
      <c r="K49" s="277"/>
    </row>
    <row s="2625" customFormat="1" customHeight="1" ht="11.25">
      <c r="A50" s="2232"/>
      <c r="B50" s="517"/>
      <c r="D50" s="671" t="s">
        <v>775</v>
      </c>
      <c r="E50" s="673" t="s">
        <v>776</v>
      </c>
      <c r="F50" s="666" t="s">
        <v>757</v>
      </c>
      <c r="G50" s="674"/>
      <c r="H50" s="1030"/>
      <c r="I50" s="674"/>
      <c r="J50" s="1030"/>
      <c r="K50" s="277"/>
    </row>
    <row s="2625" customFormat="1" customHeight="1" ht="11.25">
      <c r="A51" s="2232"/>
      <c r="B51" s="517"/>
      <c r="D51" s="671" t="s">
        <v>777</v>
      </c>
      <c r="E51" s="673" t="s">
        <v>778</v>
      </c>
      <c r="F51" s="666" t="s">
        <v>757</v>
      </c>
      <c r="G51" s="674"/>
      <c r="H51" s="1030"/>
      <c r="I51" s="674"/>
      <c r="J51" s="1030"/>
      <c r="K51" s="277"/>
    </row>
    <row s="2625" customFormat="1" customHeight="1" ht="45">
      <c r="A52" s="2232"/>
      <c r="B52" s="517"/>
      <c r="D52" s="671" t="s">
        <v>109</v>
      </c>
      <c r="E52" s="672" t="s">
        <v>779</v>
      </c>
      <c r="F52" s="666" t="s">
        <v>757</v>
      </c>
      <c r="G52" s="674"/>
      <c r="H52" s="1030"/>
      <c r="I52" s="674"/>
      <c r="J52" s="1030"/>
      <c r="K52" s="277"/>
    </row>
    <row s="2625" customFormat="1" customHeight="1" ht="11.25">
      <c r="A53" s="2232"/>
      <c r="B53" s="517"/>
      <c r="D53" s="671" t="s">
        <v>303</v>
      </c>
      <c r="E53" s="673" t="s">
        <v>768</v>
      </c>
      <c r="F53" s="666" t="s">
        <v>757</v>
      </c>
      <c r="G53" s="674"/>
      <c r="H53" s="1030"/>
      <c r="I53" s="674"/>
      <c r="J53" s="1030"/>
      <c r="K53" s="277"/>
    </row>
    <row s="2625" customFormat="1" customHeight="1" ht="11.25">
      <c r="A54" s="2232"/>
      <c r="B54" s="517"/>
      <c r="D54" s="671" t="s">
        <v>305</v>
      </c>
      <c r="E54" s="673" t="s">
        <v>769</v>
      </c>
      <c r="F54" s="666" t="s">
        <v>757</v>
      </c>
      <c r="G54" s="674"/>
      <c r="H54" s="1030"/>
      <c r="I54" s="674"/>
      <c r="J54" s="1030"/>
      <c r="K54" s="277"/>
    </row>
    <row s="2625" customFormat="1" customHeight="1" ht="11.25">
      <c r="A55" s="2232"/>
      <c r="B55" s="517"/>
      <c r="D55" s="671" t="s">
        <v>308</v>
      </c>
      <c r="E55" s="673" t="s">
        <v>770</v>
      </c>
      <c r="F55" s="666" t="s">
        <v>757</v>
      </c>
      <c r="G55" s="674"/>
      <c r="H55" s="1030"/>
      <c r="I55" s="674"/>
      <c r="J55" s="1030"/>
      <c r="K55" s="277"/>
    </row>
    <row s="2625" customFormat="1" customHeight="1" ht="11.25">
      <c r="A56" s="2232"/>
      <c r="B56" s="517"/>
      <c r="D56" s="671" t="s">
        <v>780</v>
      </c>
      <c r="E56" s="677" t="s">
        <v>772</v>
      </c>
      <c r="F56" s="666" t="s">
        <v>757</v>
      </c>
      <c r="G56" s="674"/>
      <c r="H56" s="1030"/>
      <c r="I56" s="674"/>
      <c r="J56" s="1030"/>
      <c r="K56" s="277"/>
    </row>
    <row s="2625" customFormat="1" customHeight="1" ht="11.25">
      <c r="A57" s="2232"/>
      <c r="B57" s="517"/>
      <c r="D57" s="671" t="s">
        <v>781</v>
      </c>
      <c r="E57" s="677" t="s">
        <v>774</v>
      </c>
      <c r="F57" s="666" t="s">
        <v>757</v>
      </c>
      <c r="G57" s="674"/>
      <c r="H57" s="1030"/>
      <c r="I57" s="674"/>
      <c r="J57" s="1030"/>
      <c r="K57" s="277"/>
    </row>
    <row s="2625" customFormat="1" customHeight="1" ht="11.25">
      <c r="A58" s="2232"/>
      <c r="B58" s="517"/>
      <c r="D58" s="671" t="s">
        <v>310</v>
      </c>
      <c r="E58" s="673" t="s">
        <v>776</v>
      </c>
      <c r="F58" s="666" t="s">
        <v>757</v>
      </c>
      <c r="G58" s="674"/>
      <c r="H58" s="1030"/>
      <c r="I58" s="674"/>
      <c r="J58" s="1030"/>
      <c r="K58" s="277"/>
    </row>
    <row s="2625" customFormat="1" customHeight="1" ht="11.25">
      <c r="A59" s="2232"/>
      <c r="B59" s="517"/>
      <c r="D59" s="671" t="s">
        <v>782</v>
      </c>
      <c r="E59" s="673" t="s">
        <v>778</v>
      </c>
      <c r="F59" s="666" t="s">
        <v>757</v>
      </c>
      <c r="G59" s="674"/>
      <c r="H59" s="1030"/>
      <c r="I59" s="674"/>
      <c r="J59" s="1030"/>
      <c r="K59" s="277"/>
    </row>
    <row s="2625" customFormat="1" customHeight="1" ht="33.75">
      <c r="A60" s="2232"/>
      <c r="B60" s="517"/>
      <c r="D60" s="671" t="s">
        <v>90</v>
      </c>
      <c r="E60" s="672" t="s">
        <v>783</v>
      </c>
      <c r="F60" s="727" t="s">
        <v>542</v>
      </c>
      <c r="G60" s="748"/>
      <c r="H60" s="1030"/>
      <c r="I60" s="748"/>
      <c r="J60" s="1030"/>
      <c r="K60" s="290" t="s">
        <v>784</v>
      </c>
    </row>
    <row s="2625" customFormat="1" customHeight="1" ht="33.75">
      <c r="A61" s="2232"/>
      <c r="B61" s="517"/>
      <c r="D61" s="671" t="s">
        <v>91</v>
      </c>
      <c r="E61" s="672" t="s">
        <v>785</v>
      </c>
      <c r="F61" s="732" t="s">
        <v>718</v>
      </c>
      <c r="G61" s="674"/>
      <c r="H61" s="1030"/>
      <c r="I61" s="674"/>
      <c r="J61" s="1030"/>
      <c r="K61" s="277"/>
    </row>
    <row s="2625" customFormat="1" customHeight="1" ht="22.5">
      <c r="A62" s="2232"/>
      <c r="B62" s="517" t="s">
        <v>572</v>
      </c>
      <c r="D62" s="671" t="s">
        <v>110</v>
      </c>
      <c r="E62" s="672" t="s">
        <v>786</v>
      </c>
      <c r="F62" s="732" t="s">
        <v>294</v>
      </c>
      <c r="G62" s="388"/>
      <c r="H62" s="1030"/>
      <c r="I62" s="388"/>
      <c r="J62" s="1030"/>
      <c r="K62" s="277" t="s">
        <v>787</v>
      </c>
    </row>
    <row s="2625" customFormat="1" customHeight="1" ht="45">
      <c r="A63" s="2232"/>
      <c r="B63" s="517" t="s">
        <v>572</v>
      </c>
      <c r="D63" s="671" t="s">
        <v>788</v>
      </c>
      <c r="E63" s="673" t="s">
        <v>789</v>
      </c>
      <c r="F63" s="727" t="s">
        <v>294</v>
      </c>
      <c r="G63" s="388"/>
      <c r="H63" s="1030"/>
      <c r="I63" s="388"/>
      <c r="J63" s="1030"/>
      <c r="K63" s="277" t="s">
        <v>787</v>
      </c>
    </row>
    <row s="2629" customFormat="1" customHeight="1" ht="11.25">
      <c r="A64" s="1040"/>
      <c r="B64" s="524"/>
      <c r="D64" s="1041"/>
      <c r="E64" s="1042"/>
    </row>
    <row s="2625" customFormat="1" customHeight="1" ht="22.5" hidden="1">
      <c r="A65" s="2232" t="s">
        <v>790</v>
      </c>
      <c r="B65" s="517"/>
      <c r="D65" s="671">
        <v>1</v>
      </c>
      <c r="E65" s="750" t="s">
        <v>791</v>
      </c>
      <c r="F65" s="746" t="s">
        <v>708</v>
      </c>
      <c r="G65" s="747"/>
      <c r="H65" s="1036"/>
      <c r="I65" s="747"/>
      <c r="J65" s="1036"/>
      <c r="K65" s="289" t="s">
        <v>792</v>
      </c>
    </row>
    <row s="2625" customFormat="1" customHeight="1" ht="56.25" hidden="1">
      <c r="A66" s="2232"/>
      <c r="B66" s="517"/>
      <c r="D66" s="749" t="s">
        <v>108</v>
      </c>
      <c r="E66" s="713" t="s">
        <v>793</v>
      </c>
      <c r="F66" s="666" t="s">
        <v>530</v>
      </c>
      <c r="G66" s="666" t="s">
        <v>530</v>
      </c>
      <c r="H66" s="525"/>
      <c r="I66" s="666" t="s">
        <v>530</v>
      </c>
      <c r="J66" s="525"/>
      <c r="K66" s="277"/>
    </row>
    <row s="2625" customFormat="1" customHeight="1" ht="33.75" hidden="1">
      <c r="A67" s="2232"/>
      <c r="B67" s="517"/>
      <c r="D67" s="749" t="s">
        <v>606</v>
      </c>
      <c r="E67" s="961" t="s">
        <v>794</v>
      </c>
      <c r="F67" s="666" t="s">
        <v>760</v>
      </c>
      <c r="G67" s="733"/>
      <c r="H67" s="525"/>
      <c r="I67" s="733"/>
      <c r="J67" s="525"/>
      <c r="K67" s="277"/>
    </row>
    <row s="2625" customFormat="1" customHeight="1" ht="22.5" hidden="1">
      <c r="A68" s="2232"/>
      <c r="B68" s="517"/>
      <c r="D68" s="749" t="s">
        <v>295</v>
      </c>
      <c r="E68" s="961" t="s">
        <v>795</v>
      </c>
      <c r="F68" s="666" t="s">
        <v>760</v>
      </c>
      <c r="G68" s="733"/>
      <c r="H68" s="525"/>
      <c r="I68" s="733"/>
      <c r="J68" s="525"/>
      <c r="K68" s="277"/>
    </row>
    <row s="2625" customFormat="1" customHeight="1" ht="22.5" hidden="1">
      <c r="A69" s="2232"/>
      <c r="B69" s="517"/>
      <c r="D69" s="749" t="s">
        <v>298</v>
      </c>
      <c r="E69" s="961" t="s">
        <v>796</v>
      </c>
      <c r="F69" s="727" t="s">
        <v>542</v>
      </c>
      <c r="G69" s="748"/>
      <c r="H69" s="525"/>
      <c r="I69" s="748"/>
      <c r="J69" s="525"/>
      <c r="K69" s="277"/>
    </row>
    <row s="2625" customFormat="1" customHeight="1" ht="22.5" hidden="1">
      <c r="A70" s="2232"/>
      <c r="B70" s="517"/>
      <c r="D70" s="749" t="s">
        <v>626</v>
      </c>
      <c r="E70" s="961" t="s">
        <v>797</v>
      </c>
      <c r="F70" s="727" t="s">
        <v>542</v>
      </c>
      <c r="G70" s="748"/>
      <c r="H70" s="525"/>
      <c r="I70" s="748"/>
      <c r="J70" s="525"/>
      <c r="K70" s="277"/>
    </row>
    <row s="2625" customFormat="1" customHeight="1" ht="22.5" hidden="1">
      <c r="A71" s="2232"/>
      <c r="B71" s="517"/>
      <c r="D71" s="671" t="s">
        <v>88</v>
      </c>
      <c r="E71" s="672" t="s">
        <v>798</v>
      </c>
      <c r="F71" s="666" t="s">
        <v>760</v>
      </c>
      <c r="G71" s="563"/>
      <c r="H71" s="1037"/>
      <c r="I71" s="563"/>
      <c r="J71" s="1037"/>
      <c r="K71" s="290"/>
    </row>
    <row s="2625" customFormat="1" customHeight="1" ht="56.25" hidden="1">
      <c r="A72" s="2232"/>
      <c r="B72" s="517"/>
      <c r="D72" s="671" t="s">
        <v>89</v>
      </c>
      <c r="E72" s="672" t="s">
        <v>799</v>
      </c>
      <c r="F72" s="727" t="s">
        <v>542</v>
      </c>
      <c r="G72" s="748"/>
      <c r="H72" s="1030"/>
      <c r="I72" s="748"/>
      <c r="J72" s="1030"/>
      <c r="K72" s="290"/>
    </row>
    <row s="2625" customFormat="1" customHeight="1" ht="33.75" hidden="1">
      <c r="A73" s="2232"/>
      <c r="B73" s="517"/>
      <c r="D73" s="671" t="s">
        <v>109</v>
      </c>
      <c r="E73" s="672" t="s">
        <v>800</v>
      </c>
      <c r="F73" s="732" t="s">
        <v>718</v>
      </c>
      <c r="G73" s="674"/>
      <c r="H73" s="1030"/>
      <c r="I73" s="674"/>
      <c r="J73" s="1030"/>
      <c r="K73" s="277"/>
    </row>
    <row s="2625" customFormat="1" customHeight="1" ht="22.5" hidden="1">
      <c r="A74" s="2232"/>
      <c r="B74" s="517" t="s">
        <v>572</v>
      </c>
      <c r="D74" s="671" t="s">
        <v>90</v>
      </c>
      <c r="E74" s="672" t="s">
        <v>801</v>
      </c>
      <c r="F74" s="732" t="s">
        <v>294</v>
      </c>
      <c r="G74" s="388"/>
      <c r="H74" s="1030"/>
      <c r="I74" s="388"/>
      <c r="J74" s="1030"/>
      <c r="K74" s="277" t="s">
        <v>787</v>
      </c>
    </row>
    <row s="2625" customFormat="1" customHeight="1" ht="45" hidden="1">
      <c r="A75" s="2232"/>
      <c r="B75" s="517" t="s">
        <v>572</v>
      </c>
      <c r="D75" s="671" t="s">
        <v>802</v>
      </c>
      <c r="E75" s="673" t="s">
        <v>803</v>
      </c>
      <c r="F75" s="727" t="s">
        <v>294</v>
      </c>
      <c r="G75" s="388"/>
      <c r="H75" s="1030"/>
      <c r="I75" s="388"/>
      <c r="J75" s="1030"/>
      <c r="K75" s="277" t="s">
        <v>787</v>
      </c>
    </row>
    <row s="2629" customFormat="1" customHeight="1" ht="11.25">
      <c r="A76" s="1040"/>
      <c r="B76" s="524"/>
      <c r="D76" s="1041"/>
      <c r="E76" s="1042"/>
    </row>
    <row s="2625" customFormat="1" customHeight="1" ht="11.25" hidden="1">
      <c r="A77" s="2232" t="s">
        <v>804</v>
      </c>
      <c r="B77" s="517"/>
      <c r="D77" s="671">
        <v>1</v>
      </c>
      <c r="E77" s="672" t="s">
        <v>805</v>
      </c>
      <c r="F77" s="727" t="s">
        <v>708</v>
      </c>
      <c r="G77" s="730"/>
      <c r="H77" s="1030"/>
      <c r="I77" s="730"/>
      <c r="J77" s="1030"/>
      <c r="K77" s="277" t="s">
        <v>806</v>
      </c>
    </row>
    <row s="2625" customFormat="1" customHeight="1" ht="11.25" hidden="1">
      <c r="A78" s="2232"/>
      <c r="B78" s="517"/>
      <c r="D78" s="671" t="s">
        <v>108</v>
      </c>
      <c r="E78" s="672" t="s">
        <v>807</v>
      </c>
      <c r="F78" s="727" t="s">
        <v>708</v>
      </c>
      <c r="G78" s="730"/>
      <c r="H78" s="1030"/>
      <c r="I78" s="730"/>
      <c r="J78" s="1030"/>
      <c r="K78" s="277" t="s">
        <v>808</v>
      </c>
    </row>
    <row s="2625" customFormat="1" customHeight="1" ht="22.5" hidden="1">
      <c r="A79" s="2232"/>
      <c r="B79" s="517"/>
      <c r="D79" s="671" t="s">
        <v>88</v>
      </c>
      <c r="E79" s="728" t="s">
        <v>809</v>
      </c>
      <c r="F79" s="666" t="s">
        <v>757</v>
      </c>
      <c r="G79" s="730"/>
      <c r="H79" s="1030"/>
      <c r="I79" s="730"/>
      <c r="J79" s="1030"/>
      <c r="K79" s="277" t="s">
        <v>810</v>
      </c>
    </row>
    <row s="2625" customFormat="1" customHeight="1" ht="11.25" hidden="1">
      <c r="A80" s="2232"/>
      <c r="B80" s="517"/>
      <c r="D80" s="671" t="s">
        <v>314</v>
      </c>
      <c r="E80" s="729" t="s">
        <v>811</v>
      </c>
      <c r="F80" s="666" t="s">
        <v>757</v>
      </c>
      <c r="G80" s="730"/>
      <c r="H80" s="1030"/>
      <c r="I80" s="730"/>
      <c r="J80" s="1030"/>
      <c r="K80" s="277"/>
    </row>
    <row s="2625" customFormat="1" customHeight="1" ht="11.25" hidden="1">
      <c r="A81" s="2232"/>
      <c r="B81" s="517"/>
      <c r="D81" s="671" t="s">
        <v>322</v>
      </c>
      <c r="E81" s="729" t="s">
        <v>812</v>
      </c>
      <c r="F81" s="666" t="s">
        <v>757</v>
      </c>
      <c r="G81" s="730"/>
      <c r="H81" s="1030"/>
      <c r="I81" s="730"/>
      <c r="J81" s="1030"/>
      <c r="K81" s="277"/>
    </row>
    <row s="2625" customFormat="1" customHeight="1" ht="11.25" hidden="1">
      <c r="A82" s="2232"/>
      <c r="B82" s="517"/>
      <c r="D82" s="671" t="s">
        <v>324</v>
      </c>
      <c r="E82" s="729" t="s">
        <v>813</v>
      </c>
      <c r="F82" s="666" t="s">
        <v>757</v>
      </c>
      <c r="G82" s="730"/>
      <c r="H82" s="1030"/>
      <c r="I82" s="730"/>
      <c r="J82" s="1030"/>
      <c r="K82" s="277"/>
    </row>
    <row s="2625" customFormat="1" customHeight="1" ht="11.25" hidden="1">
      <c r="A83" s="2232"/>
      <c r="B83" s="517"/>
      <c r="D83" s="671" t="s">
        <v>326</v>
      </c>
      <c r="E83" s="729" t="s">
        <v>814</v>
      </c>
      <c r="F83" s="666" t="s">
        <v>757</v>
      </c>
      <c r="G83" s="730"/>
      <c r="H83" s="1030"/>
      <c r="I83" s="730"/>
      <c r="J83" s="1030"/>
      <c r="K83" s="277"/>
    </row>
    <row s="2625" customFormat="1" customHeight="1" ht="11.25" hidden="1">
      <c r="A84" s="2232"/>
      <c r="B84" s="517"/>
      <c r="D84" s="671" t="s">
        <v>815</v>
      </c>
      <c r="E84" s="729" t="s">
        <v>816</v>
      </c>
      <c r="F84" s="666" t="s">
        <v>757</v>
      </c>
      <c r="G84" s="730"/>
      <c r="H84" s="1030"/>
      <c r="I84" s="730"/>
      <c r="J84" s="1030"/>
      <c r="K84" s="277"/>
    </row>
    <row s="2625" customFormat="1" customHeight="1" ht="11.25" hidden="1">
      <c r="A85" s="2232"/>
      <c r="B85" s="517"/>
      <c r="D85" s="671" t="s">
        <v>817</v>
      </c>
      <c r="E85" s="729" t="s">
        <v>818</v>
      </c>
      <c r="F85" s="666" t="s">
        <v>757</v>
      </c>
      <c r="G85" s="730"/>
      <c r="H85" s="1030"/>
      <c r="I85" s="730"/>
      <c r="J85" s="1030"/>
      <c r="K85" s="277"/>
    </row>
    <row s="2625" customFormat="1" customHeight="1" ht="11.25" hidden="1">
      <c r="A86" s="2232"/>
      <c r="B86" s="517"/>
      <c r="D86" s="671" t="s">
        <v>819</v>
      </c>
      <c r="E86" s="729" t="s">
        <v>820</v>
      </c>
      <c r="F86" s="666" t="s">
        <v>757</v>
      </c>
      <c r="G86" s="730"/>
      <c r="H86" s="1030"/>
      <c r="I86" s="730"/>
      <c r="J86" s="1030"/>
      <c r="K86" s="277"/>
    </row>
    <row s="2625" customFormat="1" customHeight="1" ht="45" hidden="1">
      <c r="A87" s="2232"/>
      <c r="B87" s="517"/>
      <c r="D87" s="671" t="s">
        <v>89</v>
      </c>
      <c r="E87" s="672" t="s">
        <v>821</v>
      </c>
      <c r="F87" s="666" t="s">
        <v>757</v>
      </c>
      <c r="G87" s="730"/>
      <c r="H87" s="1030"/>
      <c r="I87" s="730"/>
      <c r="J87" s="1030"/>
      <c r="K87" s="277" t="s">
        <v>822</v>
      </c>
    </row>
    <row s="2625" customFormat="1" customHeight="1" ht="11.25" hidden="1">
      <c r="A88" s="2232"/>
      <c r="B88" s="517"/>
      <c r="D88" s="671" t="s">
        <v>651</v>
      </c>
      <c r="E88" s="729" t="s">
        <v>811</v>
      </c>
      <c r="F88" s="666" t="s">
        <v>757</v>
      </c>
      <c r="G88" s="730"/>
      <c r="H88" s="1030"/>
      <c r="I88" s="730"/>
      <c r="J88" s="1030"/>
      <c r="K88" s="277"/>
    </row>
    <row s="2625" customFormat="1" customHeight="1" ht="11.25" hidden="1">
      <c r="A89" s="2232"/>
      <c r="B89" s="517"/>
      <c r="D89" s="671" t="s">
        <v>694</v>
      </c>
      <c r="E89" s="729" t="s">
        <v>812</v>
      </c>
      <c r="F89" s="666" t="s">
        <v>757</v>
      </c>
      <c r="G89" s="730"/>
      <c r="H89" s="1030"/>
      <c r="I89" s="730"/>
      <c r="J89" s="1030"/>
      <c r="K89" s="277"/>
    </row>
    <row s="2625" customFormat="1" customHeight="1" ht="11.25" hidden="1">
      <c r="A90" s="2232"/>
      <c r="B90" s="517"/>
      <c r="D90" s="671" t="s">
        <v>697</v>
      </c>
      <c r="E90" s="729" t="s">
        <v>813</v>
      </c>
      <c r="F90" s="666" t="s">
        <v>757</v>
      </c>
      <c r="G90" s="730"/>
      <c r="H90" s="1030"/>
      <c r="I90" s="730"/>
      <c r="J90" s="1030"/>
      <c r="K90" s="277"/>
    </row>
    <row s="2625" customFormat="1" customHeight="1" ht="11.25" hidden="1">
      <c r="A91" s="2232"/>
      <c r="B91" s="517"/>
      <c r="D91" s="671" t="s">
        <v>775</v>
      </c>
      <c r="E91" s="729" t="s">
        <v>814</v>
      </c>
      <c r="F91" s="666" t="s">
        <v>757</v>
      </c>
      <c r="G91" s="730"/>
      <c r="H91" s="1030"/>
      <c r="I91" s="730"/>
      <c r="J91" s="1030"/>
      <c r="K91" s="277"/>
    </row>
    <row s="2625" customFormat="1" customHeight="1" ht="11.25" hidden="1">
      <c r="A92" s="2232"/>
      <c r="B92" s="517"/>
      <c r="D92" s="671" t="s">
        <v>777</v>
      </c>
      <c r="E92" s="729" t="s">
        <v>816</v>
      </c>
      <c r="F92" s="666" t="s">
        <v>757</v>
      </c>
      <c r="G92" s="730"/>
      <c r="H92" s="1030"/>
      <c r="I92" s="730"/>
      <c r="J92" s="1030"/>
      <c r="K92" s="277"/>
    </row>
    <row s="2625" customFormat="1" customHeight="1" ht="11.25" hidden="1">
      <c r="A93" s="2232"/>
      <c r="B93" s="517"/>
      <c r="D93" s="671" t="s">
        <v>823</v>
      </c>
      <c r="E93" s="729" t="s">
        <v>818</v>
      </c>
      <c r="F93" s="666" t="s">
        <v>757</v>
      </c>
      <c r="G93" s="730"/>
      <c r="H93" s="1030"/>
      <c r="I93" s="730"/>
      <c r="J93" s="1030"/>
      <c r="K93" s="277"/>
    </row>
    <row s="2625" customFormat="1" customHeight="1" ht="11.25" hidden="1">
      <c r="A94" s="2232"/>
      <c r="B94" s="517"/>
      <c r="D94" s="671" t="s">
        <v>824</v>
      </c>
      <c r="E94" s="729" t="s">
        <v>820</v>
      </c>
      <c r="F94" s="666" t="s">
        <v>757</v>
      </c>
      <c r="G94" s="730"/>
      <c r="H94" s="1030"/>
      <c r="I94" s="730"/>
      <c r="J94" s="1030"/>
      <c r="K94" s="277"/>
    </row>
    <row s="2625" customFormat="1" customHeight="1" ht="24.75" hidden="1">
      <c r="A95" s="2232"/>
      <c r="B95" s="517"/>
      <c r="D95" s="671" t="s">
        <v>109</v>
      </c>
      <c r="E95" s="672" t="s">
        <v>825</v>
      </c>
      <c r="F95" s="731" t="s">
        <v>542</v>
      </c>
      <c r="G95" s="733"/>
      <c r="H95" s="1030"/>
      <c r="I95" s="733"/>
      <c r="J95" s="1030"/>
      <c r="K95" s="277" t="s">
        <v>826</v>
      </c>
    </row>
    <row s="2625" customFormat="1" customHeight="1" ht="33.75" hidden="1">
      <c r="A96" s="2232"/>
      <c r="B96" s="517"/>
      <c r="D96" s="671" t="s">
        <v>90</v>
      </c>
      <c r="E96" s="672" t="s">
        <v>827</v>
      </c>
      <c r="F96" s="732" t="s">
        <v>718</v>
      </c>
      <c r="G96" s="734"/>
      <c r="H96" s="1030"/>
      <c r="I96" s="734"/>
      <c r="J96" s="1030"/>
      <c r="K96" s="277"/>
    </row>
    <row s="2625" customFormat="1" customHeight="1" ht="22.5" hidden="1">
      <c r="A97" s="2232"/>
      <c r="B97" s="517" t="s">
        <v>572</v>
      </c>
      <c r="D97" s="671" t="s">
        <v>91</v>
      </c>
      <c r="E97" s="672" t="s">
        <v>828</v>
      </c>
      <c r="F97" s="732" t="s">
        <v>294</v>
      </c>
      <c r="G97" s="391"/>
      <c r="H97" s="1030"/>
      <c r="I97" s="391"/>
      <c r="J97" s="1030"/>
      <c r="K97" s="277" t="s">
        <v>787</v>
      </c>
    </row>
    <row s="2625" customFormat="1" customHeight="1" ht="45" hidden="1">
      <c r="A98" s="2232"/>
      <c r="B98" s="517" t="s">
        <v>572</v>
      </c>
      <c r="D98" s="671" t="s">
        <v>829</v>
      </c>
      <c r="E98" s="673" t="s">
        <v>830</v>
      </c>
      <c r="F98" s="727" t="s">
        <v>294</v>
      </c>
      <c r="G98" s="391"/>
      <c r="H98" s="1030"/>
      <c r="I98" s="391"/>
      <c r="J98" s="1030"/>
      <c r="K98" s="277" t="s">
        <v>787</v>
      </c>
    </row>
    <row s="2625" customFormat="1" customHeight="1" ht="95.25" hidden="1">
      <c r="A99" s="2232"/>
      <c r="B99" s="517" t="s">
        <v>572</v>
      </c>
      <c r="D99" s="671" t="s">
        <v>110</v>
      </c>
      <c r="E99" s="672" t="s">
        <v>831</v>
      </c>
      <c r="F99" s="727" t="s">
        <v>294</v>
      </c>
      <c r="G99" s="391"/>
      <c r="H99" s="1030"/>
      <c r="I99" s="391"/>
      <c r="J99" s="1030"/>
      <c r="K99" s="277" t="s">
        <v>787</v>
      </c>
    </row>
    <row s="2625" customFormat="1" customHeight="1" ht="22.5" hidden="1">
      <c r="A100" s="2232"/>
      <c r="B100" s="517" t="s">
        <v>572</v>
      </c>
      <c r="D100" s="671" t="s">
        <v>146</v>
      </c>
      <c r="E100" s="672" t="s">
        <v>832</v>
      </c>
      <c r="F100" s="727" t="s">
        <v>294</v>
      </c>
      <c r="G100" s="391"/>
      <c r="H100" s="1030"/>
      <c r="I100" s="391"/>
      <c r="J100" s="1030"/>
      <c r="K100" s="277" t="s">
        <v>787</v>
      </c>
    </row>
    <row s="2629"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6419EE-9F48-B9C8-5ADE-F1F20642DA17}"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5026" width="4.7109375" customWidth="1"/>
    <col min="4" max="4" style="3153" width="6.28125" customWidth="1"/>
    <col min="5" max="5" style="3153" width="36.7109375" customWidth="1"/>
    <col min="6" max="6" style="3153" width="9.57421875" customWidth="1"/>
    <col min="7" max="7" style="2625" width="25.7109375" hidden="1" customWidth="1"/>
    <col min="8" max="8" style="2625" width="33.7109375" hidden="1" customWidth="1"/>
    <col min="9" max="9" style="3153" width="25.7109375" customWidth="1"/>
    <col min="10" max="10" style="3153" width="33.7109375" customWidth="1"/>
    <col min="11" max="11" style="2626" width="93.421875" customWidth="1"/>
    <col min="12" max="20" style="3153" width="10.57421875"/>
    <col min="21" max="21" style="4960" width="10.57421875"/>
  </cols>
  <sheetData>
    <row s="2626" customFormat="1" customHeight="1" ht="15" hidden="1">
      <c r="C1" s="678"/>
      <c r="G1" s="423">
        <v>4</v>
      </c>
      <c r="I1" s="423">
        <v>4</v>
      </c>
      <c r="U1" s="426"/>
    </row>
    <row s="2626" customFormat="1" customHeight="1" ht="15" hidden="1">
      <c r="C2" s="678"/>
      <c r="U2" s="426"/>
    </row>
    <row customHeight="1" ht="22.5" hidden="1">
      <c r="A3" s="511"/>
      <c r="B3" s="2234"/>
      <c r="C3" s="2235"/>
      <c r="D3" s="695" t="str">
        <f>B3&amp;".1"</f>
        <v>.1</v>
      </c>
      <c r="E3" s="696" t="s">
        <v>833</v>
      </c>
      <c r="F3" s="697" t="s">
        <v>294</v>
      </c>
      <c r="G3" s="692"/>
      <c r="H3" s="407"/>
      <c r="I3" s="692"/>
      <c r="J3" s="407"/>
      <c r="K3" s="277" t="s">
        <v>834</v>
      </c>
    </row>
    <row customHeight="1" ht="15" hidden="1">
      <c r="A4" s="511"/>
      <c r="B4" s="2234"/>
      <c r="C4" s="2235"/>
      <c r="D4" s="695" t="str">
        <f>B3&amp;".2"</f>
        <v>.2</v>
      </c>
      <c r="E4" s="696" t="s">
        <v>835</v>
      </c>
      <c r="F4" s="697" t="s">
        <v>294</v>
      </c>
      <c r="G4" s="1778" t="s">
        <v>24</v>
      </c>
      <c r="H4" s="407"/>
      <c r="I4" s="1778" t="s">
        <v>24</v>
      </c>
      <c r="J4" s="407"/>
      <c r="K4" s="277" t="s">
        <v>836</v>
      </c>
    </row>
    <row s="2626" customFormat="1" customHeight="1" ht="15" hidden="1">
      <c r="C5" s="678"/>
      <c r="U5" s="426"/>
    </row>
    <row customHeight="1" ht="22.5" hidden="1">
      <c r="A6" s="511"/>
      <c r="B6" s="2234"/>
      <c r="C6" s="2235"/>
      <c r="D6" s="695" t="str">
        <f>B6&amp;".1"</f>
        <v>.1</v>
      </c>
      <c r="E6" s="696" t="s">
        <v>837</v>
      </c>
      <c r="F6" s="697" t="s">
        <v>294</v>
      </c>
      <c r="G6" s="692"/>
      <c r="H6" s="407"/>
      <c r="I6" s="692"/>
      <c r="J6" s="407"/>
      <c r="K6" s="277" t="s">
        <v>838</v>
      </c>
    </row>
    <row customHeight="1" ht="15" hidden="1">
      <c r="A7" s="511"/>
      <c r="B7" s="2234"/>
      <c r="C7" s="2235"/>
      <c r="D7" s="695" t="str">
        <f>B6&amp;".2"</f>
        <v>.2</v>
      </c>
      <c r="E7" s="696" t="s">
        <v>835</v>
      </c>
      <c r="F7" s="697" t="s">
        <v>294</v>
      </c>
      <c r="G7" s="1778" t="s">
        <v>24</v>
      </c>
      <c r="H7" s="407"/>
      <c r="I7" s="1778" t="s">
        <v>24</v>
      </c>
      <c r="J7" s="407"/>
      <c r="K7" s="277" t="s">
        <v>836</v>
      </c>
    </row>
    <row s="2626" customFormat="1" customHeight="1" ht="15" hidden="1">
      <c r="C8" s="678"/>
      <c r="U8" s="426"/>
    </row>
    <row customHeight="1" ht="22.5" hidden="1">
      <c r="A9" s="511"/>
      <c r="B9" s="2234"/>
      <c r="C9" s="2235"/>
      <c r="D9" s="695" t="str">
        <f>B9&amp;".1"</f>
        <v>.1</v>
      </c>
      <c r="E9" s="696" t="s">
        <v>839</v>
      </c>
      <c r="F9" s="697" t="s">
        <v>294</v>
      </c>
      <c r="G9" s="703" t="s">
        <v>24</v>
      </c>
      <c r="H9" s="407" t="s">
        <v>24</v>
      </c>
      <c r="I9" s="703" t="s">
        <v>24</v>
      </c>
      <c r="J9" s="407" t="s">
        <v>24</v>
      </c>
      <c r="K9" s="277"/>
    </row>
    <row customHeight="1" ht="15" hidden="1">
      <c r="A10" s="511"/>
      <c r="B10" s="2234"/>
      <c r="C10" s="2235"/>
      <c r="D10" s="695" t="str">
        <f>B9&amp;".2"</f>
        <v>.2</v>
      </c>
      <c r="E10" s="696" t="s">
        <v>840</v>
      </c>
      <c r="F10" s="697" t="s">
        <v>294</v>
      </c>
      <c r="G10" s="1772" t="s">
        <v>24</v>
      </c>
      <c r="H10" s="407" t="s">
        <v>24</v>
      </c>
      <c r="I10" s="1772" t="s">
        <v>24</v>
      </c>
      <c r="J10" s="407" t="s">
        <v>24</v>
      </c>
      <c r="K10" s="277" t="s">
        <v>841</v>
      </c>
    </row>
    <row customHeight="1" ht="15" hidden="1">
      <c r="A11" s="511"/>
      <c r="B11" s="2234"/>
      <c r="C11" s="2235"/>
      <c r="D11" s="695" t="str">
        <f>B9&amp;".3"</f>
        <v>.3</v>
      </c>
      <c r="E11" s="696" t="s">
        <v>842</v>
      </c>
      <c r="F11" s="697" t="s">
        <v>294</v>
      </c>
      <c r="G11" s="1772" t="s">
        <v>24</v>
      </c>
      <c r="H11" s="407" t="s">
        <v>24</v>
      </c>
      <c r="I11" s="1772" t="s">
        <v>24</v>
      </c>
      <c r="J11" s="407" t="s">
        <v>24</v>
      </c>
      <c r="K11" s="277" t="s">
        <v>843</v>
      </c>
    </row>
    <row s="2626" customFormat="1" customHeight="1" ht="15" hidden="1">
      <c r="C12" s="678"/>
      <c r="U12" s="426"/>
    </row>
    <row customHeight="1" ht="33.75" hidden="1">
      <c r="A13" s="511"/>
      <c r="B13" s="2234"/>
      <c r="C13" s="2235"/>
      <c r="D13" s="695" t="str">
        <f>B13&amp;".1"</f>
        <v>.1</v>
      </c>
      <c r="E13" s="696" t="s">
        <v>844</v>
      </c>
      <c r="F13" s="697" t="s">
        <v>294</v>
      </c>
      <c r="G13" s="703" t="s">
        <v>24</v>
      </c>
      <c r="H13" s="407" t="s">
        <v>24</v>
      </c>
      <c r="I13" s="703" t="s">
        <v>24</v>
      </c>
      <c r="J13" s="407" t="s">
        <v>24</v>
      </c>
      <c r="K13" s="277" t="s">
        <v>845</v>
      </c>
    </row>
    <row customHeight="1" ht="15" hidden="1">
      <c r="B14" s="2234"/>
      <c r="C14" s="2235"/>
      <c r="D14" s="695" t="str">
        <f>B13&amp;".2"</f>
        <v>.2</v>
      </c>
      <c r="E14" s="696" t="s">
        <v>846</v>
      </c>
      <c r="F14" s="697" t="s">
        <v>294</v>
      </c>
      <c r="G14" s="1772" t="s">
        <v>24</v>
      </c>
      <c r="H14" s="407" t="s">
        <v>24</v>
      </c>
      <c r="I14" s="1772" t="s">
        <v>24</v>
      </c>
      <c r="J14" s="407" t="s">
        <v>24</v>
      </c>
      <c r="K14" s="277" t="s">
        <v>847</v>
      </c>
    </row>
    <row s="2626" customFormat="1" customHeight="1" ht="15" hidden="1">
      <c r="C15" s="678"/>
      <c r="U15" s="426"/>
    </row>
    <row s="2626" customFormat="1" customHeight="1" ht="15" hidden="1">
      <c r="C16" s="678"/>
      <c r="U16" s="426"/>
    </row>
    <row s="2626" customFormat="1" customHeight="1" ht="15" hidden="1">
      <c r="C17" s="678"/>
      <c r="U17" s="426"/>
    </row>
    <row s="2626" customFormat="1" customHeight="1" ht="15" hidden="1">
      <c r="C18" s="678"/>
      <c r="U18" s="426"/>
    </row>
    <row s="2626" customFormat="1" customHeight="1" ht="15" hidden="1">
      <c r="C19" s="678"/>
      <c r="U19" s="426"/>
    </row>
    <row s="2626" customFormat="1" customHeight="1" ht="15" hidden="1">
      <c r="C20" s="678"/>
      <c r="U20" s="426"/>
    </row>
    <row customHeight="1" ht="15">
      <c r="C21" s="162"/>
      <c r="D21" s="515"/>
      <c r="E21" s="515"/>
      <c r="F21" s="515"/>
      <c r="G21" s="515"/>
      <c r="H21" s="515"/>
      <c r="I21" s="515"/>
      <c r="J21" s="515"/>
    </row>
    <row customHeight="1" ht="22.5">
      <c r="C22" s="162"/>
      <c r="D22" s="208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5"/>
      <c r="F22" s="2085"/>
      <c r="G22" s="2085"/>
      <c r="H22" s="2085"/>
      <c r="I22" s="2085"/>
      <c r="J22" s="682"/>
      <c r="K22" s="543"/>
    </row>
    <row customHeight="1" ht="15">
      <c r="C23" s="162"/>
      <c r="D23" s="2053" t="str">
        <f>IF(org=0,"Не определено",org)</f>
        <v>АО "РИР" (филиал в г. Глазове)</v>
      </c>
      <c r="E23" s="2053"/>
      <c r="F23" s="2053"/>
      <c r="G23" s="2053"/>
      <c r="H23" s="2053"/>
      <c r="I23" s="2053"/>
      <c r="J23" s="682"/>
      <c r="K23" s="543"/>
    </row>
    <row customHeight="1" ht="15">
      <c r="C24" s="162"/>
      <c r="D24" s="515"/>
      <c r="E24" s="515"/>
      <c r="F24" s="515"/>
      <c r="G24" s="543">
        <v>22</v>
      </c>
      <c r="H24" s="758"/>
      <c r="I24" s="543">
        <v>22</v>
      </c>
      <c r="J24" s="758"/>
    </row>
    <row s="2625" customFormat="1" customHeight="1" ht="0.75">
      <c r="A25" s="765"/>
      <c r="C25" s="162"/>
      <c r="D25" s="515"/>
      <c r="E25" s="515"/>
      <c r="F25" s="515"/>
      <c r="G25" s="543"/>
      <c r="H25" s="758"/>
      <c r="I25" s="543" t="s">
        <v>115</v>
      </c>
      <c r="J25" s="758"/>
      <c r="K25" s="423"/>
      <c r="U25" s="681"/>
    </row>
    <row customHeight="1" ht="15">
      <c r="C26" s="162"/>
      <c r="D26" s="717"/>
      <c r="E26" s="2213" t="s">
        <v>103</v>
      </c>
      <c r="F26" s="2214"/>
      <c r="G26" s="2236" t="str">
        <f>IF(G25="","",INDEX(DIFFERENTIATION_UNMERGE_VD,MATCH(G25,DIFFERENTIATION_ID_DIFF,0)))</f>
        <v/>
      </c>
      <c r="H26" s="2237"/>
      <c r="I26" s="2236">
        <f>IF(I25="","",INDEX(DIFFERENTIATION_UNMERGE_VD,MATCH(I25,DIFFERENTIATION_ID_DIFF,0)))</f>
        <v>0</v>
      </c>
      <c r="J26" s="2237"/>
      <c r="K26" s="2028" t="s">
        <v>289</v>
      </c>
    </row>
    <row s="2625" customFormat="1" customHeight="1" ht="15">
      <c r="A27" s="765"/>
      <c r="C27" s="162"/>
      <c r="D27" s="717"/>
      <c r="E27" s="2213" t="s">
        <v>548</v>
      </c>
      <c r="F27" s="2214"/>
      <c r="G27" s="2236" t="str">
        <f>IF(G25="","",INDEX(DIFFERENTIATION_UNMERGE_AREA,MATCH(G25,DIFFERENTIATION_ID_DIFF,0)))</f>
        <v/>
      </c>
      <c r="H27" s="2237"/>
      <c r="I27" s="2236" t="str">
        <f>IF(I25="","",INDEX(DIFFERENTIATION_UNMERGE_AREA,MATCH(I25,DIFFERENTIATION_ID_DIFF,0)))</f>
        <v/>
      </c>
      <c r="J27" s="2237"/>
      <c r="K27" s="2032"/>
      <c r="U27" s="681"/>
    </row>
    <row s="2625" customFormat="1" customHeight="1" ht="15">
      <c r="A28" s="765"/>
      <c r="C28" s="162"/>
      <c r="D28" s="717"/>
      <c r="E28" s="2213" t="s">
        <v>549</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5" customFormat="1" customHeight="1" ht="15">
      <c r="A29" s="765"/>
      <c r="C29" s="162"/>
      <c r="D29" s="2215" t="s">
        <v>288</v>
      </c>
      <c r="E29" s="2216"/>
      <c r="F29" s="2216"/>
      <c r="G29" s="893"/>
      <c r="H29" s="893"/>
      <c r="I29" s="893"/>
      <c r="J29" s="894"/>
      <c r="K29" s="2032"/>
      <c r="U29" s="681"/>
    </row>
    <row customHeight="1" ht="33.75">
      <c r="C30" s="162"/>
      <c r="D30" s="767" t="s">
        <v>86</v>
      </c>
      <c r="E30" s="766" t="s">
        <v>290</v>
      </c>
      <c r="F30" s="766" t="s">
        <v>550</v>
      </c>
      <c r="G30" s="814" t="s">
        <v>291</v>
      </c>
      <c r="H30" s="813" t="s">
        <v>380</v>
      </c>
      <c r="I30" s="690" t="s">
        <v>291</v>
      </c>
      <c r="J30" s="471" t="s">
        <v>380</v>
      </c>
      <c r="K30" s="2038"/>
    </row>
    <row customHeight="1" ht="15" hidden="1">
      <c r="C31" s="162"/>
      <c r="D31" s="599"/>
      <c r="E31" s="599"/>
      <c r="F31" s="599"/>
      <c r="G31" s="665"/>
      <c r="H31" s="665"/>
      <c r="I31" s="665"/>
      <c r="J31" s="665"/>
      <c r="K31" s="277"/>
    </row>
    <row customHeight="1" ht="22.5">
      <c r="A32" s="511"/>
      <c r="B32" s="511" t="s">
        <v>848</v>
      </c>
      <c r="C32" s="532"/>
      <c r="D32" s="698">
        <v>1</v>
      </c>
      <c r="E32" s="699" t="s">
        <v>849</v>
      </c>
      <c r="F32" s="697" t="s">
        <v>294</v>
      </c>
      <c r="G32" s="819" t="s">
        <v>294</v>
      </c>
      <c r="H32" s="819" t="s">
        <v>294</v>
      </c>
      <c r="I32" s="697" t="s">
        <v>294</v>
      </c>
      <c r="J32" s="697" t="s">
        <v>294</v>
      </c>
      <c r="K32" s="277"/>
    </row>
    <row customHeight="1" ht="11.25">
      <c r="A33" s="511"/>
      <c r="C33" s="511"/>
      <c r="D33" s="343"/>
      <c r="E33" s="586" t="s">
        <v>570</v>
      </c>
      <c r="F33" s="578"/>
      <c r="G33" s="578"/>
      <c r="H33" s="578"/>
      <c r="I33" s="578"/>
      <c r="J33" s="578"/>
      <c r="K33" s="579"/>
      <c r="U33" s="511"/>
    </row>
    <row customHeight="1" ht="22.5">
      <c r="A34" s="511"/>
      <c r="B34" s="587" t="s">
        <v>850</v>
      </c>
      <c r="C34" s="532"/>
      <c r="D34" s="698">
        <v>2</v>
      </c>
      <c r="E34" s="699" t="s">
        <v>851</v>
      </c>
      <c r="F34" s="826" t="s">
        <v>294</v>
      </c>
      <c r="G34" s="826" t="s">
        <v>294</v>
      </c>
      <c r="H34" s="826" t="s">
        <v>294</v>
      </c>
      <c r="I34" s="697"/>
      <c r="J34" s="697"/>
      <c r="K34" s="277"/>
    </row>
    <row customHeight="1" ht="11.25">
      <c r="A35" s="511"/>
      <c r="C35" s="511"/>
      <c r="D35" s="343"/>
      <c r="E35" s="586" t="s">
        <v>852</v>
      </c>
      <c r="F35" s="578"/>
      <c r="G35" s="700"/>
      <c r="H35" s="578"/>
      <c r="I35" s="700"/>
      <c r="J35" s="578"/>
      <c r="K35" s="579"/>
      <c r="U35" s="511"/>
    </row>
    <row customHeight="1" ht="67.5">
      <c r="A36" s="511"/>
      <c r="B36" s="511" t="s">
        <v>853</v>
      </c>
      <c r="C36" s="532"/>
      <c r="D36" s="698">
        <v>3</v>
      </c>
      <c r="E36" s="699" t="s">
        <v>854</v>
      </c>
      <c r="F36" s="701" t="s">
        <v>294</v>
      </c>
      <c r="G36" s="820" t="s">
        <v>855</v>
      </c>
      <c r="H36" s="819" t="s">
        <v>294</v>
      </c>
      <c r="I36" s="530" t="s">
        <v>855</v>
      </c>
      <c r="J36" s="697" t="s">
        <v>294</v>
      </c>
      <c r="K36" s="277" t="s">
        <v>856</v>
      </c>
    </row>
    <row customHeight="1" ht="11.25">
      <c r="A37" s="511"/>
      <c r="C37" s="511"/>
      <c r="D37" s="343"/>
      <c r="E37" s="586" t="s">
        <v>857</v>
      </c>
      <c r="F37" s="578"/>
      <c r="G37" s="700"/>
      <c r="H37" s="700"/>
      <c r="I37" s="700"/>
      <c r="J37" s="700"/>
      <c r="K37" s="579"/>
      <c r="U37" s="511"/>
    </row>
    <row customHeight="1" ht="67.5">
      <c r="A38" s="511"/>
      <c r="B38" s="511" t="s">
        <v>858</v>
      </c>
      <c r="C38" s="532"/>
      <c r="D38" s="698">
        <v>4</v>
      </c>
      <c r="E38" s="699" t="s">
        <v>859</v>
      </c>
      <c r="F38" s="701" t="s">
        <v>294</v>
      </c>
      <c r="G38" s="820" t="s">
        <v>855</v>
      </c>
      <c r="H38" s="821" t="s">
        <v>294</v>
      </c>
      <c r="I38" s="530" t="s">
        <v>855</v>
      </c>
      <c r="J38" s="527" t="s">
        <v>294</v>
      </c>
      <c r="K38" s="685" t="s">
        <v>860</v>
      </c>
    </row>
    <row customHeight="1" ht="11.25">
      <c r="A39" s="511"/>
      <c r="C39" s="511"/>
      <c r="D39" s="343"/>
      <c r="E39" s="586" t="s">
        <v>861</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79C8E-67F4-0DE7-D2DA-A9EAA42FFB2D}"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5027" width="6.7109375" hidden="1" customWidth="1"/>
    <col min="4" max="4" style="2626" width="6.7109375" hidden="1" customWidth="1"/>
    <col min="5" max="5" style="2629" width="3.7109375" customWidth="1"/>
    <col min="6" max="6" style="2625" width="6.28125" customWidth="1"/>
    <col min="7" max="7" style="2625" width="37.7109375" customWidth="1"/>
    <col min="8" max="8" style="2940" width="16.57421875" customWidth="1"/>
    <col min="9" max="10" style="2625" width="19.7109375" customWidth="1"/>
    <col min="11" max="11" style="2625" width="25.00390625" customWidth="1"/>
    <col min="12" max="13" style="2625" width="25.7109375" customWidth="1"/>
    <col min="14" max="16" style="2625" width="17.7109375" customWidth="1"/>
    <col min="17" max="24" style="2625" width="19.7109375" customWidth="1"/>
    <col min="25" max="25" style="2625" width="8.00390625" customWidth="1"/>
    <col min="26" max="26" style="2625" width="3.28125" customWidth="1"/>
    <col min="27" max="27" style="2625" width="6.28125" customWidth="1"/>
    <col min="28" max="28" style="2625" width="34.140625" customWidth="1"/>
    <col min="29" max="30" style="2625" width="9.140625"/>
  </cols>
  <sheetData>
    <row s="2626" customFormat="1" customHeight="1" ht="10.5" hidden="1">
      <c r="A1" s="901"/>
      <c r="B1" s="901"/>
      <c r="C1" s="901"/>
      <c r="E1" s="543"/>
      <c r="H1" s="1168"/>
    </row>
    <row customHeight="1" ht="10.5" hidden="1"/>
    <row s="3097" customFormat="1" customHeight="1" ht="10.5" hidden="1">
      <c r="A3" s="901"/>
      <c r="B3" s="901"/>
      <c r="C3" s="901"/>
      <c r="D3" s="423"/>
      <c r="E3" s="360"/>
      <c r="H3" s="1164"/>
    </row>
    <row customHeight="1" ht="3"/>
    <row customHeight="1" ht="25.5">
      <c r="F5" s="2140" t="str">
        <f>IP_NAME_FORM</f>
        <v>Форма 7. Информация об инвестиционных программах организации холодного водоснабжения и отчетах об их исполнении</v>
      </c>
      <c r="G5" s="2140"/>
      <c r="H5" s="2140"/>
      <c r="I5" s="2140"/>
      <c r="J5" s="2140"/>
      <c r="K5" s="2140"/>
      <c r="M5" s="588"/>
      <c r="AB5" s="912"/>
    </row>
    <row s="2949" customFormat="1" customHeight="1" ht="15.75">
      <c r="A6" s="1174"/>
      <c r="B6" s="1174"/>
      <c r="C6" s="1174"/>
      <c r="D6" s="1168"/>
      <c r="E6" s="1675"/>
      <c r="F6" s="2141" t="str">
        <f>IF(org=0,"Не определено",org)</f>
        <v>АО "РИР" (филиал в г. Глазове)</v>
      </c>
      <c r="G6" s="2141"/>
      <c r="H6" s="2141"/>
      <c r="I6" s="2141"/>
      <c r="J6" s="2141"/>
      <c r="K6" s="2141"/>
      <c r="M6" s="588"/>
      <c r="AB6" s="1156"/>
    </row>
    <row r="8" customHeight="1" ht="10.5">
      <c r="A8" s="1058"/>
      <c r="B8" s="1058"/>
      <c r="C8" s="1058"/>
      <c r="F8" s="1955" t="s">
        <v>288</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86</v>
      </c>
      <c r="G9" s="1971" t="s">
        <v>862</v>
      </c>
      <c r="H9" s="2028" t="s">
        <v>863</v>
      </c>
      <c r="I9" s="1971" t="s">
        <v>864</v>
      </c>
      <c r="J9" s="1971" t="s">
        <v>865</v>
      </c>
      <c r="K9" s="1971" t="s">
        <v>866</v>
      </c>
      <c r="L9" s="1971" t="s">
        <v>867</v>
      </c>
      <c r="M9" s="1971" t="s">
        <v>868</v>
      </c>
      <c r="N9" s="2062" t="s">
        <v>869</v>
      </c>
      <c r="O9" s="2062"/>
      <c r="P9" s="2062"/>
      <c r="Q9" s="2242" t="s">
        <v>870</v>
      </c>
      <c r="R9" s="2243"/>
      <c r="S9" s="2243"/>
      <c r="T9" s="2244"/>
      <c r="U9" s="2242" t="s">
        <v>871</v>
      </c>
      <c r="V9" s="2243"/>
      <c r="W9" s="2243"/>
      <c r="X9" s="2244"/>
      <c r="Y9" s="1955" t="s">
        <v>872</v>
      </c>
      <c r="Z9" s="1956"/>
      <c r="AA9" s="1956"/>
      <c r="AB9" s="1957"/>
    </row>
    <row customHeight="1" ht="41.25">
      <c r="A10" s="911"/>
      <c r="B10" s="911"/>
      <c r="C10" s="911"/>
      <c r="F10" s="2028"/>
      <c r="G10" s="2028"/>
      <c r="H10" s="2090"/>
      <c r="I10" s="2028"/>
      <c r="J10" s="2028"/>
      <c r="K10" s="2028"/>
      <c r="L10" s="2028"/>
      <c r="M10" s="2028"/>
      <c r="N10" s="909" t="s">
        <v>873</v>
      </c>
      <c r="O10" s="909" t="s">
        <v>874</v>
      </c>
      <c r="P10" s="910" t="s">
        <v>875</v>
      </c>
      <c r="Q10" s="921" t="s">
        <v>87</v>
      </c>
      <c r="R10" s="921" t="s">
        <v>876</v>
      </c>
      <c r="S10" s="921" t="s">
        <v>877</v>
      </c>
      <c r="T10" s="922" t="s">
        <v>878</v>
      </c>
      <c r="U10" s="921" t="s">
        <v>87</v>
      </c>
      <c r="V10" s="921" t="s">
        <v>879</v>
      </c>
      <c r="W10" s="921" t="s">
        <v>877</v>
      </c>
      <c r="X10" s="922" t="s">
        <v>878</v>
      </c>
      <c r="Y10" s="289" t="s">
        <v>880</v>
      </c>
      <c r="Z10" s="1955" t="s">
        <v>86</v>
      </c>
      <c r="AA10" s="1957"/>
      <c r="AB10" s="1056" t="s">
        <v>881</v>
      </c>
    </row>
    <row s="2613" customFormat="1" customHeight="1" ht="5.25" hidden="1">
      <c r="A11" s="1059"/>
      <c r="B11" s="1059"/>
      <c r="C11" s="1059"/>
      <c r="E11" s="1057"/>
      <c r="F11" s="2240" t="s">
        <v>366</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882</v>
      </c>
    </row>
    <row s="2613"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883</v>
      </c>
      <c r="H13" s="1176"/>
      <c r="I13" s="578"/>
      <c r="J13" s="578"/>
      <c r="K13" s="578"/>
      <c r="L13" s="578"/>
      <c r="M13" s="578"/>
      <c r="N13" s="578"/>
      <c r="O13" s="578"/>
      <c r="P13" s="578"/>
      <c r="Q13" s="578"/>
      <c r="R13" s="578"/>
      <c r="S13" s="578"/>
      <c r="T13" s="578"/>
      <c r="U13" s="578"/>
      <c r="V13" s="578"/>
      <c r="W13" s="578"/>
      <c r="X13" s="578"/>
      <c r="Y13" s="578"/>
      <c r="Z13" s="702"/>
      <c r="AA13" s="702"/>
      <c r="AB13" s="923"/>
    </row>
    <row r="15" s="2613"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013E3-1826-AC13-F377-8B2B971390CE}"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5027" width="4.140625" hidden="1" customWidth="1"/>
    <col min="4" max="4" style="2626" width="4.140625" hidden="1" customWidth="1"/>
    <col min="5" max="5" style="2629" width="3.7109375" customWidth="1"/>
    <col min="6" max="6" style="2625" width="14.421875" customWidth="1"/>
    <col min="7" max="7" style="2625" width="3.7109375" customWidth="1"/>
    <col min="8" max="8" style="2940" width="7.7109375" customWidth="1"/>
    <col min="9" max="10" style="2625" width="16.7109375" customWidth="1"/>
    <col min="11" max="11" style="2625" width="25.7109375" customWidth="1"/>
    <col min="12" max="12" style="5079" width="8.00390625" customWidth="1"/>
    <col min="13" max="13" style="5079" width="15.57421875" customWidth="1"/>
    <col min="14" max="14" style="2625" width="3.28125" customWidth="1"/>
    <col min="15" max="15" style="2625" width="4.7109375" customWidth="1"/>
    <col min="16" max="16" style="2625" width="9.00390625" customWidth="1"/>
    <col min="17" max="17" style="2625" width="21.7109375" customWidth="1"/>
    <col min="18" max="18" style="2625" width="14.7109375" customWidth="1"/>
    <col min="19" max="20" style="2625" width="17.7109375" customWidth="1"/>
    <col min="21" max="21" style="2625" width="9.7109375" customWidth="1"/>
    <col min="22" max="22" style="2625" width="12.7109375" customWidth="1"/>
    <col min="23" max="23" style="2625" width="9.7109375" customWidth="1"/>
    <col min="24" max="24" style="2625" width="21.7109375" customWidth="1"/>
    <col min="25" max="25" style="2625" width="12.7109375" customWidth="1"/>
    <col min="26" max="26" style="2625" width="3.28125" customWidth="1"/>
    <col min="27" max="27" style="2625" width="7.140625" customWidth="1"/>
    <col min="28" max="28" style="2625" width="38.421875" customWidth="1"/>
    <col min="29" max="29" style="2625" width="15.7109375" customWidth="1"/>
    <col min="30" max="30" style="5079" width="37.57421875" customWidth="1"/>
    <col min="31" max="31" style="2625" width="15.7109375" customWidth="1"/>
    <col min="32" max="33" style="2625" width="16.7109375" customWidth="1"/>
    <col min="34" max="34" style="5101" width="16.7109375" customWidth="1"/>
    <col min="35" max="35" style="5102" width="16.7109375" customWidth="1"/>
    <col min="36" max="37" style="2625" width="16.7109375" customWidth="1"/>
    <col min="38" max="58" style="2625" width="9.140625"/>
  </cols>
  <sheetData>
    <row s="2626" customFormat="1" customHeight="1" ht="10.5" hidden="1">
      <c r="A1" s="901"/>
      <c r="B1" s="901"/>
      <c r="C1" s="901"/>
      <c r="E1" s="543"/>
      <c r="H1" s="1168"/>
      <c r="L1" s="1136"/>
      <c r="M1" s="1136"/>
      <c r="AD1" s="1136"/>
      <c r="AH1" s="1155"/>
      <c r="AI1" s="1148"/>
    </row>
    <row customHeight="1" ht="10.5" hidden="1"/>
    <row s="3097" customFormat="1" customHeight="1" ht="10.5" hidden="1">
      <c r="A3" s="901"/>
      <c r="B3" s="901"/>
      <c r="C3" s="901"/>
      <c r="D3" s="423"/>
      <c r="E3" s="360"/>
      <c r="H3" s="1164"/>
      <c r="L3" s="1134"/>
      <c r="M3" s="1134"/>
      <c r="AD3" s="1134"/>
      <c r="AH3" s="1153"/>
      <c r="AI3" s="1146"/>
    </row>
    <row customHeight="1" ht="3"/>
    <row customHeight="1" ht="25.5">
      <c r="F5" s="2140" t="str">
        <f>IP_NAME_FORM</f>
        <v>Форма 7. Информация об инвестиционных программах организации холодного водоснабжения и отчетах об их исполнении</v>
      </c>
      <c r="G5" s="2140"/>
      <c r="H5" s="2140"/>
      <c r="I5" s="2140"/>
      <c r="J5" s="2140"/>
      <c r="K5" s="2140"/>
      <c r="L5" s="1143"/>
      <c r="M5" s="1143"/>
      <c r="AG5" s="912"/>
      <c r="AH5" s="1156"/>
    </row>
    <row customHeight="1" ht="10.5">
      <c r="F6" s="2053" t="str">
        <f>IF(org=0,"Не определено",org)</f>
        <v>АО "РИР" (филиал в г. Глазове)</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288</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884</v>
      </c>
      <c r="G9" s="2249" t="s">
        <v>885</v>
      </c>
      <c r="H9" s="2250"/>
      <c r="I9" s="1971" t="s">
        <v>886</v>
      </c>
      <c r="J9" s="1971"/>
      <c r="K9" s="1971" t="s">
        <v>887</v>
      </c>
      <c r="L9" s="1971"/>
      <c r="M9" s="1971"/>
      <c r="N9" s="1971"/>
      <c r="O9" s="1971"/>
      <c r="P9" s="1971"/>
      <c r="Q9" s="1971"/>
      <c r="R9" s="1971"/>
      <c r="S9" s="1971"/>
      <c r="T9" s="1971"/>
      <c r="U9" s="1971"/>
      <c r="V9" s="1971"/>
      <c r="W9" s="1971"/>
      <c r="X9" s="1971"/>
      <c r="Y9" s="1971"/>
      <c r="Z9" s="2029" t="s">
        <v>888</v>
      </c>
      <c r="AA9" s="2030"/>
      <c r="AB9" s="1971" t="s">
        <v>889</v>
      </c>
      <c r="AC9" s="1971"/>
      <c r="AD9" s="1971"/>
      <c r="AE9" s="1971"/>
      <c r="AF9" s="2028" t="s">
        <v>890</v>
      </c>
      <c r="AG9" s="1971" t="s">
        <v>891</v>
      </c>
      <c r="AH9" s="1971"/>
      <c r="AI9" s="2028" t="s">
        <v>892</v>
      </c>
      <c r="AJ9" s="1971" t="s">
        <v>893</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894</v>
      </c>
      <c r="L10" s="1955" t="s">
        <v>895</v>
      </c>
      <c r="M10" s="1957"/>
      <c r="N10" s="1971" t="s">
        <v>896</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5079" customFormat="1" customHeight="1" ht="23.25">
      <c r="A11" s="1137"/>
      <c r="B11" s="1137"/>
      <c r="C11" s="1137"/>
      <c r="D11" s="1136"/>
      <c r="E11" s="1138"/>
      <c r="F11" s="2248"/>
      <c r="G11" s="2251"/>
      <c r="H11" s="2252"/>
      <c r="I11" s="1971"/>
      <c r="J11" s="1971"/>
      <c r="K11" s="1971"/>
      <c r="L11" s="2028" t="s">
        <v>897</v>
      </c>
      <c r="M11" s="2028" t="s">
        <v>898</v>
      </c>
      <c r="N11" s="1971" t="s">
        <v>899</v>
      </c>
      <c r="O11" s="1971"/>
      <c r="P11" s="2246" t="s">
        <v>880</v>
      </c>
      <c r="Q11" s="2246" t="s">
        <v>900</v>
      </c>
      <c r="R11" s="2246" t="s">
        <v>901</v>
      </c>
      <c r="S11" s="2246" t="s">
        <v>902</v>
      </c>
      <c r="T11" s="2246"/>
      <c r="U11" s="2246"/>
      <c r="V11" s="2246"/>
      <c r="W11" s="2246"/>
      <c r="X11" s="2246"/>
      <c r="Y11" s="2246"/>
      <c r="Z11" s="2031"/>
      <c r="AA11" s="2032"/>
      <c r="AB11" s="1971" t="s">
        <v>903</v>
      </c>
      <c r="AC11" s="1971"/>
      <c r="AD11" s="1955" t="s">
        <v>904</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87</v>
      </c>
      <c r="J12" s="1161" t="s">
        <v>905</v>
      </c>
      <c r="K12" s="1971"/>
      <c r="L12" s="2090"/>
      <c r="M12" s="2090"/>
      <c r="N12" s="1971"/>
      <c r="O12" s="1971"/>
      <c r="P12" s="2246"/>
      <c r="Q12" s="2246"/>
      <c r="R12" s="2246"/>
      <c r="S12" s="1142" t="s">
        <v>84</v>
      </c>
      <c r="T12" s="1142" t="s">
        <v>85</v>
      </c>
      <c r="U12" s="1142" t="s">
        <v>83</v>
      </c>
      <c r="V12" s="1142" t="s">
        <v>906</v>
      </c>
      <c r="W12" s="1142" t="s">
        <v>83</v>
      </c>
      <c r="X12" s="1142" t="s">
        <v>907</v>
      </c>
      <c r="Y12" s="1142" t="s">
        <v>908</v>
      </c>
      <c r="Z12" s="2037"/>
      <c r="AA12" s="2038"/>
      <c r="AB12" s="1149" t="s">
        <v>909</v>
      </c>
      <c r="AC12" s="1149" t="s">
        <v>910</v>
      </c>
      <c r="AD12" s="1149" t="s">
        <v>909</v>
      </c>
      <c r="AE12" s="1149" t="s">
        <v>910</v>
      </c>
      <c r="AF12" s="2090"/>
      <c r="AG12" s="1162" t="s">
        <v>911</v>
      </c>
      <c r="AH12" s="1162" t="s">
        <v>912</v>
      </c>
      <c r="AI12" s="2090"/>
      <c r="AJ12" s="1162" t="s">
        <v>911</v>
      </c>
      <c r="AK12" s="1162" t="s">
        <v>912</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913</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B5983B-5B29-0423-AB52-802472F54BDA}"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5029" width="4.140625" hidden="1" customWidth="1"/>
    <col min="4" max="4" style="3292" width="4.140625" hidden="1" customWidth="1"/>
    <col min="5" max="5" style="2629" width="3.7109375" customWidth="1"/>
    <col min="6" max="6" style="2940" width="6.28125" customWidth="1"/>
    <col min="7" max="7" style="2940" width="60.140625" customWidth="1"/>
    <col min="8" max="9" style="2940" width="21.7109375" hidden="1" customWidth="1"/>
    <col min="10" max="10" style="2940" width="0.140625" customWidth="1"/>
    <col min="11" max="11" style="2940" width="1.7109375" customWidth="1"/>
    <col min="12" max="22" style="2940" width="9.140625"/>
  </cols>
  <sheetData>
    <row s="3292" customFormat="1" customHeight="1" ht="10.5" hidden="1">
      <c r="A1" s="1174"/>
      <c r="B1" s="1174"/>
      <c r="C1" s="1174"/>
      <c r="E1" s="543"/>
    </row>
    <row customHeight="1" ht="10.5" hidden="1"/>
    <row s="2939" customFormat="1" customHeight="1" ht="10.5" hidden="1">
      <c r="A3" s="1174"/>
      <c r="B3" s="1174"/>
      <c r="C3" s="1174"/>
      <c r="D3" s="1168"/>
      <c r="E3" s="360"/>
    </row>
    <row customHeight="1" ht="3"/>
    <row customHeight="1" ht="25.5">
      <c r="F5" s="214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40"/>
      <c r="H5" s="2140"/>
      <c r="I5" s="2140"/>
      <c r="J5" s="2140"/>
    </row>
    <row customHeight="1" ht="10.5">
      <c r="F6" s="2053" t="str">
        <f>IF(org=0,"Не определено",org)</f>
        <v>АО "РИР" (филиал в г. Глазове)</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3"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288</v>
      </c>
      <c r="G9" s="2259"/>
      <c r="H9" s="2259"/>
      <c r="I9" s="2259"/>
      <c r="J9" s="2259"/>
      <c r="K9" s="1258"/>
      <c r="L9" s="1165"/>
      <c r="M9" s="1165"/>
      <c r="N9" s="1165"/>
      <c r="O9" s="1165"/>
      <c r="P9" s="1165"/>
      <c r="Q9" s="1165"/>
      <c r="R9" s="1165"/>
      <c r="S9" s="1165"/>
      <c r="T9" s="1165"/>
      <c r="U9" s="1165"/>
      <c r="V9" s="1165"/>
    </row>
    <row customHeight="1" ht="24">
      <c r="E10" s="1165"/>
      <c r="F10" s="2262" t="s">
        <v>86</v>
      </c>
      <c r="G10" s="2267" t="s">
        <v>914</v>
      </c>
      <c r="H10" s="2265" t="s">
        <v>915</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916</v>
      </c>
      <c r="I12" s="1250"/>
      <c r="J12" s="1244"/>
      <c r="K12" s="1252"/>
    </row>
    <row customHeight="1" ht="10.5" hidden="1">
      <c r="F13" s="1244">
        <v>1</v>
      </c>
      <c r="G13" s="1244">
        <v>2</v>
      </c>
      <c r="H13" s="1244">
        <v>3</v>
      </c>
      <c r="I13" s="1244">
        <v>4</v>
      </c>
      <c r="J13" s="1244">
        <v>5</v>
      </c>
      <c r="K13" s="1252"/>
    </row>
    <row customHeight="1" ht="11.25">
      <c r="F14" s="1243" t="s">
        <v>917</v>
      </c>
      <c r="G14" s="2260" t="s">
        <v>918</v>
      </c>
      <c r="H14" s="2260"/>
      <c r="I14" s="2260"/>
      <c r="J14" s="2260"/>
      <c r="K14" s="1252"/>
    </row>
    <row customHeight="1" ht="11.25">
      <c r="F15" s="1248">
        <v>1</v>
      </c>
      <c r="G15" s="696" t="s">
        <v>919</v>
      </c>
      <c r="H15" s="1254">
        <f>SUM(I15:J15)</f>
        <v>0</v>
      </c>
      <c r="I15" s="1254">
        <f>SUM(I16:I27)</f>
        <v>0</v>
      </c>
      <c r="J15" s="1243"/>
      <c r="K15" s="1252"/>
    </row>
    <row customHeight="1" ht="22.5">
      <c r="F16" s="1248" t="s">
        <v>920</v>
      </c>
      <c r="G16" s="1255" t="s">
        <v>921</v>
      </c>
      <c r="H16" s="1254">
        <f>SUM(I16:J16)</f>
        <v>0</v>
      </c>
      <c r="I16" s="1253"/>
      <c r="J16" s="1243"/>
      <c r="K16" s="1252"/>
    </row>
    <row customHeight="1" ht="22.5">
      <c r="F17" s="1248" t="s">
        <v>922</v>
      </c>
      <c r="G17" s="1255" t="s">
        <v>923</v>
      </c>
      <c r="H17" s="1254">
        <f>SUM(I17:J17)</f>
        <v>0</v>
      </c>
      <c r="I17" s="1253"/>
      <c r="J17" s="1243"/>
      <c r="K17" s="1252"/>
    </row>
    <row customHeight="1" ht="33.75">
      <c r="F18" s="1248" t="s">
        <v>924</v>
      </c>
      <c r="G18" s="1255" t="s">
        <v>925</v>
      </c>
      <c r="H18" s="1254">
        <f>SUM(I18:J18)</f>
        <v>0</v>
      </c>
      <c r="I18" s="1253"/>
      <c r="J18" s="1243"/>
      <c r="K18" s="1252"/>
    </row>
    <row customHeight="1" ht="33.75">
      <c r="F19" s="1248" t="s">
        <v>926</v>
      </c>
      <c r="G19" s="1255" t="s">
        <v>927</v>
      </c>
      <c r="H19" s="1254">
        <f>SUM(I19:J19)</f>
        <v>0</v>
      </c>
      <c r="I19" s="1253"/>
      <c r="J19" s="1243"/>
      <c r="K19" s="1252"/>
    </row>
    <row customHeight="1" ht="45">
      <c r="F20" s="1248" t="s">
        <v>928</v>
      </c>
      <c r="G20" s="1255" t="s">
        <v>929</v>
      </c>
      <c r="H20" s="1254">
        <f>SUM(I20:J20)</f>
        <v>0</v>
      </c>
      <c r="I20" s="1253"/>
      <c r="J20" s="1243"/>
      <c r="K20" s="1252"/>
    </row>
    <row customHeight="1" ht="33.75">
      <c r="F21" s="1248" t="s">
        <v>930</v>
      </c>
      <c r="G21" s="1255" t="s">
        <v>931</v>
      </c>
      <c r="H21" s="1254">
        <f>SUM(I21:J21)</f>
        <v>0</v>
      </c>
      <c r="I21" s="1253"/>
      <c r="J21" s="1243"/>
      <c r="K21" s="1252"/>
    </row>
    <row customHeight="1" ht="33.75">
      <c r="F22" s="1248" t="s">
        <v>932</v>
      </c>
      <c r="G22" s="1255" t="s">
        <v>933</v>
      </c>
      <c r="H22" s="1254">
        <f>SUM(I22:J22)</f>
        <v>0</v>
      </c>
      <c r="I22" s="1253"/>
      <c r="J22" s="1243"/>
      <c r="K22" s="1252"/>
    </row>
    <row customHeight="1" ht="22.5">
      <c r="F23" s="1248" t="s">
        <v>934</v>
      </c>
      <c r="G23" s="1255" t="s">
        <v>935</v>
      </c>
      <c r="H23" s="1254">
        <f>SUM(I23:J23)</f>
        <v>0</v>
      </c>
      <c r="I23" s="1253"/>
      <c r="J23" s="1243"/>
      <c r="K23" s="1252"/>
    </row>
    <row customHeight="1" ht="22.5">
      <c r="F24" s="1248" t="s">
        <v>936</v>
      </c>
      <c r="G24" s="1255" t="s">
        <v>937</v>
      </c>
      <c r="H24" s="1254">
        <f>SUM(I24:J24)</f>
        <v>0</v>
      </c>
      <c r="I24" s="1253"/>
      <c r="J24" s="1243"/>
      <c r="K24" s="1252"/>
    </row>
    <row customHeight="1" ht="33.75">
      <c r="F25" s="1248" t="s">
        <v>938</v>
      </c>
      <c r="G25" s="1255" t="s">
        <v>939</v>
      </c>
      <c r="H25" s="1254">
        <f>SUM(I25:J25)</f>
        <v>0</v>
      </c>
      <c r="I25" s="1253"/>
      <c r="J25" s="1243"/>
      <c r="K25" s="1252"/>
    </row>
    <row customHeight="1" ht="33.75">
      <c r="F26" s="1248" t="s">
        <v>940</v>
      </c>
      <c r="G26" s="1255" t="s">
        <v>941</v>
      </c>
      <c r="H26" s="1254">
        <f>SUM(I26:J26)</f>
        <v>0</v>
      </c>
      <c r="I26" s="1253"/>
      <c r="J26" s="1243"/>
      <c r="K26" s="1252"/>
    </row>
    <row customHeight="1" ht="11.25">
      <c r="F27" s="1248" t="s">
        <v>942</v>
      </c>
      <c r="G27" s="1255" t="s">
        <v>943</v>
      </c>
      <c r="H27" s="1254">
        <f>SUM(I27:J27)</f>
        <v>0</v>
      </c>
      <c r="I27" s="1253"/>
      <c r="J27" s="1243"/>
      <c r="K27" s="1252"/>
    </row>
    <row customHeight="1" ht="11.25">
      <c r="F28" s="1248">
        <v>2</v>
      </c>
      <c r="G28" s="696" t="s">
        <v>944</v>
      </c>
      <c r="H28" s="1254">
        <f>SUM(I28:J28)</f>
        <v>0</v>
      </c>
      <c r="I28" s="1254">
        <f>SUM(I29:I31)</f>
        <v>0</v>
      </c>
      <c r="J28" s="1243"/>
      <c r="K28" s="1252"/>
    </row>
    <row customHeight="1" ht="11.25">
      <c r="F29" s="1248" t="s">
        <v>606</v>
      </c>
      <c r="G29" s="1255" t="s">
        <v>945</v>
      </c>
      <c r="H29" s="1254">
        <f>SUM(I29:J29)</f>
        <v>0</v>
      </c>
      <c r="I29" s="1253"/>
      <c r="J29" s="1243"/>
      <c r="K29" s="1252"/>
    </row>
    <row customHeight="1" ht="11.25">
      <c r="F30" s="1248" t="s">
        <v>295</v>
      </c>
      <c r="G30" s="1255" t="s">
        <v>946</v>
      </c>
      <c r="H30" s="1254">
        <f>SUM(I30:J30)</f>
        <v>0</v>
      </c>
      <c r="I30" s="1253"/>
      <c r="J30" s="1243"/>
      <c r="K30" s="1252"/>
    </row>
    <row customHeight="1" ht="11.25">
      <c r="F31" s="1248" t="s">
        <v>298</v>
      </c>
      <c r="G31" s="1255" t="s">
        <v>947</v>
      </c>
      <c r="H31" s="1254">
        <f>SUM(I31:J31)</f>
        <v>0</v>
      </c>
      <c r="I31" s="1253"/>
      <c r="J31" s="1243"/>
      <c r="K31" s="1252"/>
    </row>
    <row customHeight="1" ht="11.25">
      <c r="F32" s="1248">
        <v>3</v>
      </c>
      <c r="G32" s="696" t="s">
        <v>948</v>
      </c>
      <c r="H32" s="1254">
        <f>SUM(I32:J32)</f>
        <v>0</v>
      </c>
      <c r="I32" s="1254">
        <f>SUM(I33:I34)</f>
        <v>0</v>
      </c>
      <c r="J32" s="1243"/>
      <c r="K32" s="1252"/>
    </row>
    <row customHeight="1" ht="33.75">
      <c r="F33" s="1248" t="s">
        <v>314</v>
      </c>
      <c r="G33" s="1255" t="s">
        <v>949</v>
      </c>
      <c r="H33" s="1254">
        <f>SUM(I33:J33)</f>
        <v>0</v>
      </c>
      <c r="I33" s="1253"/>
      <c r="J33" s="1243"/>
      <c r="K33" s="1252"/>
    </row>
    <row customHeight="1" ht="11.25">
      <c r="F34" s="1248" t="s">
        <v>322</v>
      </c>
      <c r="G34" s="1255" t="s">
        <v>950</v>
      </c>
      <c r="H34" s="1254">
        <f>SUM(I34:J34)</f>
        <v>0</v>
      </c>
      <c r="I34" s="1253"/>
      <c r="J34" s="1243"/>
      <c r="K34" s="1252"/>
    </row>
    <row customHeight="1" ht="11.25">
      <c r="F35" s="1248">
        <v>4</v>
      </c>
      <c r="G35" s="696" t="s">
        <v>951</v>
      </c>
      <c r="H35" s="1254">
        <f>SUM(I35:J35)</f>
        <v>0</v>
      </c>
      <c r="I35" s="1253"/>
      <c r="J35" s="1243"/>
      <c r="K35" s="1252"/>
    </row>
    <row customHeight="1" ht="11.25">
      <c r="F36" s="1248"/>
      <c r="G36" s="699" t="s">
        <v>952</v>
      </c>
      <c r="H36" s="1254">
        <f>SUM(I36:J36)</f>
        <v>0</v>
      </c>
      <c r="I36" s="1254">
        <f>SUM(I15,I28,I32,I35)</f>
        <v>0</v>
      </c>
      <c r="J36" s="1243"/>
      <c r="K36" s="1252"/>
    </row>
    <row customHeight="1" ht="27.75">
      <c r="F37" s="1249" t="s">
        <v>953</v>
      </c>
      <c r="G37" s="2261" t="s">
        <v>954</v>
      </c>
      <c r="H37" s="2261"/>
      <c r="I37" s="2261"/>
      <c r="J37" s="2261"/>
      <c r="K37" s="1252"/>
    </row>
    <row customHeight="1" ht="22.5">
      <c r="F38" s="1248" t="s">
        <v>107</v>
      </c>
      <c r="G38" s="696" t="s">
        <v>955</v>
      </c>
      <c r="H38" s="1254">
        <f>SUM(I38:J38)</f>
        <v>0</v>
      </c>
      <c r="I38" s="1254">
        <f>SUM(I39,I44,I47)</f>
        <v>0</v>
      </c>
      <c r="J38" s="1243"/>
      <c r="K38" s="1252"/>
    </row>
    <row customHeight="1" ht="11.25">
      <c r="F39" s="1248" t="s">
        <v>920</v>
      </c>
      <c r="G39" s="1255" t="s">
        <v>919</v>
      </c>
      <c r="H39" s="1254">
        <f>SUM(I39:J39)</f>
        <v>0</v>
      </c>
      <c r="I39" s="1254">
        <f>SUM(I40:I43)</f>
        <v>0</v>
      </c>
      <c r="J39" s="1243"/>
      <c r="K39" s="1252"/>
    </row>
    <row customHeight="1" ht="22.5">
      <c r="F40" s="1248" t="s">
        <v>956</v>
      </c>
      <c r="G40" s="1256" t="s">
        <v>957</v>
      </c>
      <c r="H40" s="1254">
        <f>SUM(I40:J40)</f>
        <v>0</v>
      </c>
      <c r="I40" s="1253"/>
      <c r="J40" s="1243"/>
      <c r="K40" s="1252"/>
    </row>
    <row customHeight="1" ht="11.25">
      <c r="F41" s="1248" t="s">
        <v>958</v>
      </c>
      <c r="G41" s="1256" t="s">
        <v>959</v>
      </c>
      <c r="H41" s="1254">
        <f>SUM(I41:J41)</f>
        <v>0</v>
      </c>
      <c r="I41" s="1253"/>
      <c r="J41" s="1243"/>
      <c r="K41" s="1252"/>
    </row>
    <row customHeight="1" ht="11.25">
      <c r="F42" s="1248" t="s">
        <v>960</v>
      </c>
      <c r="G42" s="1256" t="s">
        <v>961</v>
      </c>
      <c r="H42" s="1254">
        <f>SUM(I42:J42)</f>
        <v>0</v>
      </c>
      <c r="I42" s="1253"/>
      <c r="J42" s="1243"/>
      <c r="K42" s="1252"/>
    </row>
    <row customHeight="1" ht="33.75">
      <c r="F43" s="1248" t="s">
        <v>962</v>
      </c>
      <c r="G43" s="1256" t="s">
        <v>963</v>
      </c>
      <c r="H43" s="1254">
        <f>SUM(I43:J43)</f>
        <v>0</v>
      </c>
      <c r="I43" s="1253"/>
      <c r="J43" s="1243"/>
      <c r="K43" s="1252"/>
    </row>
    <row customHeight="1" ht="11.25">
      <c r="F44" s="1248" t="s">
        <v>922</v>
      </c>
      <c r="G44" s="1255" t="s">
        <v>948</v>
      </c>
      <c r="H44" s="1254">
        <f>SUM(I44:J44)</f>
        <v>0</v>
      </c>
      <c r="I44" s="1254">
        <f>SUM(I45:I46)</f>
        <v>0</v>
      </c>
      <c r="J44" s="1243"/>
      <c r="K44" s="1252"/>
    </row>
    <row customHeight="1" ht="45">
      <c r="F45" s="1248" t="s">
        <v>964</v>
      </c>
      <c r="G45" s="1256" t="s">
        <v>949</v>
      </c>
      <c r="H45" s="1254">
        <f>SUM(I45:J45)</f>
        <v>0</v>
      </c>
      <c r="I45" s="1253"/>
      <c r="J45" s="1243"/>
      <c r="K45" s="1252"/>
    </row>
    <row customHeight="1" ht="11.25">
      <c r="F46" s="1248" t="s">
        <v>965</v>
      </c>
      <c r="G46" s="1256" t="s">
        <v>950</v>
      </c>
      <c r="H46" s="1254">
        <f>SUM(I46:J46)</f>
        <v>0</v>
      </c>
      <c r="I46" s="1253"/>
      <c r="J46" s="1243"/>
      <c r="K46" s="1252"/>
    </row>
    <row customHeight="1" ht="11.25">
      <c r="F47" s="1248" t="s">
        <v>924</v>
      </c>
      <c r="G47" s="1255" t="s">
        <v>966</v>
      </c>
      <c r="H47" s="1254">
        <f>SUM(I47:J47)</f>
        <v>0</v>
      </c>
      <c r="I47" s="1253"/>
      <c r="J47" s="1243"/>
      <c r="K47" s="1252"/>
    </row>
    <row customHeight="1" ht="22.5">
      <c r="F48" s="1248" t="s">
        <v>108</v>
      </c>
      <c r="G48" s="696" t="s">
        <v>967</v>
      </c>
      <c r="H48" s="1254">
        <f>SUM(I48:J48)</f>
        <v>0</v>
      </c>
      <c r="I48" s="1254">
        <f>SUM(I49,I54,I57)</f>
        <v>0</v>
      </c>
      <c r="J48" s="1243"/>
      <c r="K48" s="1252"/>
    </row>
    <row customHeight="1" ht="11.25">
      <c r="F49" s="1248" t="s">
        <v>606</v>
      </c>
      <c r="G49" s="1255" t="s">
        <v>919</v>
      </c>
      <c r="H49" s="1254">
        <f>SUM(I49:J49)</f>
        <v>0</v>
      </c>
      <c r="I49" s="1254">
        <f>SUM(I50:I53)</f>
        <v>0</v>
      </c>
      <c r="J49" s="1243"/>
      <c r="K49" s="1252"/>
    </row>
    <row customHeight="1" ht="22.5">
      <c r="F50" s="1248" t="s">
        <v>609</v>
      </c>
      <c r="G50" s="1256" t="s">
        <v>957</v>
      </c>
      <c r="H50" s="1254">
        <f>SUM(I50:J50)</f>
        <v>0</v>
      </c>
      <c r="I50" s="1253"/>
      <c r="J50" s="1243"/>
      <c r="K50" s="1252"/>
    </row>
    <row customHeight="1" ht="11.25">
      <c r="F51" s="1248" t="s">
        <v>612</v>
      </c>
      <c r="G51" s="1256" t="s">
        <v>959</v>
      </c>
      <c r="H51" s="1254">
        <f>SUM(I51:J51)</f>
        <v>0</v>
      </c>
      <c r="I51" s="1253"/>
      <c r="J51" s="1243"/>
      <c r="K51" s="1252"/>
    </row>
    <row customHeight="1" ht="11.25">
      <c r="F52" s="1248" t="s">
        <v>968</v>
      </c>
      <c r="G52" s="1256" t="s">
        <v>961</v>
      </c>
      <c r="H52" s="1254">
        <f>SUM(I52:J52)</f>
        <v>0</v>
      </c>
      <c r="I52" s="1253"/>
      <c r="J52" s="1243"/>
      <c r="K52" s="1252"/>
    </row>
    <row customHeight="1" ht="33.75">
      <c r="F53" s="1248" t="s">
        <v>969</v>
      </c>
      <c r="G53" s="1256" t="s">
        <v>963</v>
      </c>
      <c r="H53" s="1254">
        <f>SUM(I53:J53)</f>
        <v>0</v>
      </c>
      <c r="I53" s="1253"/>
      <c r="J53" s="1243"/>
      <c r="K53" s="1252"/>
    </row>
    <row customHeight="1" ht="11.25">
      <c r="F54" s="1248" t="s">
        <v>295</v>
      </c>
      <c r="G54" s="1255" t="s">
        <v>948</v>
      </c>
      <c r="H54" s="1254">
        <f>SUM(I54:J54)</f>
        <v>0</v>
      </c>
      <c r="I54" s="1254">
        <f>SUM(I55:I56)</f>
        <v>0</v>
      </c>
      <c r="J54" s="1243"/>
      <c r="K54" s="1252"/>
    </row>
    <row customHeight="1" ht="45">
      <c r="F55" s="1248" t="s">
        <v>616</v>
      </c>
      <c r="G55" s="1256" t="s">
        <v>949</v>
      </c>
      <c r="H55" s="1254">
        <f>SUM(I55:J55)</f>
        <v>0</v>
      </c>
      <c r="I55" s="1253"/>
      <c r="J55" s="1243"/>
      <c r="K55" s="1252"/>
    </row>
    <row customHeight="1" ht="11.25">
      <c r="F56" s="1248" t="s">
        <v>618</v>
      </c>
      <c r="G56" s="1256" t="s">
        <v>950</v>
      </c>
      <c r="H56" s="1254">
        <f>SUM(I56:J56)</f>
        <v>0</v>
      </c>
      <c r="I56" s="1253"/>
      <c r="J56" s="1243"/>
      <c r="K56" s="1252"/>
    </row>
    <row customHeight="1" ht="11.25">
      <c r="F57" s="1248" t="s">
        <v>298</v>
      </c>
      <c r="G57" s="1255" t="s">
        <v>966</v>
      </c>
      <c r="H57" s="1254">
        <f>SUM(I57:J57)</f>
        <v>0</v>
      </c>
      <c r="I57" s="1253"/>
      <c r="J57" s="1243"/>
      <c r="K57" s="1252"/>
    </row>
    <row customHeight="1" ht="11.25">
      <c r="F58" s="1248"/>
      <c r="G58" s="1257" t="s">
        <v>952</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193012-6B55-A461-0E92-086B97E6971C}"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5203" width="4.7109375" hidden="1" customWidth="1"/>
    <col min="2" max="2" style="5204" width="4.7109375" hidden="1" customWidth="1"/>
    <col min="3" max="4" style="5203" width="4.7109375" hidden="1" customWidth="1"/>
    <col min="5" max="5" style="5203" width="3.57421875" customWidth="1"/>
    <col min="6" max="6" style="5203" width="6.7109375" customWidth="1"/>
    <col min="7" max="7" style="5203" width="18.7109375" customWidth="1"/>
    <col min="8" max="8" style="5203" width="27.28125" customWidth="1"/>
    <col min="9" max="9" style="5203" width="18.7109375" customWidth="1"/>
    <col min="10" max="14" style="5203" width="0.8515625" hidden="1" customWidth="1"/>
    <col min="15" max="28" style="5203" width="21.7109375" hidden="1" customWidth="1"/>
    <col min="29" max="71" style="5203" width="0.8515625" hidden="1" customWidth="1"/>
    <col min="72" max="79" style="5203" width="21.7109375" customWidth="1"/>
    <col min="80" max="81" style="5203" width="29.140625" customWidth="1"/>
    <col min="82" max="89" style="5203" width="21.7109375" customWidth="1"/>
    <col min="90" max="102" style="5203" width="0.7109375" customWidth="1"/>
    <col min="103" max="114" style="5203" width="21.7109375" hidden="1" customWidth="1"/>
    <col min="115" max="178" style="5203" width="0.7109375" hidden="1" customWidth="1"/>
    <col min="179" max="179" style="5203" width="0.140625" customWidth="1"/>
    <col min="180" max="184" style="5203" width="9.140625"/>
  </cols>
  <sheetData>
    <row s="5131" customFormat="1" customHeight="1" ht="12" hidden="1">
      <c r="B1" s="929"/>
      <c r="C1" s="930"/>
      <c r="D1" s="930"/>
    </row>
    <row s="5131"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5131"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5139"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5143" customFormat="1" customHeight="1" ht="18">
      <c r="B6" s="950"/>
      <c r="E6" s="952"/>
      <c r="F6" s="2079" t="str">
        <f>IF(org=0,"Не определено",org)</f>
        <v>АО "РИР" (филиал в г. Глазове)</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5146"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5148" customFormat="1" customHeight="1" ht="11.25" hidden="1">
      <c r="B8" s="940"/>
      <c r="F8" s="1063"/>
      <c r="G8" s="769"/>
      <c r="H8" s="356"/>
      <c r="I8" s="356"/>
      <c r="J8" s="356"/>
      <c r="K8" s="356"/>
      <c r="L8" s="356"/>
      <c r="M8" s="1063"/>
      <c r="N8" s="1063"/>
      <c r="O8" s="2281" t="s">
        <v>970</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971</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5148"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5148" customFormat="1" customHeight="1" ht="11.25">
      <c r="B10" s="940"/>
      <c r="F10" s="2292" t="s">
        <v>288</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86</v>
      </c>
      <c r="G11" s="2057" t="s">
        <v>972</v>
      </c>
      <c r="H11" s="2291" t="s">
        <v>973</v>
      </c>
      <c r="I11" s="2291" t="s">
        <v>974</v>
      </c>
      <c r="J11" s="2290"/>
      <c r="K11" s="2290"/>
      <c r="L11" s="2290"/>
      <c r="M11" s="2290"/>
      <c r="N11" s="2290"/>
      <c r="O11" s="2062" t="s">
        <v>975</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975</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975</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976</v>
      </c>
      <c r="P12" s="2062"/>
      <c r="Q12" s="2062"/>
      <c r="R12" s="2062"/>
      <c r="S12" s="2062" t="s">
        <v>977</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978</v>
      </c>
      <c r="BU12" s="2274"/>
      <c r="BV12" s="2274"/>
      <c r="BW12" s="2271"/>
      <c r="BX12" s="2270" t="s">
        <v>979</v>
      </c>
      <c r="BY12" s="2274"/>
      <c r="BZ12" s="2274"/>
      <c r="CA12" s="2271"/>
      <c r="CB12" s="2270" t="s">
        <v>980</v>
      </c>
      <c r="CC12" s="2271"/>
      <c r="CD12" s="2270" t="s">
        <v>981</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982</v>
      </c>
      <c r="CZ12" s="2274"/>
      <c r="DA12" s="2274"/>
      <c r="DB12" s="2274"/>
      <c r="DC12" s="2274"/>
      <c r="DD12" s="2271"/>
      <c r="DE12" s="2270" t="s">
        <v>983</v>
      </c>
      <c r="DF12" s="2271"/>
      <c r="DG12" s="2270" t="s">
        <v>981</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984</v>
      </c>
      <c r="P13" s="2062"/>
      <c r="Q13" s="2062"/>
      <c r="R13" s="2062"/>
      <c r="S13" s="2189" t="s">
        <v>985</v>
      </c>
      <c r="T13" s="2268"/>
      <c r="U13" s="1971" t="s">
        <v>986</v>
      </c>
      <c r="V13" s="1971"/>
      <c r="W13" s="1971"/>
      <c r="X13" s="1971"/>
      <c r="Y13" s="1971" t="s">
        <v>987</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988</v>
      </c>
      <c r="BU13" s="2268"/>
      <c r="BV13" s="2189" t="s">
        <v>989</v>
      </c>
      <c r="BW13" s="2268"/>
      <c r="BX13" s="2189" t="s">
        <v>990</v>
      </c>
      <c r="BY13" s="2268"/>
      <c r="BZ13" s="2189" t="s">
        <v>991</v>
      </c>
      <c r="CA13" s="2268"/>
      <c r="CB13" s="2189" t="s">
        <v>992</v>
      </c>
      <c r="CC13" s="2268"/>
      <c r="CD13" s="2189" t="s">
        <v>993</v>
      </c>
      <c r="CE13" s="2268"/>
      <c r="CF13" s="2189" t="s">
        <v>994</v>
      </c>
      <c r="CG13" s="2268"/>
      <c r="CH13" s="2270" t="s">
        <v>995</v>
      </c>
      <c r="CI13" s="2274"/>
      <c r="CJ13" s="2274"/>
      <c r="CK13" s="2271"/>
      <c r="CL13" s="2280"/>
      <c r="CM13" s="2272"/>
      <c r="CN13" s="2272"/>
      <c r="CO13" s="2272"/>
      <c r="CP13" s="2272"/>
      <c r="CQ13" s="2272"/>
      <c r="CR13" s="2272"/>
      <c r="CS13" s="2272"/>
      <c r="CT13" s="2272"/>
      <c r="CU13" s="2272"/>
      <c r="CV13" s="2272"/>
      <c r="CW13" s="2272"/>
      <c r="CX13" s="2273"/>
      <c r="CY13" s="2189" t="s">
        <v>996</v>
      </c>
      <c r="CZ13" s="2268"/>
      <c r="DA13" s="2189" t="s">
        <v>997</v>
      </c>
      <c r="DB13" s="2268"/>
      <c r="DC13" s="2189" t="s">
        <v>998</v>
      </c>
      <c r="DD13" s="2268"/>
      <c r="DE13" s="2189" t="s">
        <v>999</v>
      </c>
      <c r="DF13" s="2268"/>
      <c r="DG13" s="2270" t="s">
        <v>1000</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1001</v>
      </c>
      <c r="P14" s="2268"/>
      <c r="Q14" s="2189" t="s">
        <v>1002</v>
      </c>
      <c r="R14" s="2268"/>
      <c r="S14" s="2190"/>
      <c r="T14" s="2063"/>
      <c r="U14" s="2189" t="s">
        <v>734</v>
      </c>
      <c r="V14" s="2268"/>
      <c r="W14" s="2189" t="s">
        <v>737</v>
      </c>
      <c r="X14" s="2268"/>
      <c r="Y14" s="2189" t="s">
        <v>734</v>
      </c>
      <c r="Z14" s="2268"/>
      <c r="AA14" s="2189" t="s">
        <v>744</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1003</v>
      </c>
      <c r="CI14" s="2268"/>
      <c r="CJ14" s="2189" t="s">
        <v>1004</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1005</v>
      </c>
      <c r="DH14" s="2268"/>
      <c r="DI14" s="2189" t="s">
        <v>1006</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724</v>
      </c>
      <c r="P16" s="2271"/>
      <c r="Q16" s="2270" t="s">
        <v>726</v>
      </c>
      <c r="R16" s="2271"/>
      <c r="S16" s="2270" t="s">
        <v>730</v>
      </c>
      <c r="T16" s="2271"/>
      <c r="U16" s="2270" t="s">
        <v>735</v>
      </c>
      <c r="V16" s="2271"/>
      <c r="W16" s="2270" t="s">
        <v>738</v>
      </c>
      <c r="X16" s="2271"/>
      <c r="Y16" s="2270" t="s">
        <v>742</v>
      </c>
      <c r="Z16" s="2271"/>
      <c r="AA16" s="2270" t="s">
        <v>745</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542</v>
      </c>
      <c r="BU16" s="2271"/>
      <c r="BV16" s="2270" t="s">
        <v>542</v>
      </c>
      <c r="BW16" s="2271"/>
      <c r="BX16" s="2270" t="s">
        <v>542</v>
      </c>
      <c r="BY16" s="2271"/>
      <c r="BZ16" s="2270" t="s">
        <v>542</v>
      </c>
      <c r="CA16" s="2271"/>
      <c r="CB16" s="2270" t="s">
        <v>1007</v>
      </c>
      <c r="CC16" s="2271"/>
      <c r="CD16" s="2270" t="s">
        <v>542</v>
      </c>
      <c r="CE16" s="2271"/>
      <c r="CF16" s="2270" t="s">
        <v>1008</v>
      </c>
      <c r="CG16" s="2271"/>
      <c r="CH16" s="2270" t="s">
        <v>1009</v>
      </c>
      <c r="CI16" s="2271"/>
      <c r="CJ16" s="2270" t="s">
        <v>1009</v>
      </c>
      <c r="CK16" s="2271"/>
      <c r="CL16" s="2280"/>
      <c r="CM16" s="2272"/>
      <c r="CN16" s="2272"/>
      <c r="CO16" s="2272"/>
      <c r="CP16" s="2272"/>
      <c r="CQ16" s="2272"/>
      <c r="CR16" s="2272"/>
      <c r="CS16" s="2272"/>
      <c r="CT16" s="2272"/>
      <c r="CU16" s="2272"/>
      <c r="CV16" s="2272"/>
      <c r="CW16" s="2272"/>
      <c r="CX16" s="2273"/>
      <c r="CY16" s="2189" t="s">
        <v>542</v>
      </c>
      <c r="CZ16" s="2268"/>
      <c r="DA16" s="2189" t="s">
        <v>542</v>
      </c>
      <c r="DB16" s="2268"/>
      <c r="DC16" s="2189" t="s">
        <v>542</v>
      </c>
      <c r="DD16" s="2268"/>
      <c r="DE16" s="2270" t="s">
        <v>1007</v>
      </c>
      <c r="DF16" s="2271"/>
      <c r="DG16" s="2270" t="s">
        <v>1010</v>
      </c>
      <c r="DH16" s="2271"/>
      <c r="DI16" s="2270" t="s">
        <v>1010</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1011</v>
      </c>
      <c r="P17" s="1201" t="s">
        <v>1012</v>
      </c>
      <c r="Q17" s="1201" t="s">
        <v>1011</v>
      </c>
      <c r="R17" s="1201" t="s">
        <v>1012</v>
      </c>
      <c r="S17" s="1201" t="s">
        <v>1011</v>
      </c>
      <c r="T17" s="1201" t="s">
        <v>1012</v>
      </c>
      <c r="U17" s="1201" t="s">
        <v>1011</v>
      </c>
      <c r="V17" s="1201" t="s">
        <v>1012</v>
      </c>
      <c r="W17" s="1201" t="s">
        <v>1011</v>
      </c>
      <c r="X17" s="1201" t="s">
        <v>1012</v>
      </c>
      <c r="Y17" s="1201" t="s">
        <v>1011</v>
      </c>
      <c r="Z17" s="1201" t="s">
        <v>1012</v>
      </c>
      <c r="AA17" s="1201" t="s">
        <v>1011</v>
      </c>
      <c r="AB17" s="1201" t="s">
        <v>1012</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1011</v>
      </c>
      <c r="BU17" s="1201" t="s">
        <v>1012</v>
      </c>
      <c r="BV17" s="1201" t="s">
        <v>1011</v>
      </c>
      <c r="BW17" s="1201" t="s">
        <v>1012</v>
      </c>
      <c r="BX17" s="1201" t="s">
        <v>1011</v>
      </c>
      <c r="BY17" s="1201" t="s">
        <v>1012</v>
      </c>
      <c r="BZ17" s="1201" t="s">
        <v>1011</v>
      </c>
      <c r="CA17" s="1201" t="s">
        <v>1012</v>
      </c>
      <c r="CB17" s="1201" t="s">
        <v>1011</v>
      </c>
      <c r="CC17" s="1201" t="s">
        <v>1012</v>
      </c>
      <c r="CD17" s="1201" t="s">
        <v>1011</v>
      </c>
      <c r="CE17" s="1201" t="s">
        <v>1012</v>
      </c>
      <c r="CF17" s="1201" t="s">
        <v>1011</v>
      </c>
      <c r="CG17" s="1201" t="s">
        <v>1012</v>
      </c>
      <c r="CH17" s="1201" t="s">
        <v>1011</v>
      </c>
      <c r="CI17" s="1201" t="s">
        <v>1012</v>
      </c>
      <c r="CJ17" s="1201" t="s">
        <v>1011</v>
      </c>
      <c r="CK17" s="1201" t="s">
        <v>1012</v>
      </c>
      <c r="CL17" s="2280"/>
      <c r="CM17" s="2272"/>
      <c r="CN17" s="2272"/>
      <c r="CO17" s="2272"/>
      <c r="CP17" s="2272"/>
      <c r="CQ17" s="2272"/>
      <c r="CR17" s="2272"/>
      <c r="CS17" s="2272"/>
      <c r="CT17" s="2272"/>
      <c r="CU17" s="2272"/>
      <c r="CV17" s="2272"/>
      <c r="CW17" s="2272"/>
      <c r="CX17" s="2273"/>
      <c r="CY17" s="1201" t="s">
        <v>1011</v>
      </c>
      <c r="CZ17" s="1201" t="s">
        <v>1012</v>
      </c>
      <c r="DA17" s="1201" t="s">
        <v>1011</v>
      </c>
      <c r="DB17" s="1201" t="s">
        <v>1012</v>
      </c>
      <c r="DC17" s="1201" t="s">
        <v>1011</v>
      </c>
      <c r="DD17" s="1201" t="s">
        <v>1012</v>
      </c>
      <c r="DE17" s="1201" t="s">
        <v>1011</v>
      </c>
      <c r="DF17" s="1201" t="s">
        <v>1012</v>
      </c>
      <c r="DG17" s="1201" t="s">
        <v>1011</v>
      </c>
      <c r="DH17" s="1201" t="s">
        <v>1012</v>
      </c>
      <c r="DI17" s="1201" t="s">
        <v>1011</v>
      </c>
      <c r="DJ17" s="1201" t="s">
        <v>1012</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5133"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5133"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5131" customFormat="1" customHeight="1" ht="11.25" hidden="1">
      <c r="B20" s="946"/>
      <c r="D20" s="930"/>
      <c r="E20" s="945"/>
      <c r="F20" s="1207" t="s">
        <v>366</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5131"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5131" customFormat="1" customHeight="1" ht="12">
      <c r="A22" s="947"/>
      <c r="B22" s="947"/>
      <c r="C22" s="947"/>
      <c r="D22" s="947"/>
      <c r="E22" s="947"/>
      <c r="FX22" s="947"/>
      <c r="FY22" s="947"/>
      <c r="FZ22" s="947"/>
      <c r="GA22" s="947"/>
      <c r="GB22" s="947"/>
    </row>
    <row s="5199"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CDCCB-3319-0083-6468-C397E1B76C34}"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5026" width="4.7109375" customWidth="1"/>
    <col min="4" max="4" style="3153" width="6.28125" customWidth="1"/>
    <col min="5" max="5" style="3153" width="36.7109375" customWidth="1"/>
    <col min="6" max="6" style="3153" width="9.57421875" customWidth="1"/>
    <col min="7" max="7" style="2625" width="42.421875" hidden="1" customWidth="1"/>
    <col min="8" max="8" style="3153" width="40.7109375" customWidth="1"/>
    <col min="9" max="9" style="2626" width="93.421875" customWidth="1"/>
    <col min="10" max="17" style="3153" width="10.57421875"/>
    <col min="18" max="18" style="4960" width="10.57421875"/>
  </cols>
  <sheetData>
    <row s="2626" customFormat="1" customHeight="1" ht="15" hidden="1">
      <c r="C1" s="678"/>
      <c r="H1" s="423">
        <v>4</v>
      </c>
      <c r="R1" s="426"/>
    </row>
    <row customHeight="1" ht="22.5" hidden="1">
      <c r="D2" s="545"/>
      <c r="E2" s="669"/>
      <c r="F2" s="1801" t="str">
        <f>IF(TEMPLATE_SPHERE="HEAT","Гкал/час","тыс. куб. м/сутки")</f>
        <v>тыс. куб. м/сутки</v>
      </c>
      <c r="G2" s="686"/>
      <c r="H2" s="686"/>
      <c r="I2" s="277"/>
    </row>
    <row s="2626" customFormat="1" customHeight="1" ht="15" hidden="1">
      <c r="C3" s="678"/>
      <c r="R3" s="426"/>
    </row>
    <row customHeight="1" ht="15">
      <c r="C4" s="162"/>
      <c r="D4" s="515"/>
      <c r="E4" s="515"/>
      <c r="F4" s="515"/>
      <c r="G4" s="515"/>
      <c r="H4" s="515"/>
    </row>
    <row customHeight="1" ht="37.5">
      <c r="C5" s="162"/>
      <c r="D5" s="208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85"/>
      <c r="F5" s="2085"/>
      <c r="G5" s="2085"/>
      <c r="H5" s="2085"/>
      <c r="I5" s="543"/>
    </row>
    <row customHeight="1" ht="15">
      <c r="C6" s="162"/>
      <c r="D6" s="2053" t="str">
        <f>IF(org=0,"Не определено",org)</f>
        <v>АО "РИР" (филиал в г. Глазове)</v>
      </c>
      <c r="E6" s="2053"/>
      <c r="F6" s="2053"/>
      <c r="G6" s="2053"/>
      <c r="H6" s="2053"/>
      <c r="I6" s="543"/>
    </row>
    <row s="2625" customFormat="1" customHeight="1" ht="15">
      <c r="A7" s="765"/>
      <c r="C7" s="162"/>
      <c r="D7" s="682"/>
      <c r="E7" s="682"/>
      <c r="F7" s="682"/>
      <c r="G7" s="682"/>
      <c r="H7" s="758"/>
      <c r="I7" s="543"/>
      <c r="R7" s="681"/>
    </row>
    <row customHeight="1" ht="0.75">
      <c r="C8" s="162"/>
      <c r="D8" s="515"/>
      <c r="E8" s="515"/>
      <c r="F8" s="515"/>
      <c r="G8" s="515"/>
      <c r="H8" s="543" t="s">
        <v>115</v>
      </c>
    </row>
    <row customHeight="1" ht="15">
      <c r="C9" s="162"/>
      <c r="D9" s="717"/>
      <c r="E9" s="2213" t="s">
        <v>103</v>
      </c>
      <c r="F9" s="2214"/>
      <c r="G9" s="822" t="str">
        <f>IF(G8="","",INDEX(DIFFERENTIATION_UNMERGE_VD,MATCH(G8,DIFFERENTIATION_ID_DIFF,0)))</f>
        <v/>
      </c>
      <c r="H9" s="822">
        <f>IF(H8="","",INDEX(DIFFERENTIATION_UNMERGE_VD,MATCH(H8,DIFFERENTIATION_ID_DIFF,0)))</f>
        <v>0</v>
      </c>
      <c r="I9" s="1971" t="s">
        <v>289</v>
      </c>
    </row>
    <row s="2625" customFormat="1" customHeight="1" ht="15">
      <c r="A10" s="765"/>
      <c r="C10" s="162"/>
      <c r="D10" s="717"/>
      <c r="E10" s="2213" t="s">
        <v>548</v>
      </c>
      <c r="F10" s="2214"/>
      <c r="G10" s="822" t="str">
        <f>IF(G8="","",INDEX(DIFFERENTIATION_UNMERGE_AREA,MATCH(G8,DIFFERENTIATION_ID_DIFF,0)))</f>
        <v/>
      </c>
      <c r="H10" s="822" t="str">
        <f>IF(H8="","",INDEX(DIFFERENTIATION_UNMERGE_AREA,MATCH(H8,DIFFERENTIATION_ID_DIFF,0)))</f>
        <v/>
      </c>
      <c r="I10" s="1971"/>
      <c r="R10" s="681"/>
    </row>
    <row s="2625" customFormat="1" customHeight="1" ht="15">
      <c r="A11" s="765"/>
      <c r="C11" s="162"/>
      <c r="D11" s="717"/>
      <c r="E11" s="2213" t="s">
        <v>549</v>
      </c>
      <c r="F11" s="2214"/>
      <c r="G11" s="822" t="str">
        <f>IF(G8="","",INDEX(DIFFERENTIATION_UNMERGE_SYSTEM,MATCH(G8,DIFFERENTIATION_ID_DIFF,0)))</f>
        <v/>
      </c>
      <c r="H11" s="822" t="str">
        <f>IF(H8="","",INDEX(DIFFERENTIATION_UNMERGE_SYSTEM,MATCH(H8,DIFFERENTIATION_ID_DIFF,0)))</f>
        <v>без дифференциации</v>
      </c>
      <c r="I11" s="1971"/>
      <c r="R11" s="681"/>
    </row>
    <row s="2625" customFormat="1" customHeight="1" ht="15">
      <c r="A12" s="765"/>
      <c r="C12" s="162"/>
      <c r="D12" s="2215" t="s">
        <v>288</v>
      </c>
      <c r="E12" s="2216"/>
      <c r="F12" s="2216"/>
      <c r="G12" s="893"/>
      <c r="H12" s="893"/>
      <c r="I12" s="1971"/>
      <c r="R12" s="681"/>
    </row>
    <row customHeight="1" ht="33.75">
      <c r="C13" s="162"/>
      <c r="D13" s="767" t="s">
        <v>86</v>
      </c>
      <c r="E13" s="766" t="s">
        <v>290</v>
      </c>
      <c r="F13" s="766" t="s">
        <v>550</v>
      </c>
      <c r="G13" s="814" t="s">
        <v>291</v>
      </c>
      <c r="H13" s="760" t="s">
        <v>291</v>
      </c>
      <c r="I13" s="1971"/>
    </row>
    <row customHeight="1" ht="15" hidden="1">
      <c r="C14" s="162"/>
      <c r="D14" s="599" t="s">
        <v>107</v>
      </c>
      <c r="E14" s="599" t="s">
        <v>108</v>
      </c>
      <c r="F14" s="599" t="s">
        <v>88</v>
      </c>
      <c r="G14" s="665" t="str">
        <f>G1&amp;".1"</f>
        <v>.1</v>
      </c>
      <c r="H14" s="665" t="str">
        <f>H1&amp;".1"</f>
        <v>4.1</v>
      </c>
      <c r="I14" s="277"/>
    </row>
    <row customHeight="1" ht="15">
      <c r="A15" s="511"/>
      <c r="C15" s="532"/>
      <c r="D15" s="527">
        <v>1</v>
      </c>
      <c r="E15" s="683" t="str">
        <f>TP_P_A</f>
        <v>Количество поданных заявлений </v>
      </c>
      <c r="F15" s="527" t="s">
        <v>1013</v>
      </c>
      <c r="G15" s="691"/>
      <c r="H15" s="691"/>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11"/>
      <c r="C16" s="532"/>
      <c r="D16" s="527">
        <v>2</v>
      </c>
      <c r="E16" s="267" t="str">
        <f>TP_P_B</f>
        <v>Количество исполненных заявлений </v>
      </c>
      <c r="F16" s="527" t="s">
        <v>1013</v>
      </c>
      <c r="G16" s="691"/>
      <c r="H16" s="691"/>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1013</v>
      </c>
      <c r="G17" s="691"/>
      <c r="H17" s="691"/>
      <c r="I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7" t="s">
        <v>294</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7" t="str">
        <f>IF(TEMPLATE_SPHERE="HEAT","Гкал/час","тыс. куб. м/сутки")</f>
        <v>тыс. куб. м/сутки</v>
      </c>
      <c r="G19" s="693">
        <f>SUM(G20:G22)</f>
        <v>0</v>
      </c>
      <c r="H19" s="693">
        <f>SUM(H20:H22)</f>
        <v>0</v>
      </c>
      <c r="I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5" t="s">
        <v>1014</v>
      </c>
      <c r="E20" s="694"/>
      <c r="F20" s="515"/>
      <c r="G20" s="515"/>
      <c r="H20" s="515"/>
      <c r="I20" s="1803"/>
    </row>
    <row customHeight="1" ht="27.75">
      <c r="C21" s="457"/>
      <c r="D21" s="545" t="s">
        <v>303</v>
      </c>
      <c r="E21" s="676"/>
      <c r="F21" s="1801" t="str">
        <f>IF(TEMPLATE_SPHERE="HEAT","Гкал/час","тыс. куб. м/сутки")</f>
        <v>тыс. куб. м/сутки</v>
      </c>
      <c r="G21" s="686"/>
      <c r="H21" s="686"/>
      <c r="I21" s="201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1"/>
      <c r="C22" s="511"/>
      <c r="D22" s="343"/>
      <c r="E22" s="586" t="s">
        <v>1015</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581FB-ED4B-8415-9C06-88029B2B554B}"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5267" width="9.140625" hidden="1" customWidth="1"/>
    <col min="2" max="2" style="5248" width="9.140625" hidden="1" customWidth="1"/>
    <col min="3" max="3" style="5268" width="3.7109375" customWidth="1"/>
    <col min="4" max="4" style="2689" width="6.28125" customWidth="1"/>
    <col min="5" max="6" style="2689" width="64.140625" customWidth="1"/>
    <col min="7" max="7" style="2689" width="141.140625" customWidth="1"/>
    <col min="8" max="8" style="2689" width="10.57421875"/>
    <col min="9" max="10" style="2631" width="10.57421875"/>
    <col min="11" max="16" style="2689"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97"/>
      <c r="F5" s="2297"/>
      <c r="G5" s="2298"/>
    </row>
    <row s="2625" customFormat="1" customHeight="1" ht="18">
      <c r="A6" s="888"/>
      <c r="B6" s="423"/>
      <c r="C6" s="377"/>
      <c r="D6" s="2299" t="str">
        <f>IF(org=0,"Не определено",org)</f>
        <v>АО "РИР" (филиал в г. Глазове)</v>
      </c>
      <c r="E6" s="2300"/>
      <c r="F6" s="2300"/>
      <c r="G6" s="2301"/>
      <c r="I6" s="506"/>
      <c r="J6" s="506"/>
    </row>
    <row customHeight="1" ht="14.25">
      <c r="C7" s="82"/>
      <c r="D7" s="69"/>
      <c r="E7" s="81"/>
      <c r="F7" s="758"/>
      <c r="G7" s="179"/>
    </row>
    <row s="2949" customFormat="1" customHeight="1" ht="0.75">
      <c r="A8" s="1709"/>
      <c r="B8" s="1168"/>
      <c r="C8" s="377"/>
      <c r="D8" s="361"/>
      <c r="E8" s="395"/>
      <c r="F8" s="758"/>
      <c r="G8" s="179"/>
      <c r="I8" s="1664"/>
      <c r="J8" s="1664"/>
    </row>
    <row customHeight="1" ht="14.25">
      <c r="C9" s="82"/>
      <c r="D9" s="2062" t="s">
        <v>288</v>
      </c>
      <c r="E9" s="2062"/>
      <c r="F9" s="2062"/>
      <c r="G9" s="2302" t="s">
        <v>289</v>
      </c>
    </row>
    <row customHeight="1" ht="14.25">
      <c r="C10" s="82"/>
      <c r="D10" s="91" t="s">
        <v>86</v>
      </c>
      <c r="E10" s="94" t="s">
        <v>290</v>
      </c>
      <c r="F10" s="94" t="s">
        <v>380</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294</v>
      </c>
      <c r="G12" s="137"/>
    </row>
    <row customHeight="1" ht="22.5">
      <c r="A13" s="178"/>
      <c r="C13" s="82"/>
      <c r="D13" s="133" t="s">
        <v>920</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294</v>
      </c>
      <c r="G13" s="137"/>
    </row>
    <row customHeight="1" ht="14.25">
      <c r="A14" s="178"/>
      <c r="C14" s="82"/>
      <c r="D14" s="133" t="s">
        <v>956</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1016</v>
      </c>
      <c r="F15" s="187"/>
      <c r="G15" s="2017"/>
    </row>
    <row customHeight="1" ht="14.25">
      <c r="A16" s="178"/>
      <c r="C16" s="82"/>
      <c r="D16" s="133" t="s">
        <v>922</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294</v>
      </c>
      <c r="G16" s="333"/>
    </row>
    <row customHeight="1" ht="14.25">
      <c r="A17" s="178"/>
      <c r="C17" s="82"/>
      <c r="D17" s="133" t="s">
        <v>964</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5246" customFormat="1" customHeight="1" ht="21">
      <c r="A18" s="339"/>
      <c r="B18" s="132"/>
      <c r="C18" s="296"/>
      <c r="D18" s="343"/>
      <c r="E18" s="345" t="s">
        <v>1017</v>
      </c>
      <c r="F18" s="334"/>
      <c r="G18" s="2017"/>
      <c r="I18" s="346"/>
      <c r="J18" s="346"/>
    </row>
    <row s="2625" customFormat="1" customHeight="1" ht="256.5" hidden="1">
      <c r="A19" s="339"/>
      <c r="B19" s="423"/>
      <c r="C19" s="377"/>
      <c r="D19" s="890" t="s">
        <v>924</v>
      </c>
      <c r="E19" s="889" t="s">
        <v>1018</v>
      </c>
      <c r="F19" s="391"/>
      <c r="G19" s="333" t="s">
        <v>1019</v>
      </c>
      <c r="I19" s="506"/>
      <c r="J19" s="506"/>
    </row>
    <row s="5246" customFormat="1" customHeight="1" ht="14.25">
      <c r="A20" s="339"/>
      <c r="B20" s="132"/>
      <c r="C20" s="296"/>
      <c r="D20" s="891">
        <v>2</v>
      </c>
      <c r="E20" s="326" t="s">
        <v>1020</v>
      </c>
      <c r="F20" s="184" t="s">
        <v>294</v>
      </c>
      <c r="G20" s="333"/>
      <c r="I20" s="346"/>
      <c r="J20" s="346"/>
    </row>
    <row s="5246" customFormat="1" customHeight="1" ht="18.75" hidden="1">
      <c r="A21" s="339"/>
      <c r="B21" s="132"/>
      <c r="C21" s="296"/>
      <c r="D21" s="329" t="s">
        <v>850</v>
      </c>
      <c r="E21" s="328"/>
      <c r="F21" s="327"/>
      <c r="G21" s="337"/>
      <c r="H21" s="330"/>
      <c r="I21" s="346"/>
      <c r="J21" s="346"/>
    </row>
    <row customHeight="1" ht="15">
      <c r="A22" s="178"/>
      <c r="C22" s="82"/>
      <c r="D22" s="95"/>
      <c r="E22" s="189" t="s">
        <v>1021</v>
      </c>
      <c r="F22" s="334"/>
      <c r="G22" s="335"/>
    </row>
    <row s="2949" customFormat="1" customHeight="1" ht="22.5" hidden="1">
      <c r="A23" s="339"/>
      <c r="B23" s="1168"/>
      <c r="C23" s="377"/>
      <c r="D23" s="1713" t="s">
        <v>108</v>
      </c>
      <c r="E23" s="183" t="s">
        <v>1022</v>
      </c>
      <c r="F23" s="1710" t="s">
        <v>294</v>
      </c>
      <c r="G23" s="341"/>
      <c r="I23" s="1664"/>
      <c r="J23" s="1664"/>
    </row>
    <row s="2949" customFormat="1" customHeight="1" ht="14.25" hidden="1">
      <c r="A24" s="339"/>
      <c r="B24" s="1168"/>
      <c r="C24" s="377"/>
      <c r="D24" s="1713" t="s">
        <v>606</v>
      </c>
      <c r="E24" s="1712" t="s">
        <v>1023</v>
      </c>
      <c r="F24" s="1710" t="s">
        <v>294</v>
      </c>
      <c r="G24" s="333"/>
      <c r="I24" s="1664"/>
      <c r="J24" s="1664"/>
    </row>
    <row s="2949" customFormat="1" customHeight="1" ht="14.25" hidden="1">
      <c r="A25" s="339"/>
      <c r="B25" s="1168"/>
      <c r="C25" s="377"/>
      <c r="D25" s="1713" t="s">
        <v>609</v>
      </c>
      <c r="E25" s="181"/>
      <c r="F25" s="391"/>
      <c r="G25" s="2015" t="s">
        <v>1024</v>
      </c>
      <c r="I25" s="1664"/>
      <c r="J25" s="1664"/>
    </row>
    <row s="2949" customFormat="1" customHeight="1" ht="22.5" hidden="1">
      <c r="A26" s="339"/>
      <c r="B26" s="1168"/>
      <c r="C26" s="377"/>
      <c r="D26" s="343"/>
      <c r="E26" s="345" t="s">
        <v>1025</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20D7B-7CB3-5C31-C57D-3D6AD0B77B8C}" mc:Ignorable="x14ac xr xr2 xr3">
  <sheetPr>
    <tabColor theme="6" tint="0.4"/>
  </sheetPr>
  <dimension ref="A1:L48"/>
  <sheetViews>
    <sheetView topLeftCell="C29" showGridLines="0" zoomScale="90" workbookViewId="0" tabSelected="1">
      <selection activeCell="G45" sqref="G45"/>
    </sheetView>
  </sheetViews>
  <sheetFormatPr defaultColWidth="10.57421875" customHeight="1" defaultRowHeight="14.25"/>
  <cols>
    <col min="1" max="1" style="3294" width="9.140625" hidden="1" customWidth="1"/>
    <col min="2" max="2" style="5248" width="9.140625" hidden="1" customWidth="1"/>
    <col min="3" max="3" style="5268" width="3.7109375" customWidth="1"/>
    <col min="4" max="4" style="2689" width="6.28125" customWidth="1"/>
    <col min="5" max="5" style="2689" width="63.421875" customWidth="1"/>
    <col min="6" max="6" style="2689" width="1.7109375" hidden="1" customWidth="1"/>
    <col min="7" max="8" style="2689" width="35.7109375" customWidth="1"/>
    <col min="9" max="9" style="2689" width="91.57421875" customWidth="1"/>
    <col min="10" max="10" style="2689" width="68.8515625" customWidth="1"/>
    <col min="11" max="12" style="2631" width="10.57421875"/>
  </cols>
  <sheetData>
    <row customHeight="1" ht="14.25" hidden="1"/>
    <row s="2949" customFormat="1" customHeight="1" ht="18.75" hidden="1">
      <c r="A2" s="1723"/>
      <c r="B2" s="1168"/>
      <c r="C2" s="1770" t="s">
        <v>476</v>
      </c>
      <c r="D2" s="1713"/>
      <c r="E2" s="185"/>
      <c r="F2" s="1710"/>
      <c r="G2" s="1710" t="s">
        <v>294</v>
      </c>
      <c r="H2" s="1169"/>
      <c r="K2" s="1664"/>
      <c r="L2" s="1664"/>
    </row>
    <row s="2949" customFormat="1" customHeight="1" ht="14.25" hidden="1">
      <c r="A3" s="1392"/>
      <c r="B3" s="1168"/>
      <c r="C3" s="340"/>
      <c r="K3" s="1664"/>
      <c r="L3" s="1664"/>
    </row>
    <row s="2949" customFormat="1" customHeight="1" ht="18.75" hidden="1">
      <c r="A4" s="1723"/>
      <c r="B4" s="1168"/>
      <c r="C4" s="1770" t="s">
        <v>476</v>
      </c>
      <c r="D4" s="1713"/>
      <c r="E4" s="191" t="s">
        <v>1026</v>
      </c>
      <c r="F4" s="1710"/>
      <c r="G4" s="243"/>
      <c r="H4" s="1710" t="s">
        <v>294</v>
      </c>
      <c r="K4" s="1664"/>
      <c r="L4" s="1664"/>
    </row>
    <row s="2949" customFormat="1" customHeight="1" ht="14.25" hidden="1">
      <c r="A5" s="1392"/>
      <c r="B5" s="1168"/>
      <c r="C5" s="340"/>
      <c r="K5" s="1664"/>
      <c r="L5" s="1664"/>
    </row>
    <row s="2949" customFormat="1" customHeight="1" ht="18.75" hidden="1">
      <c r="A6" s="1723"/>
      <c r="B6" s="1168"/>
      <c r="C6" s="1770" t="s">
        <v>476</v>
      </c>
      <c r="D6" s="1713"/>
      <c r="E6" s="192" t="s">
        <v>1027</v>
      </c>
      <c r="F6" s="1710"/>
      <c r="G6" s="243"/>
      <c r="H6" s="1710" t="s">
        <v>294</v>
      </c>
      <c r="K6" s="1664"/>
      <c r="L6" s="1664"/>
    </row>
    <row s="2949" customFormat="1" customHeight="1" ht="14.25" hidden="1">
      <c r="A7" s="1392"/>
      <c r="B7" s="1168"/>
      <c r="C7" s="340"/>
      <c r="K7" s="1664"/>
      <c r="L7" s="1664"/>
    </row>
    <row s="2949" customFormat="1" customHeight="1" ht="18.75" hidden="1">
      <c r="A8" s="1723"/>
      <c r="B8" s="1168"/>
      <c r="C8" s="1770" t="s">
        <v>476</v>
      </c>
      <c r="D8" s="1713"/>
      <c r="E8" s="192" t="s">
        <v>1028</v>
      </c>
      <c r="F8" s="1710"/>
      <c r="G8" s="243"/>
      <c r="H8" s="1710" t="s">
        <v>294</v>
      </c>
      <c r="K8" s="1664"/>
      <c r="L8" s="1664"/>
    </row>
    <row s="2949" customFormat="1" customHeight="1" ht="14.25" hidden="1">
      <c r="A9" s="1392"/>
      <c r="B9" s="1168"/>
      <c r="C9" s="340"/>
      <c r="K9" s="1664"/>
      <c r="L9" s="1664"/>
    </row>
    <row s="2949" customFormat="1" customHeight="1" ht="18.75" hidden="1">
      <c r="A10" s="1723"/>
      <c r="B10" s="1168"/>
      <c r="C10" s="1770" t="s">
        <v>476</v>
      </c>
      <c r="D10" s="1713"/>
      <c r="E10" s="192" t="s">
        <v>1029</v>
      </c>
      <c r="F10" s="1710"/>
      <c r="G10" s="1714"/>
      <c r="H10" s="1710" t="s">
        <v>294</v>
      </c>
      <c r="K10" s="1664"/>
      <c r="L10" s="1664" t="s">
        <v>1030</v>
      </c>
    </row>
    <row customHeight="1" ht="14.25" hidden="1"/>
    <row customHeight="1" ht="14.25" hidden="1"/>
    <row customHeight="1" ht="14.25">
      <c r="C13" s="82"/>
      <c r="D13" s="69"/>
      <c r="E13" s="69"/>
      <c r="F13" s="69"/>
      <c r="G13" s="69"/>
      <c r="H13" s="70"/>
      <c r="I13" s="70"/>
    </row>
    <row customHeight="1" ht="27.75">
      <c r="C14" s="82"/>
      <c r="D14" s="229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97"/>
      <c r="F14" s="2297"/>
      <c r="G14" s="2297"/>
      <c r="H14" s="2298"/>
      <c r="J14" s="1671"/>
    </row>
    <row s="2949" customFormat="1" customHeight="1" ht="14.25">
      <c r="A15" s="1392"/>
      <c r="B15" s="1168"/>
      <c r="C15" s="377"/>
      <c r="D15" s="2299" t="str">
        <f>IF(org=0,"Не определено",org)</f>
        <v>АО "РИР" (филиал в г. Глазове)</v>
      </c>
      <c r="E15" s="2300"/>
      <c r="F15" s="2300"/>
      <c r="G15" s="2300"/>
      <c r="H15" s="2301"/>
      <c r="J15" s="858"/>
      <c r="K15" s="1664"/>
      <c r="L15" s="1664"/>
    </row>
    <row customHeight="1" ht="14.25">
      <c r="C16" s="82"/>
      <c r="D16" s="69"/>
      <c r="E16" s="81"/>
      <c r="F16" s="81"/>
      <c r="G16" s="81"/>
      <c r="H16" s="758"/>
      <c r="I16" s="179"/>
    </row>
    <row s="2949" customFormat="1" customHeight="1" ht="14.25" hidden="1">
      <c r="A17" s="1392"/>
      <c r="B17" s="1168"/>
      <c r="C17" s="377"/>
      <c r="D17" s="361"/>
      <c r="E17" s="395"/>
      <c r="F17" s="395"/>
      <c r="G17" s="395"/>
      <c r="H17" s="758"/>
      <c r="I17" s="179"/>
      <c r="K17" s="1664"/>
      <c r="L17" s="1664"/>
    </row>
    <row customHeight="1" ht="21">
      <c r="C18" s="82"/>
      <c r="D18" s="2062" t="s">
        <v>288</v>
      </c>
      <c r="E18" s="2062"/>
      <c r="F18" s="2062"/>
      <c r="G18" s="2062"/>
      <c r="H18" s="2062"/>
      <c r="I18" s="2302" t="s">
        <v>289</v>
      </c>
    </row>
    <row customHeight="1" ht="21">
      <c r="C19" s="82"/>
      <c r="D19" s="91" t="s">
        <v>86</v>
      </c>
      <c r="E19" s="94" t="s">
        <v>290</v>
      </c>
      <c r="F19" s="94"/>
      <c r="G19" s="94" t="s">
        <v>291</v>
      </c>
      <c r="H19" s="94" t="s">
        <v>380</v>
      </c>
      <c r="I19" s="2302"/>
    </row>
    <row customHeight="1" ht="12" hidden="1">
      <c r="C20" s="82"/>
      <c r="D20" s="72"/>
      <c r="E20" s="72"/>
      <c r="F20" s="72"/>
      <c r="G20" s="72"/>
      <c r="H20" s="72"/>
      <c r="I20" s="72"/>
    </row>
    <row customHeight="1" ht="14.25">
      <c r="A21" s="1723"/>
      <c r="C21" s="82"/>
      <c r="D21" s="133">
        <v>1</v>
      </c>
      <c r="E21" s="2304" t="s">
        <v>1031</v>
      </c>
      <c r="F21" s="2304"/>
      <c r="G21" s="2304"/>
      <c r="H21" s="2304"/>
      <c r="I21" s="194"/>
    </row>
    <row customHeight="1" ht="20.25">
      <c r="A22" s="1723"/>
      <c r="C22" s="82"/>
      <c r="D22" s="133" t="s">
        <v>920</v>
      </c>
      <c r="E22" s="180" t="s">
        <v>1032</v>
      </c>
      <c r="F22" s="184"/>
      <c r="G22" s="5278">
        <v>45257.44761574074</v>
      </c>
      <c r="H22" s="184" t="s">
        <v>294</v>
      </c>
      <c r="I22" s="137" t="s">
        <v>1033</v>
      </c>
    </row>
    <row customHeight="1" ht="45">
      <c r="A23" s="1723"/>
      <c r="C23" s="82"/>
      <c r="D23" s="133" t="s">
        <v>922</v>
      </c>
      <c r="E23" s="180" t="s">
        <v>1034</v>
      </c>
      <c r="F23" s="184"/>
      <c r="G23" s="5279" t="s">
        <v>1035</v>
      </c>
      <c r="H23" s="5280" t="s">
        <v>1036</v>
      </c>
      <c r="I23" s="244" t="s">
        <v>1037</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294</v>
      </c>
      <c r="H24" s="5280" t="s">
        <v>1038</v>
      </c>
      <c r="I24" s="245" t="s">
        <v>787</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3"/>
      <c r="C26" s="82"/>
      <c r="D26" s="133" t="s">
        <v>314</v>
      </c>
      <c r="E26" s="185" t="s">
        <v>1039</v>
      </c>
      <c r="F26" s="184"/>
      <c r="G26" s="184" t="s">
        <v>294</v>
      </c>
      <c r="H26" s="5280" t="s">
        <v>1040</v>
      </c>
      <c r="I26" s="2015" t="s">
        <v>1041</v>
      </c>
    </row>
    <row customHeight="1" ht="15">
      <c r="A27" s="1723" t="s">
        <v>107</v>
      </c>
      <c r="C27" s="82"/>
      <c r="D27" s="95"/>
      <c r="E27" s="189" t="s">
        <v>1021</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3"/>
      <c r="G28" s="2303"/>
      <c r="H28" s="2303"/>
      <c r="I28" s="242"/>
    </row>
    <row customHeight="1" ht="20.25">
      <c r="A29" s="1723"/>
      <c r="C29" s="82"/>
      <c r="D29" s="133" t="s">
        <v>651</v>
      </c>
      <c r="E29" s="191" t="s">
        <v>1026</v>
      </c>
      <c r="F29" s="184"/>
      <c r="G29" s="243" t="s">
        <v>1042</v>
      </c>
      <c r="H29" s="184" t="s">
        <v>294</v>
      </c>
      <c r="I29" s="2015" t="s">
        <v>1043</v>
      </c>
    </row>
    <row s="3513" customFormat="1" customHeight="1" ht="18.75">
      <c r="A30" s="5287"/>
      <c r="B30" s="3990"/>
      <c r="C30" s="5288" t="s">
        <v>476</v>
      </c>
      <c r="D30" s="5289" t="s">
        <v>694</v>
      </c>
      <c r="E30" s="5290" t="s">
        <v>1026</v>
      </c>
      <c r="F30" s="4014"/>
      <c r="G30" s="5291" t="s">
        <v>1044</v>
      </c>
      <c r="H30" s="4014" t="s">
        <v>294</v>
      </c>
      <c r="I30" s="3513"/>
      <c r="J30" s="3513"/>
      <c r="K30" s="4187"/>
      <c r="L30" s="4187"/>
    </row>
    <row s="3513" customFormat="1" customHeight="1" ht="18.75">
      <c r="A31" s="5287"/>
      <c r="B31" s="3990"/>
      <c r="C31" s="5288" t="s">
        <v>476</v>
      </c>
      <c r="D31" s="5289" t="s">
        <v>697</v>
      </c>
      <c r="E31" s="5290" t="s">
        <v>1026</v>
      </c>
      <c r="F31" s="4014"/>
      <c r="G31" s="5291" t="s">
        <v>1045</v>
      </c>
      <c r="H31" s="4014" t="s">
        <v>294</v>
      </c>
      <c r="I31" s="3513"/>
      <c r="J31" s="3513"/>
      <c r="K31" s="4187"/>
      <c r="L31" s="4187"/>
    </row>
    <row customHeight="1" ht="15">
      <c r="A32" s="1723" t="s">
        <v>108</v>
      </c>
      <c r="C32" s="82"/>
      <c r="D32" s="95"/>
      <c r="E32" s="189" t="s">
        <v>1021</v>
      </c>
      <c r="F32" s="190"/>
      <c r="G32" s="190"/>
      <c r="H32" s="187"/>
      <c r="I32" s="2017"/>
    </row>
    <row customHeight="1" ht="30">
      <c r="A33" s="1723"/>
      <c r="B33" s="132">
        <v>3</v>
      </c>
      <c r="C33" s="82"/>
      <c r="D33" s="133">
        <v>5</v>
      </c>
      <c r="E33"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3" s="2303"/>
      <c r="G33" s="2303"/>
      <c r="H33" s="2303"/>
      <c r="I33" s="242"/>
    </row>
    <row customHeight="1" ht="26.25">
      <c r="A34" s="1723"/>
      <c r="C34" s="82"/>
      <c r="D34" s="133" t="s">
        <v>303</v>
      </c>
      <c r="E34"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4" s="2245"/>
      <c r="G34" s="2245"/>
      <c r="H34" s="2245"/>
      <c r="I34" s="242"/>
    </row>
    <row customHeight="1" ht="14.25">
      <c r="A35" s="1723"/>
      <c r="C35" s="82"/>
      <c r="D35" s="133" t="s">
        <v>1046</v>
      </c>
      <c r="E35" s="192" t="s">
        <v>1027</v>
      </c>
      <c r="F35" s="184"/>
      <c r="G35" s="243" t="s">
        <v>1047</v>
      </c>
      <c r="H35" s="184" t="s">
        <v>294</v>
      </c>
      <c r="I35" s="2015" t="s">
        <v>1048</v>
      </c>
    </row>
    <row customHeight="1" ht="15">
      <c r="A36" s="1723" t="s">
        <v>88</v>
      </c>
      <c r="C36" s="82"/>
      <c r="D36" s="95"/>
      <c r="E36" s="190" t="s">
        <v>1021</v>
      </c>
      <c r="F36" s="186"/>
      <c r="G36" s="186"/>
      <c r="H36" s="187"/>
      <c r="I36" s="2017"/>
    </row>
    <row customHeight="1" ht="24">
      <c r="A37" s="1723"/>
      <c r="C37" s="82"/>
      <c r="D37" s="133" t="s">
        <v>305</v>
      </c>
      <c r="E37"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7" s="2245"/>
      <c r="G37" s="2245"/>
      <c r="H37" s="2245"/>
      <c r="I37" s="242"/>
    </row>
    <row customHeight="1" ht="14.25">
      <c r="A38" s="1723"/>
      <c r="C38" s="82"/>
      <c r="D38" s="133" t="s">
        <v>1049</v>
      </c>
      <c r="E38" s="192" t="s">
        <v>1028</v>
      </c>
      <c r="F38" s="184"/>
      <c r="G38" s="243" t="s">
        <v>1050</v>
      </c>
      <c r="H38" s="184" t="s">
        <v>294</v>
      </c>
      <c r="I38" s="1993" t="s">
        <v>1051</v>
      </c>
    </row>
    <row customHeight="1" ht="15">
      <c r="A39" s="1723" t="s">
        <v>89</v>
      </c>
      <c r="C39" s="82"/>
      <c r="D39" s="95"/>
      <c r="E39" s="190" t="s">
        <v>1021</v>
      </c>
      <c r="F39" s="186"/>
      <c r="G39" s="186"/>
      <c r="H39" s="187"/>
      <c r="I39" s="1993"/>
    </row>
    <row customHeight="1" ht="26.25">
      <c r="A40" s="1723"/>
      <c r="C40" s="82"/>
      <c r="D40" s="133" t="s">
        <v>308</v>
      </c>
      <c r="E40"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0" s="2245"/>
      <c r="G40" s="2245"/>
      <c r="H40" s="2245"/>
      <c r="I40" s="242"/>
    </row>
    <row customHeight="1" ht="14.25">
      <c r="A41" s="1723"/>
      <c r="C41" s="82"/>
      <c r="D41" s="133" t="s">
        <v>780</v>
      </c>
      <c r="E41" s="192" t="s">
        <v>1029</v>
      </c>
      <c r="F41" s="184"/>
      <c r="G41" s="193" t="s">
        <v>1052</v>
      </c>
      <c r="H41" s="184" t="s">
        <v>294</v>
      </c>
      <c r="I41" s="2015" t="s">
        <v>1053</v>
      </c>
      <c r="L41" s="141" t="s">
        <v>1030</v>
      </c>
    </row>
    <row s="3513" customFormat="1" customHeight="1" ht="18.75">
      <c r="A42" s="5287"/>
      <c r="B42" s="3990"/>
      <c r="C42" s="5288" t="s">
        <v>476</v>
      </c>
      <c r="D42" s="5289" t="s">
        <v>781</v>
      </c>
      <c r="E42" s="5294" t="s">
        <v>1029</v>
      </c>
      <c r="F42" s="4014"/>
      <c r="G42" s="5295" t="s">
        <v>1054</v>
      </c>
      <c r="H42" s="4014" t="s">
        <v>294</v>
      </c>
      <c r="I42" s="3513"/>
      <c r="J42" s="3513"/>
      <c r="K42" s="4187"/>
      <c r="L42" s="4187" t="s">
        <v>1030</v>
      </c>
    </row>
    <row s="3513" customFormat="1" customHeight="1" ht="18.75">
      <c r="A43" s="5287"/>
      <c r="B43" s="3990"/>
      <c r="C43" s="5288" t="s">
        <v>476</v>
      </c>
      <c r="D43" s="5289" t="s">
        <v>1055</v>
      </c>
      <c r="E43" s="5294" t="s">
        <v>1029</v>
      </c>
      <c r="F43" s="4014"/>
      <c r="G43" s="5295" t="s">
        <v>1056</v>
      </c>
      <c r="H43" s="4014" t="s">
        <v>294</v>
      </c>
      <c r="I43" s="3513"/>
      <c r="J43" s="3513"/>
      <c r="K43" s="4187"/>
      <c r="L43" s="4187" t="s">
        <v>1030</v>
      </c>
    </row>
    <row s="3513" customFormat="1" customHeight="1" ht="18.75">
      <c r="A44" s="5287"/>
      <c r="B44" s="3990"/>
      <c r="C44" s="5288" t="s">
        <v>476</v>
      </c>
      <c r="D44" s="5289" t="s">
        <v>1057</v>
      </c>
      <c r="E44" s="5294" t="s">
        <v>1029</v>
      </c>
      <c r="F44" s="4014"/>
      <c r="G44" s="5295" t="s">
        <v>1058</v>
      </c>
      <c r="H44" s="4014" t="s">
        <v>294</v>
      </c>
      <c r="I44" s="3513"/>
      <c r="J44" s="3513"/>
      <c r="K44" s="4187"/>
      <c r="L44" s="4187" t="s">
        <v>1030</v>
      </c>
    </row>
    <row s="3513" customFormat="1" customHeight="1" ht="18.75">
      <c r="A45" s="5287"/>
      <c r="B45" s="3990"/>
      <c r="C45" s="5288" t="s">
        <v>476</v>
      </c>
      <c r="D45" s="5289" t="s">
        <v>1059</v>
      </c>
      <c r="E45" s="5294" t="s">
        <v>1029</v>
      </c>
      <c r="F45" s="4014"/>
      <c r="G45" s="5295" t="s">
        <v>1060</v>
      </c>
      <c r="H45" s="4014" t="s">
        <v>294</v>
      </c>
      <c r="I45" s="3513"/>
      <c r="J45" s="3513"/>
      <c r="K45" s="4187"/>
      <c r="L45" s="4187" t="s">
        <v>1030</v>
      </c>
    </row>
    <row customHeight="1" ht="15">
      <c r="A46" s="1723" t="s">
        <v>109</v>
      </c>
      <c r="C46" s="82"/>
      <c r="D46" s="95"/>
      <c r="E46" s="190" t="s">
        <v>1021</v>
      </c>
      <c r="F46" s="186"/>
      <c r="G46" s="186"/>
      <c r="H46" s="187"/>
      <c r="I46" s="2017"/>
    </row>
    <row s="5296" customFormat="1" customHeight="1" ht="3">
      <c r="A47" s="1723"/>
      <c r="K47" s="182"/>
      <c r="L47" s="182"/>
    </row>
    <row customHeight="1" ht="24.75">
      <c r="D48" s="1721" t="s">
        <v>702</v>
      </c>
      <c r="E48"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8" s="2106"/>
      <c r="G48" s="2106"/>
      <c r="H48" s="2106"/>
      <c r="I48" s="2106"/>
    </row>
  </sheetData>
  <sheetProtection formatColumns="0" formatRows="0" autoFilter="0" sort="0" insertRows="0" insertColumns="1" deleteRows="0" deleteColumns="0"/>
  <mergeCells count="17">
    <mergeCell ref="E48:I48"/>
    <mergeCell ref="E34:H34"/>
    <mergeCell ref="E37:H37"/>
    <mergeCell ref="E40:H40"/>
    <mergeCell ref="I35:I36"/>
    <mergeCell ref="I38:I39"/>
    <mergeCell ref="I41:I46"/>
    <mergeCell ref="I29:I32"/>
    <mergeCell ref="E33:H33"/>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1:G45">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5 G38 I41:I45 I26 E29:E31 G35 E38 I29:I31 E35 I38 G23 E26 I10 E23 G29:G31 E10 G8 E2 I2 I4 G4 E4 E6 I6 G6 E8 I8 E41:E45">
      <formula1>900</formula1>
    </dataValidation>
  </dataValidations>
  <hyperlinks>
    <hyperlink ref="G23" r:id="rId2" xr:uid="{415B0803-7C63-25CD-0FFB-06415A09A92D}"/>
    <hyperlink ref="H23" r:id="rId3" xr:uid="{3F20269E-E481-97DC-1301-3E9F791C01A1}"/>
    <hyperlink ref="H24" r:id="rId4" xr:uid="{DAE1A3EF-0647-6916-52F2-8F9B9F22185F}"/>
    <hyperlink ref="H26" r:id="rId5" xr:uid="{6A06A1C6-89DD-B7DF-BBCE-027D8BE576A7}"/>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A7B1BA-04B2-4C23-82E9-80F10711FEBD}"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5299" width="25.140625" hidden="1" customWidth="1"/>
    <col min="3" max="3" style="4824" width="9.140625" hidden="1" customWidth="1"/>
    <col min="4" max="4" style="3371" width="3.7109375" customWidth="1"/>
    <col min="5" max="5" style="5335" width="6.28125" customWidth="1"/>
    <col min="6" max="6" style="5335" width="46.7109375" customWidth="1"/>
    <col min="7" max="7" style="5335" width="35.7109375" customWidth="1"/>
    <col min="8" max="8" style="5335" width="3.7109375" customWidth="1"/>
    <col min="9" max="10" style="5335" width="11.7109375" customWidth="1"/>
    <col min="11" max="12" style="5335" width="35.7109375" customWidth="1"/>
    <col min="13" max="13" style="5335" width="84.8515625" customWidth="1"/>
    <col min="14" max="14" style="5335" width="10.57421875"/>
    <col min="15" max="16" style="5251" width="10.57421875"/>
    <col min="17" max="33" style="5335" width="10.57421875"/>
  </cols>
  <sheetData>
    <row s="2949"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49" customFormat="1" customHeight="1" ht="18.75" hidden="1">
      <c r="A2" s="1821" t="s">
        <v>153</v>
      </c>
      <c r="B2" s="1821" t="s">
        <v>154</v>
      </c>
      <c r="C2" s="369"/>
      <c r="D2" s="340"/>
      <c r="E2" s="1038"/>
      <c r="F2" s="1038"/>
      <c r="G2" s="2266" t="str">
        <f>INDEX(PT_DIFFERENTIATION_NTAR,MATCH(B2,PT_DIFFERENTIATION_NTAR_ID,0))</f>
        <v/>
      </c>
      <c r="H2" s="1907"/>
      <c r="I2" s="1779"/>
      <c r="J2" s="1814"/>
      <c r="K2" s="1908"/>
      <c r="L2" s="1907" t="s">
        <v>294</v>
      </c>
      <c r="M2" s="1918"/>
      <c r="N2" s="330"/>
      <c r="O2" s="1664"/>
      <c r="P2" s="1664"/>
    </row>
    <row s="2949" customFormat="1" customHeight="1" ht="18.75" hidden="1">
      <c r="A3" s="1821"/>
      <c r="B3" s="1821"/>
      <c r="C3" s="369" t="s">
        <v>1061</v>
      </c>
      <c r="D3" s="340"/>
      <c r="E3" s="1038"/>
      <c r="F3" s="1038"/>
      <c r="G3" s="2266"/>
      <c r="H3" s="1530"/>
      <c r="I3" s="657" t="s">
        <v>1062</v>
      </c>
      <c r="J3" s="577"/>
      <c r="K3" s="1530"/>
      <c r="L3" s="200"/>
      <c r="M3" s="1918"/>
      <c r="N3" s="330"/>
      <c r="O3" s="1664"/>
      <c r="P3" s="1664"/>
    </row>
    <row s="2949"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49" customFormat="1" customHeight="1" ht="18.75" hidden="1">
      <c r="A5" s="1821" t="s">
        <v>153</v>
      </c>
      <c r="B5" s="1821" t="s">
        <v>154</v>
      </c>
      <c r="C5" s="369"/>
      <c r="D5" s="340"/>
      <c r="E5" s="1038"/>
      <c r="F5" s="1038"/>
      <c r="G5" s="2266" t="str">
        <f>INDEX(PT_DIFFERENTIATION_NTAR,MATCH(B5,PT_DIFFERENTIATION_NTAR_ID,0))</f>
        <v/>
      </c>
      <c r="H5" s="1907"/>
      <c r="I5" s="1779"/>
      <c r="J5" s="1814"/>
      <c r="K5" s="1819"/>
      <c r="L5" s="1907" t="s">
        <v>294</v>
      </c>
      <c r="M5" s="1918"/>
      <c r="N5" s="330"/>
      <c r="O5" s="1664"/>
      <c r="P5" s="1664"/>
    </row>
    <row s="2949" customFormat="1" customHeight="1" ht="18.75" hidden="1">
      <c r="A6" s="1821"/>
      <c r="B6" s="1821"/>
      <c r="C6" s="369" t="s">
        <v>1063</v>
      </c>
      <c r="D6" s="340"/>
      <c r="E6" s="1038"/>
      <c r="F6" s="1038"/>
      <c r="G6" s="2266"/>
      <c r="H6" s="1530"/>
      <c r="I6" s="657" t="s">
        <v>1062</v>
      </c>
      <c r="J6" s="577"/>
      <c r="K6" s="1530"/>
      <c r="L6" s="200"/>
      <c r="M6" s="1918"/>
      <c r="N6" s="330"/>
      <c r="O6" s="1664"/>
      <c r="P6" s="1664"/>
    </row>
    <row s="2949"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49" customFormat="1" customHeight="1" ht="56.25" hidden="1">
      <c r="A8" s="1821"/>
      <c r="B8" s="1821"/>
      <c r="C8" s="369"/>
      <c r="D8" s="340"/>
      <c r="E8" s="1038"/>
      <c r="F8" s="1038"/>
      <c r="G8" s="1038"/>
      <c r="H8" s="1812"/>
      <c r="I8" s="1779"/>
      <c r="J8" s="1814"/>
      <c r="K8" s="1908"/>
      <c r="L8" s="1812" t="s">
        <v>294</v>
      </c>
      <c r="M8" s="1918"/>
      <c r="N8" s="330"/>
      <c r="O8" s="1664"/>
      <c r="P8" s="1664"/>
    </row>
    <row customHeight="1" ht="14.25" hidden="1">
      <c r="T9" s="403"/>
      <c r="AG9" s="241"/>
    </row>
    <row s="2949" customFormat="1" customHeight="1" ht="56.25" hidden="1">
      <c r="A10" s="1821"/>
      <c r="B10" s="1821"/>
      <c r="C10" s="369"/>
      <c r="D10" s="340"/>
      <c r="E10" s="1038"/>
      <c r="F10" s="1038"/>
      <c r="G10" s="1038"/>
      <c r="H10" s="1811"/>
      <c r="I10" s="1779"/>
      <c r="J10" s="1814"/>
      <c r="K10" s="1819"/>
      <c r="L10" s="1812" t="s">
        <v>294</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45272.383726851855</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30/68</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288</v>
      </c>
      <c r="F19" s="2062"/>
      <c r="G19" s="2062"/>
      <c r="H19" s="2062"/>
      <c r="I19" s="2062"/>
      <c r="J19" s="2062"/>
      <c r="K19" s="2062"/>
      <c r="L19" s="2062"/>
      <c r="M19" s="2302" t="s">
        <v>289</v>
      </c>
    </row>
    <row customHeight="1" ht="21">
      <c r="D20" s="377"/>
      <c r="E20" s="2129" t="s">
        <v>86</v>
      </c>
      <c r="F20" s="2073" t="s">
        <v>120</v>
      </c>
      <c r="G20" s="2073" t="s">
        <v>121</v>
      </c>
      <c r="H20" s="2270" t="s">
        <v>1064</v>
      </c>
      <c r="I20" s="2274"/>
      <c r="J20" s="2271"/>
      <c r="K20" s="2073" t="s">
        <v>291</v>
      </c>
      <c r="L20" s="2073" t="s">
        <v>380</v>
      </c>
      <c r="M20" s="2302"/>
    </row>
    <row customHeight="1" ht="21">
      <c r="D21" s="377"/>
      <c r="E21" s="2131"/>
      <c r="F21" s="2074"/>
      <c r="G21" s="2074"/>
      <c r="H21" s="2068" t="s">
        <v>1065</v>
      </c>
      <c r="I21" s="2084"/>
      <c r="J21" s="94" t="s">
        <v>1066</v>
      </c>
      <c r="K21" s="2074"/>
      <c r="L21" s="2074"/>
      <c r="M21" s="2302"/>
    </row>
    <row customHeight="1" ht="12">
      <c r="D22" s="377"/>
      <c r="E22" s="269"/>
      <c r="F22" s="269"/>
      <c r="G22" s="269"/>
      <c r="H22" s="2307"/>
      <c r="I22" s="2307"/>
      <c r="J22" s="269"/>
      <c r="K22" s="269"/>
      <c r="L22" s="269"/>
      <c r="M22" s="269"/>
    </row>
    <row customHeight="1" ht="18.75">
      <c r="A23" s="1821"/>
      <c r="B23" s="1821"/>
      <c r="D23" s="377"/>
      <c r="E23" s="1909" t="s">
        <v>107</v>
      </c>
      <c r="F23" s="2308" t="str">
        <f>"Предлагаемый метод регулирования"&amp;IF(TEMPLATE_SPHERE="HEAT"," в сфере "&amp;TEMPLATE_SPHERE_RUS,"")</f>
        <v>Предлагаемый метод регулирования</v>
      </c>
      <c r="G23" s="2309"/>
      <c r="H23" s="2304"/>
      <c r="I23" s="2304"/>
      <c r="J23" s="2304"/>
      <c r="K23" s="2309" t="s">
        <v>294</v>
      </c>
      <c r="L23" s="2304"/>
      <c r="M23" s="1810"/>
      <c r="N23" s="330"/>
    </row>
    <row customHeight="1" ht="60.75" hidden="1">
      <c r="A24" s="1821" t="s">
        <v>153</v>
      </c>
      <c r="B24" s="1821" t="s">
        <v>154</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294</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9" customFormat="1" customHeight="1" ht="18.75" hidden="1">
      <c r="A25" s="1821"/>
      <c r="B25" s="1821"/>
      <c r="C25" s="369" t="s">
        <v>1061</v>
      </c>
      <c r="D25" s="2306"/>
      <c r="E25" s="2056"/>
      <c r="F25" s="2310"/>
      <c r="G25" s="2266"/>
      <c r="H25" s="1530"/>
      <c r="I25" s="657" t="s">
        <v>1062</v>
      </c>
      <c r="J25" s="577"/>
      <c r="K25" s="1530"/>
      <c r="L25" s="200"/>
      <c r="M25" s="2016"/>
      <c r="N25" s="330"/>
      <c r="O25" s="1664"/>
      <c r="P25" s="1664"/>
    </row>
    <row customHeight="1" ht="0.75" hidden="1">
      <c r="A26" s="1821"/>
      <c r="B26" s="1821"/>
      <c r="C26" s="369" t="s">
        <v>1067</v>
      </c>
      <c r="D26" s="2306"/>
      <c r="E26" s="2056"/>
      <c r="F26" s="2220"/>
      <c r="G26" s="406"/>
      <c r="H26" s="1530"/>
      <c r="I26" s="401"/>
      <c r="J26" s="345"/>
      <c r="K26" s="1530"/>
      <c r="L26" s="187"/>
      <c r="M26" s="2016"/>
      <c r="N26" s="330"/>
    </row>
    <row s="2949" customFormat="1" customHeight="1" ht="45" hidden="1">
      <c r="A27" s="1821" t="s">
        <v>159</v>
      </c>
      <c r="B27" s="1821" t="s">
        <v>160</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294</v>
      </c>
      <c r="M27" s="2016"/>
      <c r="N27" s="330"/>
      <c r="O27" s="1664"/>
      <c r="P27" s="1664"/>
    </row>
    <row s="2949" customFormat="1" customHeight="1" ht="18.75" hidden="1">
      <c r="A28" s="1821"/>
      <c r="B28" s="1821"/>
      <c r="C28" s="369" t="s">
        <v>1061</v>
      </c>
      <c r="D28" s="2311"/>
      <c r="E28" s="2312"/>
      <c r="F28" s="2313"/>
      <c r="G28" s="2266"/>
      <c r="H28" s="1530"/>
      <c r="I28" s="657" t="s">
        <v>1062</v>
      </c>
      <c r="J28" s="577"/>
      <c r="K28" s="1530"/>
      <c r="L28" s="200"/>
      <c r="M28" s="2016"/>
      <c r="N28" s="330"/>
      <c r="O28" s="1664"/>
      <c r="P28" s="1664"/>
    </row>
    <row s="2949" customFormat="1" customHeight="1" ht="0.75" hidden="1">
      <c r="A29" s="1821"/>
      <c r="B29" s="1821"/>
      <c r="C29" s="369" t="s">
        <v>1067</v>
      </c>
      <c r="D29" s="2311"/>
      <c r="E29" s="2056"/>
      <c r="F29" s="2220"/>
      <c r="G29" s="406"/>
      <c r="H29" s="1530"/>
      <c r="I29" s="657"/>
      <c r="J29" s="577"/>
      <c r="K29" s="1530"/>
      <c r="L29" s="200"/>
      <c r="M29" s="2016"/>
      <c r="N29" s="330"/>
      <c r="O29" s="1664"/>
      <c r="P29" s="1664"/>
    </row>
    <row s="2949" customFormat="1" customHeight="1" ht="45" hidden="1">
      <c r="A30" s="1821" t="s">
        <v>165</v>
      </c>
      <c r="B30" s="1821" t="s">
        <v>166</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294</v>
      </c>
      <c r="M30" s="2016"/>
      <c r="N30" s="330"/>
      <c r="O30" s="1664"/>
      <c r="P30" s="1664"/>
    </row>
    <row s="2949" customFormat="1" customHeight="1" ht="18.75" hidden="1">
      <c r="A31" s="1821"/>
      <c r="B31" s="1821"/>
      <c r="C31" s="369" t="s">
        <v>1061</v>
      </c>
      <c r="D31" s="2311"/>
      <c r="E31" s="2056"/>
      <c r="F31" s="2220"/>
      <c r="G31" s="2266"/>
      <c r="H31" s="1530"/>
      <c r="I31" s="657" t="s">
        <v>1062</v>
      </c>
      <c r="J31" s="577"/>
      <c r="K31" s="1530"/>
      <c r="L31" s="200"/>
      <c r="M31" s="2016"/>
      <c r="N31" s="330"/>
      <c r="O31" s="1664"/>
      <c r="P31" s="1664"/>
    </row>
    <row s="2949" customFormat="1" customHeight="1" ht="0.75" hidden="1">
      <c r="A32" s="1821"/>
      <c r="B32" s="1821"/>
      <c r="C32" s="369" t="s">
        <v>1067</v>
      </c>
      <c r="D32" s="2311"/>
      <c r="E32" s="2056"/>
      <c r="F32" s="2220"/>
      <c r="G32" s="406"/>
      <c r="H32" s="1530"/>
      <c r="I32" s="657"/>
      <c r="J32" s="577"/>
      <c r="K32" s="1530"/>
      <c r="L32" s="200"/>
      <c r="M32" s="2016"/>
      <c r="N32" s="330"/>
      <c r="O32" s="1664"/>
      <c r="P32" s="1664"/>
    </row>
    <row s="2949" customFormat="1" customHeight="1" ht="45" hidden="1">
      <c r="A33" s="1821" t="s">
        <v>171</v>
      </c>
      <c r="B33" s="1821" t="s">
        <v>172</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294</v>
      </c>
      <c r="M33" s="2016"/>
      <c r="N33" s="330"/>
      <c r="O33" s="1664"/>
      <c r="P33" s="1664"/>
    </row>
    <row s="2949" customFormat="1" customHeight="1" ht="18.75" hidden="1">
      <c r="A34" s="1821"/>
      <c r="B34" s="1821"/>
      <c r="C34" s="369" t="s">
        <v>1061</v>
      </c>
      <c r="D34" s="2311"/>
      <c r="E34" s="2056"/>
      <c r="F34" s="2220"/>
      <c r="G34" s="2266"/>
      <c r="H34" s="1530"/>
      <c r="I34" s="657" t="s">
        <v>1062</v>
      </c>
      <c r="J34" s="577"/>
      <c r="K34" s="1530"/>
      <c r="L34" s="200"/>
      <c r="M34" s="2016"/>
      <c r="N34" s="330"/>
      <c r="O34" s="1664"/>
      <c r="P34" s="1664"/>
    </row>
    <row s="2949" customFormat="1" customHeight="1" ht="0.75" hidden="1">
      <c r="A35" s="1821"/>
      <c r="B35" s="1821"/>
      <c r="C35" s="369" t="s">
        <v>1067</v>
      </c>
      <c r="D35" s="2311"/>
      <c r="E35" s="2056"/>
      <c r="F35" s="2220"/>
      <c r="G35" s="406"/>
      <c r="H35" s="1530"/>
      <c r="I35" s="657"/>
      <c r="J35" s="577"/>
      <c r="K35" s="1530"/>
      <c r="L35" s="200"/>
      <c r="M35" s="2016"/>
      <c r="N35" s="330"/>
      <c r="O35" s="1664"/>
      <c r="P35" s="1664"/>
    </row>
    <row s="2949" customFormat="1" customHeight="1" ht="18.75" hidden="1">
      <c r="A36" s="1821" t="s">
        <v>177</v>
      </c>
      <c r="B36" s="1821" t="s">
        <v>178</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294</v>
      </c>
      <c r="M36" s="2016"/>
      <c r="N36" s="330"/>
      <c r="O36" s="1664"/>
      <c r="P36" s="1664"/>
    </row>
    <row s="2949" customFormat="1" customHeight="1" ht="18.75" hidden="1">
      <c r="A37" s="1821"/>
      <c r="B37" s="1821"/>
      <c r="C37" s="369" t="s">
        <v>1061</v>
      </c>
      <c r="D37" s="2311"/>
      <c r="E37" s="2056"/>
      <c r="F37" s="2220"/>
      <c r="G37" s="2266"/>
      <c r="H37" s="1530"/>
      <c r="I37" s="657" t="s">
        <v>1062</v>
      </c>
      <c r="J37" s="577"/>
      <c r="K37" s="1530"/>
      <c r="L37" s="200"/>
      <c r="M37" s="2016"/>
      <c r="N37" s="330"/>
      <c r="O37" s="1664"/>
      <c r="P37" s="1664"/>
    </row>
    <row s="2949" customFormat="1" customHeight="1" ht="0.75" hidden="1">
      <c r="A38" s="1821"/>
      <c r="B38" s="1821"/>
      <c r="C38" s="369" t="s">
        <v>1067</v>
      </c>
      <c r="D38" s="2311"/>
      <c r="E38" s="2056"/>
      <c r="F38" s="2220"/>
      <c r="G38" s="406"/>
      <c r="H38" s="1530"/>
      <c r="I38" s="657"/>
      <c r="J38" s="577"/>
      <c r="K38" s="1530"/>
      <c r="L38" s="200"/>
      <c r="M38" s="2016"/>
      <c r="N38" s="330"/>
      <c r="O38" s="1664"/>
      <c r="P38" s="1664"/>
    </row>
    <row s="2949" customFormat="1" customHeight="1" ht="18.75" hidden="1">
      <c r="A39" s="1821" t="s">
        <v>183</v>
      </c>
      <c r="B39" s="1821" t="s">
        <v>184</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294</v>
      </c>
      <c r="M39" s="2016"/>
      <c r="N39" s="330"/>
      <c r="O39" s="1664"/>
      <c r="P39" s="1664"/>
    </row>
    <row s="2949" customFormat="1" customHeight="1" ht="18.75" hidden="1">
      <c r="A40" s="1821"/>
      <c r="B40" s="1821"/>
      <c r="C40" s="369" t="s">
        <v>1061</v>
      </c>
      <c r="D40" s="2311"/>
      <c r="E40" s="2056"/>
      <c r="F40" s="2220"/>
      <c r="G40" s="2266"/>
      <c r="H40" s="1530"/>
      <c r="I40" s="657" t="s">
        <v>1062</v>
      </c>
      <c r="J40" s="577"/>
      <c r="K40" s="1530"/>
      <c r="L40" s="200"/>
      <c r="M40" s="2016"/>
      <c r="N40" s="330"/>
      <c r="O40" s="1664"/>
      <c r="P40" s="1664"/>
    </row>
    <row s="2949" customFormat="1" customHeight="1" ht="0.75" hidden="1">
      <c r="A41" s="1821"/>
      <c r="B41" s="1821"/>
      <c r="C41" s="369" t="s">
        <v>1067</v>
      </c>
      <c r="D41" s="2311"/>
      <c r="E41" s="2056"/>
      <c r="F41" s="2220"/>
      <c r="G41" s="406"/>
      <c r="H41" s="1530"/>
      <c r="I41" s="657"/>
      <c r="J41" s="577"/>
      <c r="K41" s="1530"/>
      <c r="L41" s="200"/>
      <c r="M41" s="2016"/>
      <c r="N41" s="330"/>
      <c r="O41" s="1664"/>
      <c r="P41" s="1664"/>
    </row>
    <row s="2949" customFormat="1" customHeight="1" ht="18.75" hidden="1">
      <c r="A42" s="1821" t="s">
        <v>189</v>
      </c>
      <c r="B42" s="1821" t="s">
        <v>190</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294</v>
      </c>
      <c r="M42" s="2016"/>
      <c r="N42" s="330"/>
      <c r="O42" s="1664"/>
      <c r="P42" s="1664"/>
    </row>
    <row s="2949" customFormat="1" customHeight="1" ht="18.75" hidden="1">
      <c r="A43" s="1821"/>
      <c r="B43" s="1821"/>
      <c r="C43" s="369" t="s">
        <v>1061</v>
      </c>
      <c r="D43" s="2311"/>
      <c r="E43" s="2056"/>
      <c r="F43" s="2220"/>
      <c r="G43" s="2266"/>
      <c r="H43" s="1530"/>
      <c r="I43" s="657" t="s">
        <v>1062</v>
      </c>
      <c r="J43" s="577"/>
      <c r="K43" s="1530"/>
      <c r="L43" s="200"/>
      <c r="M43" s="2016"/>
      <c r="N43" s="330"/>
      <c r="O43" s="1664"/>
      <c r="P43" s="1664"/>
    </row>
    <row s="2949" customFormat="1" customHeight="1" ht="0.75" hidden="1">
      <c r="A44" s="1821"/>
      <c r="B44" s="1821"/>
      <c r="C44" s="369" t="s">
        <v>1067</v>
      </c>
      <c r="D44" s="2311"/>
      <c r="E44" s="2056"/>
      <c r="F44" s="2220"/>
      <c r="G44" s="406"/>
      <c r="H44" s="1530"/>
      <c r="I44" s="657"/>
      <c r="J44" s="577"/>
      <c r="K44" s="1530"/>
      <c r="L44" s="200"/>
      <c r="M44" s="2016"/>
      <c r="N44" s="330"/>
      <c r="O44" s="1664"/>
      <c r="P44" s="1664"/>
    </row>
    <row s="2949" customFormat="1" customHeight="1" ht="18.75" hidden="1">
      <c r="A45" s="1821" t="s">
        <v>195</v>
      </c>
      <c r="B45" s="1821" t="s">
        <v>196</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294</v>
      </c>
      <c r="M45" s="2016"/>
      <c r="N45" s="330"/>
      <c r="O45" s="1664"/>
      <c r="P45" s="1664"/>
    </row>
    <row s="2949" customFormat="1" customHeight="1" ht="18.75" hidden="1">
      <c r="A46" s="1821"/>
      <c r="B46" s="1821"/>
      <c r="C46" s="369" t="s">
        <v>1061</v>
      </c>
      <c r="D46" s="2311"/>
      <c r="E46" s="2056"/>
      <c r="F46" s="2220"/>
      <c r="G46" s="2266"/>
      <c r="H46" s="1530"/>
      <c r="I46" s="657" t="s">
        <v>1062</v>
      </c>
      <c r="J46" s="577"/>
      <c r="K46" s="1530"/>
      <c r="L46" s="200"/>
      <c r="M46" s="2016"/>
      <c r="N46" s="330"/>
      <c r="O46" s="1664"/>
      <c r="P46" s="1664"/>
    </row>
    <row s="2949" customFormat="1" customHeight="1" ht="0.75" hidden="1">
      <c r="A47" s="1821"/>
      <c r="B47" s="1821"/>
      <c r="C47" s="369" t="s">
        <v>1067</v>
      </c>
      <c r="D47" s="2311"/>
      <c r="E47" s="2056"/>
      <c r="F47" s="2220"/>
      <c r="G47" s="406"/>
      <c r="H47" s="1530"/>
      <c r="I47" s="657"/>
      <c r="J47" s="577"/>
      <c r="K47" s="1530"/>
      <c r="L47" s="200"/>
      <c r="M47" s="2016"/>
      <c r="N47" s="330"/>
      <c r="O47" s="1664"/>
      <c r="P47" s="1664"/>
    </row>
    <row s="2949" customFormat="1" customHeight="1" ht="18.75" hidden="1">
      <c r="A48" s="1821" t="s">
        <v>210</v>
      </c>
      <c r="B48" s="1821" t="s">
        <v>211</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Тариф на питьевую воду (питьевое водоснабжение)</v>
      </c>
      <c r="H48" s="1905"/>
      <c r="I48" s="1779"/>
      <c r="J48" s="1814"/>
      <c r="K48" s="1908"/>
      <c r="L48" s="1905" t="s">
        <v>294</v>
      </c>
      <c r="M48" s="2016"/>
      <c r="N48" s="330"/>
      <c r="O48" s="1664"/>
      <c r="P48" s="1664"/>
    </row>
    <row s="2949" customFormat="1" customHeight="1" ht="18.75" hidden="1">
      <c r="A49" s="1821"/>
      <c r="B49" s="1821"/>
      <c r="C49" s="369" t="s">
        <v>1061</v>
      </c>
      <c r="D49" s="2311"/>
      <c r="E49" s="2056"/>
      <c r="F49" s="2220"/>
      <c r="G49" s="2266"/>
      <c r="H49" s="1530"/>
      <c r="I49" s="657" t="s">
        <v>1062</v>
      </c>
      <c r="J49" s="577"/>
      <c r="K49" s="1530"/>
      <c r="L49" s="200"/>
      <c r="M49" s="2016"/>
      <c r="N49" s="330"/>
      <c r="O49" s="1664"/>
      <c r="P49" s="1664"/>
    </row>
    <row s="2949" customFormat="1" customHeight="1" ht="0.75" hidden="1">
      <c r="A50" s="1821"/>
      <c r="B50" s="1821"/>
      <c r="C50" s="369" t="s">
        <v>1067</v>
      </c>
      <c r="D50" s="2311"/>
      <c r="E50" s="2056"/>
      <c r="F50" s="2220"/>
      <c r="G50" s="406"/>
      <c r="H50" s="1530"/>
      <c r="I50" s="657"/>
      <c r="J50" s="577"/>
      <c r="K50" s="1530"/>
      <c r="L50" s="200"/>
      <c r="M50" s="2016"/>
      <c r="N50" s="330"/>
      <c r="O50" s="1664"/>
      <c r="P50" s="1664"/>
    </row>
    <row s="2949" customFormat="1" customHeight="1" ht="18.75" hidden="1">
      <c r="A51" s="1821" t="s">
        <v>218</v>
      </c>
      <c r="B51" s="1821" t="s">
        <v>219</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294</v>
      </c>
      <c r="M51" s="2016"/>
      <c r="N51" s="330"/>
      <c r="O51" s="1664"/>
      <c r="P51" s="1664"/>
    </row>
    <row s="2949" customFormat="1" customHeight="1" ht="18.75" hidden="1">
      <c r="A52" s="1821"/>
      <c r="B52" s="1821"/>
      <c r="C52" s="369" t="s">
        <v>1061</v>
      </c>
      <c r="D52" s="2311"/>
      <c r="E52" s="2056"/>
      <c r="F52" s="2220"/>
      <c r="G52" s="2266"/>
      <c r="H52" s="1530"/>
      <c r="I52" s="657" t="s">
        <v>1062</v>
      </c>
      <c r="J52" s="577"/>
      <c r="K52" s="1530"/>
      <c r="L52" s="200"/>
      <c r="M52" s="2016"/>
      <c r="N52" s="330"/>
      <c r="O52" s="1664"/>
      <c r="P52" s="1664"/>
    </row>
    <row s="2949" customFormat="1" customHeight="1" ht="0.75" hidden="1">
      <c r="A53" s="1821"/>
      <c r="B53" s="1821"/>
      <c r="C53" s="369" t="s">
        <v>1067</v>
      </c>
      <c r="D53" s="2311"/>
      <c r="E53" s="2056"/>
      <c r="F53" s="2220"/>
      <c r="G53" s="406"/>
      <c r="H53" s="1530"/>
      <c r="I53" s="657"/>
      <c r="J53" s="577"/>
      <c r="K53" s="1530"/>
      <c r="L53" s="200"/>
      <c r="M53" s="2016"/>
      <c r="N53" s="330"/>
      <c r="O53" s="1664"/>
      <c r="P53" s="1664"/>
    </row>
    <row s="2949" customFormat="1" customHeight="1" ht="18.75" hidden="1">
      <c r="A54" s="1821" t="s">
        <v>223</v>
      </c>
      <c r="B54" s="1821" t="s">
        <v>224</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294</v>
      </c>
      <c r="M54" s="2016"/>
      <c r="N54" s="330"/>
      <c r="O54" s="1664"/>
      <c r="P54" s="1664"/>
    </row>
    <row s="2949" customFormat="1" customHeight="1" ht="18.75" hidden="1">
      <c r="A55" s="1821"/>
      <c r="B55" s="1821"/>
      <c r="C55" s="369" t="s">
        <v>1061</v>
      </c>
      <c r="D55" s="2311"/>
      <c r="E55" s="2056"/>
      <c r="F55" s="2220"/>
      <c r="G55" s="2266"/>
      <c r="H55" s="1530"/>
      <c r="I55" s="657" t="s">
        <v>1062</v>
      </c>
      <c r="J55" s="577"/>
      <c r="K55" s="1530"/>
      <c r="L55" s="200"/>
      <c r="M55" s="2016"/>
      <c r="N55" s="330"/>
      <c r="O55" s="1664"/>
      <c r="P55" s="1664"/>
    </row>
    <row s="2949" customFormat="1" customHeight="1" ht="0.75" hidden="1">
      <c r="A56" s="1821"/>
      <c r="B56" s="1821"/>
      <c r="C56" s="369" t="s">
        <v>1067</v>
      </c>
      <c r="D56" s="2311"/>
      <c r="E56" s="2056"/>
      <c r="F56" s="2220"/>
      <c r="G56" s="406"/>
      <c r="H56" s="1530"/>
      <c r="I56" s="657"/>
      <c r="J56" s="577"/>
      <c r="K56" s="1530"/>
      <c r="L56" s="200"/>
      <c r="M56" s="2016"/>
      <c r="N56" s="330"/>
      <c r="O56" s="1664"/>
      <c r="P56" s="1664"/>
    </row>
    <row s="2949" customFormat="1" customHeight="1" ht="18.75" hidden="1">
      <c r="A57" s="1821" t="s">
        <v>228</v>
      </c>
      <c r="B57" s="1821" t="s">
        <v>229</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294</v>
      </c>
      <c r="M57" s="2016"/>
      <c r="N57" s="330"/>
      <c r="O57" s="1664"/>
      <c r="P57" s="1664"/>
    </row>
    <row s="2949" customFormat="1" customHeight="1" ht="18.75" hidden="1">
      <c r="A58" s="1821"/>
      <c r="B58" s="1821"/>
      <c r="C58" s="369" t="s">
        <v>1061</v>
      </c>
      <c r="D58" s="2311"/>
      <c r="E58" s="2056"/>
      <c r="F58" s="2220"/>
      <c r="G58" s="2266"/>
      <c r="H58" s="1530"/>
      <c r="I58" s="657" t="s">
        <v>1062</v>
      </c>
      <c r="J58" s="577"/>
      <c r="K58" s="1530"/>
      <c r="L58" s="200"/>
      <c r="M58" s="2016"/>
      <c r="N58" s="330"/>
      <c r="O58" s="1664"/>
      <c r="P58" s="1664"/>
    </row>
    <row s="2949" customFormat="1" customHeight="1" ht="0.75" hidden="1">
      <c r="A59" s="1821"/>
      <c r="B59" s="1821"/>
      <c r="C59" s="369" t="s">
        <v>1067</v>
      </c>
      <c r="D59" s="2311"/>
      <c r="E59" s="2056"/>
      <c r="F59" s="2220"/>
      <c r="G59" s="406"/>
      <c r="H59" s="1530"/>
      <c r="I59" s="657"/>
      <c r="J59" s="577"/>
      <c r="K59" s="1530"/>
      <c r="L59" s="200"/>
      <c r="M59" s="2016"/>
      <c r="N59" s="330"/>
      <c r="O59" s="1664"/>
      <c r="P59" s="1664"/>
    </row>
    <row s="2949" customFormat="1" customHeight="1" ht="18.75" hidden="1">
      <c r="A60" s="1821" t="s">
        <v>233</v>
      </c>
      <c r="B60" s="1821" t="s">
        <v>234</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294</v>
      </c>
      <c r="M60" s="2016"/>
      <c r="N60" s="330"/>
      <c r="O60" s="1664"/>
      <c r="P60" s="1664"/>
    </row>
    <row s="2949" customFormat="1" customHeight="1" ht="18.75" hidden="1">
      <c r="A61" s="1821"/>
      <c r="B61" s="1821"/>
      <c r="C61" s="369" t="s">
        <v>1061</v>
      </c>
      <c r="D61" s="2311"/>
      <c r="E61" s="2056"/>
      <c r="F61" s="2220"/>
      <c r="G61" s="2266"/>
      <c r="H61" s="1530"/>
      <c r="I61" s="657" t="s">
        <v>1062</v>
      </c>
      <c r="J61" s="577"/>
      <c r="K61" s="1530"/>
      <c r="L61" s="200"/>
      <c r="M61" s="2016"/>
      <c r="N61" s="330"/>
      <c r="O61" s="1664"/>
      <c r="P61" s="1664"/>
    </row>
    <row s="2949" customFormat="1" customHeight="1" ht="0.75" hidden="1">
      <c r="A62" s="1821"/>
      <c r="B62" s="1821"/>
      <c r="C62" s="369" t="s">
        <v>1067</v>
      </c>
      <c r="D62" s="2311"/>
      <c r="E62" s="2056"/>
      <c r="F62" s="2220"/>
      <c r="G62" s="406"/>
      <c r="H62" s="1530"/>
      <c r="I62" s="657"/>
      <c r="J62" s="577"/>
      <c r="K62" s="1530"/>
      <c r="L62" s="200"/>
      <c r="M62" s="2016"/>
      <c r="N62" s="330"/>
      <c r="O62" s="1664"/>
      <c r="P62" s="1664"/>
    </row>
    <row s="2949" customFormat="1" customHeight="1" ht="18.75" hidden="1">
      <c r="A63" s="1821" t="s">
        <v>238</v>
      </c>
      <c r="B63" s="1821" t="s">
        <v>239</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294</v>
      </c>
      <c r="M63" s="2016"/>
      <c r="N63" s="330"/>
      <c r="O63" s="1664"/>
      <c r="P63" s="1664"/>
    </row>
    <row s="2949" customFormat="1" customHeight="1" ht="18.75" hidden="1">
      <c r="A64" s="1821"/>
      <c r="B64" s="1821"/>
      <c r="C64" s="369" t="s">
        <v>1061</v>
      </c>
      <c r="D64" s="2311"/>
      <c r="E64" s="2056"/>
      <c r="F64" s="2220"/>
      <c r="G64" s="2266"/>
      <c r="H64" s="1530"/>
      <c r="I64" s="657" t="s">
        <v>1062</v>
      </c>
      <c r="J64" s="577"/>
      <c r="K64" s="1530"/>
      <c r="L64" s="200"/>
      <c r="M64" s="2016"/>
      <c r="N64" s="330"/>
      <c r="O64" s="1664"/>
      <c r="P64" s="1664"/>
    </row>
    <row s="2949" customFormat="1" customHeight="1" ht="0.75" hidden="1">
      <c r="A65" s="1821"/>
      <c r="B65" s="1821"/>
      <c r="C65" s="369" t="s">
        <v>1067</v>
      </c>
      <c r="D65" s="2311"/>
      <c r="E65" s="2056"/>
      <c r="F65" s="2220"/>
      <c r="G65" s="406"/>
      <c r="H65" s="1530"/>
      <c r="I65" s="657"/>
      <c r="J65" s="577"/>
      <c r="K65" s="1530"/>
      <c r="L65" s="200"/>
      <c r="M65" s="2016"/>
      <c r="N65" s="330"/>
      <c r="O65" s="1664"/>
      <c r="P65" s="1664"/>
    </row>
    <row s="2949" customFormat="1" customHeight="1" ht="18.75" hidden="1">
      <c r="A66" s="1821" t="s">
        <v>243</v>
      </c>
      <c r="B66" s="1821" t="s">
        <v>244</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294</v>
      </c>
      <c r="M66" s="2016"/>
      <c r="N66" s="330"/>
      <c r="O66" s="1664"/>
      <c r="P66" s="1664"/>
    </row>
    <row s="2949" customFormat="1" customHeight="1" ht="18.75" hidden="1">
      <c r="A67" s="1821"/>
      <c r="B67" s="1821"/>
      <c r="C67" s="369" t="s">
        <v>1061</v>
      </c>
      <c r="D67" s="2311"/>
      <c r="E67" s="2056"/>
      <c r="F67" s="2220"/>
      <c r="G67" s="2266"/>
      <c r="H67" s="1530"/>
      <c r="I67" s="657" t="s">
        <v>1062</v>
      </c>
      <c r="J67" s="577"/>
      <c r="K67" s="1530"/>
      <c r="L67" s="200"/>
      <c r="M67" s="2016"/>
      <c r="N67" s="330"/>
      <c r="O67" s="1664"/>
      <c r="P67" s="1664"/>
    </row>
    <row s="2949" customFormat="1" customHeight="1" ht="0.75" hidden="1">
      <c r="A68" s="1821"/>
      <c r="B68" s="1821"/>
      <c r="C68" s="369" t="s">
        <v>1067</v>
      </c>
      <c r="D68" s="2311"/>
      <c r="E68" s="2056"/>
      <c r="F68" s="2220"/>
      <c r="G68" s="406"/>
      <c r="H68" s="1530"/>
      <c r="I68" s="657"/>
      <c r="J68" s="577"/>
      <c r="K68" s="1530"/>
      <c r="L68" s="200"/>
      <c r="M68" s="2016"/>
      <c r="N68" s="330"/>
      <c r="O68" s="1664"/>
      <c r="P68" s="1664"/>
    </row>
    <row s="2949" customFormat="1" customHeight="1" ht="18.75" hidden="1">
      <c r="A69" s="1821" t="s">
        <v>248</v>
      </c>
      <c r="B69" s="1821" t="s">
        <v>249</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294</v>
      </c>
      <c r="M69" s="2016"/>
      <c r="N69" s="330"/>
      <c r="O69" s="1664"/>
      <c r="P69" s="1664"/>
    </row>
    <row s="2949" customFormat="1" customHeight="1" ht="18.75" hidden="1">
      <c r="A70" s="1821"/>
      <c r="B70" s="1821"/>
      <c r="C70" s="369" t="s">
        <v>1061</v>
      </c>
      <c r="D70" s="2311"/>
      <c r="E70" s="2056"/>
      <c r="F70" s="2220"/>
      <c r="G70" s="2266"/>
      <c r="H70" s="1530"/>
      <c r="I70" s="657" t="s">
        <v>1062</v>
      </c>
      <c r="J70" s="577"/>
      <c r="K70" s="1530"/>
      <c r="L70" s="200"/>
      <c r="M70" s="2016"/>
      <c r="N70" s="330"/>
      <c r="O70" s="1664"/>
      <c r="P70" s="1664"/>
    </row>
    <row s="2949" customFormat="1" customHeight="1" ht="0.75" hidden="1">
      <c r="A71" s="1821"/>
      <c r="B71" s="1821"/>
      <c r="C71" s="369" t="s">
        <v>1067</v>
      </c>
      <c r="D71" s="2311"/>
      <c r="E71" s="2056"/>
      <c r="F71" s="2220"/>
      <c r="G71" s="406"/>
      <c r="H71" s="1530"/>
      <c r="I71" s="657"/>
      <c r="J71" s="577"/>
      <c r="K71" s="1530"/>
      <c r="L71" s="200"/>
      <c r="M71" s="2016"/>
      <c r="N71" s="330"/>
      <c r="O71" s="1664"/>
      <c r="P71" s="1664"/>
    </row>
    <row s="2949" customFormat="1" customHeight="1" ht="18.75" hidden="1">
      <c r="A72" s="1821" t="s">
        <v>253</v>
      </c>
      <c r="B72" s="1821" t="s">
        <v>254</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294</v>
      </c>
      <c r="M72" s="2016"/>
      <c r="N72" s="330"/>
      <c r="O72" s="1664"/>
      <c r="P72" s="1664"/>
    </row>
    <row s="2949" customFormat="1" customHeight="1" ht="18.75" hidden="1">
      <c r="A73" s="1821"/>
      <c r="B73" s="1821"/>
      <c r="C73" s="369" t="s">
        <v>1061</v>
      </c>
      <c r="D73" s="2311"/>
      <c r="E73" s="2056"/>
      <c r="F73" s="2220"/>
      <c r="G73" s="2266"/>
      <c r="H73" s="1530"/>
      <c r="I73" s="657" t="s">
        <v>1062</v>
      </c>
      <c r="J73" s="577"/>
      <c r="K73" s="1530"/>
      <c r="L73" s="200"/>
      <c r="M73" s="2016"/>
      <c r="N73" s="330"/>
      <c r="O73" s="1664"/>
      <c r="P73" s="1664"/>
    </row>
    <row s="2949" customFormat="1" customHeight="1" ht="0.75" hidden="1">
      <c r="A74" s="1821"/>
      <c r="B74" s="1821"/>
      <c r="C74" s="369" t="s">
        <v>1067</v>
      </c>
      <c r="D74" s="2311"/>
      <c r="E74" s="2056"/>
      <c r="F74" s="2220"/>
      <c r="G74" s="406"/>
      <c r="H74" s="1530"/>
      <c r="I74" s="657"/>
      <c r="J74" s="577"/>
      <c r="K74" s="1530"/>
      <c r="L74" s="200"/>
      <c r="M74" s="2016"/>
      <c r="N74" s="330"/>
      <c r="O74" s="1664"/>
      <c r="P74" s="1664"/>
    </row>
    <row s="2949" customFormat="1" customHeight="1" ht="18.75" hidden="1">
      <c r="A75" s="1821" t="s">
        <v>258</v>
      </c>
      <c r="B75" s="1821" t="s">
        <v>259</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294</v>
      </c>
      <c r="M75" s="2016"/>
      <c r="N75" s="330"/>
      <c r="O75" s="1664"/>
      <c r="P75" s="1664"/>
    </row>
    <row s="2949" customFormat="1" customHeight="1" ht="18.75" hidden="1">
      <c r="A76" s="1821"/>
      <c r="B76" s="1821"/>
      <c r="C76" s="369" t="s">
        <v>1061</v>
      </c>
      <c r="D76" s="2311"/>
      <c r="E76" s="2056"/>
      <c r="F76" s="2220"/>
      <c r="G76" s="2266"/>
      <c r="H76" s="1530"/>
      <c r="I76" s="657" t="s">
        <v>1062</v>
      </c>
      <c r="J76" s="577"/>
      <c r="K76" s="1530"/>
      <c r="L76" s="200"/>
      <c r="M76" s="2016"/>
      <c r="N76" s="330"/>
      <c r="O76" s="1664"/>
      <c r="P76" s="1664"/>
    </row>
    <row s="2949" customFormat="1" customHeight="1" ht="0.75" hidden="1">
      <c r="A77" s="1821"/>
      <c r="B77" s="1821"/>
      <c r="C77" s="369" t="s">
        <v>1067</v>
      </c>
      <c r="D77" s="2311"/>
      <c r="E77" s="2056"/>
      <c r="F77" s="2220"/>
      <c r="G77" s="406"/>
      <c r="H77" s="1530"/>
      <c r="I77" s="657"/>
      <c r="J77" s="577"/>
      <c r="K77" s="1530"/>
      <c r="L77" s="200"/>
      <c r="M77" s="2016"/>
      <c r="N77" s="330"/>
      <c r="O77" s="1664"/>
      <c r="P77" s="1664"/>
    </row>
    <row s="2949" customFormat="1" customHeight="1" ht="18.75" hidden="1">
      <c r="A78" s="1821" t="s">
        <v>263</v>
      </c>
      <c r="B78" s="1821" t="s">
        <v>264</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294</v>
      </c>
      <c r="M78" s="2016"/>
      <c r="N78" s="330"/>
      <c r="O78" s="1664"/>
      <c r="P78" s="1664"/>
    </row>
    <row s="2949" customFormat="1" customHeight="1" ht="18.75" hidden="1">
      <c r="A79" s="1821"/>
      <c r="B79" s="1821"/>
      <c r="C79" s="369" t="s">
        <v>1061</v>
      </c>
      <c r="D79" s="2311"/>
      <c r="E79" s="2056"/>
      <c r="F79" s="2220"/>
      <c r="G79" s="2266"/>
      <c r="H79" s="1530"/>
      <c r="I79" s="657" t="s">
        <v>1062</v>
      </c>
      <c r="J79" s="577"/>
      <c r="K79" s="1530"/>
      <c r="L79" s="200"/>
      <c r="M79" s="2016"/>
      <c r="N79" s="330"/>
      <c r="O79" s="1664"/>
      <c r="P79" s="1664"/>
    </row>
    <row s="2949" customFormat="1" customHeight="1" ht="0.75">
      <c r="A80" s="1821"/>
      <c r="B80" s="1821"/>
      <c r="C80" s="369" t="s">
        <v>1067</v>
      </c>
      <c r="D80" s="2311"/>
      <c r="E80" s="2056"/>
      <c r="F80" s="2220"/>
      <c r="G80" s="406"/>
      <c r="H80" s="1530"/>
      <c r="I80" s="657"/>
      <c r="J80" s="577"/>
      <c r="K80" s="1530"/>
      <c r="L80" s="200"/>
      <c r="M80" s="2016"/>
      <c r="N80" s="330"/>
      <c r="O80" s="1664"/>
      <c r="P80" s="1664"/>
    </row>
    <row customHeight="1" ht="18.75">
      <c r="A81" s="1821"/>
      <c r="B81" s="1821"/>
      <c r="D81" s="377"/>
      <c r="E81" s="133" t="s">
        <v>108</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303"/>
      <c r="H81" s="2303"/>
      <c r="I81" s="2303"/>
      <c r="J81" s="2303"/>
      <c r="K81" s="2303"/>
      <c r="L81" s="2303"/>
      <c r="M81" s="285"/>
      <c r="N81" s="330"/>
    </row>
    <row customHeight="1" ht="33.75">
      <c r="A82" s="1821"/>
      <c r="B82" s="1821"/>
      <c r="D82" s="377"/>
      <c r="E82" s="405"/>
      <c r="F82" s="184" t="s">
        <v>294</v>
      </c>
      <c r="G82" s="184" t="s">
        <v>294</v>
      </c>
      <c r="H82" s="2068" t="s">
        <v>294</v>
      </c>
      <c r="I82" s="2084"/>
      <c r="J82" s="184" t="s">
        <v>294</v>
      </c>
      <c r="K82" s="184" t="s">
        <v>294</v>
      </c>
      <c r="L82" s="407"/>
      <c r="M82" s="341" t="s">
        <v>1068</v>
      </c>
      <c r="N82" s="330"/>
    </row>
    <row customHeight="1" ht="18.75">
      <c r="A83" s="1821"/>
      <c r="B83" s="1821"/>
      <c r="D83" s="377"/>
      <c r="E83" s="133" t="s">
        <v>88</v>
      </c>
      <c r="F83" s="2303" t="s">
        <v>1069</v>
      </c>
      <c r="G83" s="2303"/>
      <c r="H83" s="2303"/>
      <c r="I83" s="2303"/>
      <c r="J83" s="2303"/>
      <c r="K83" s="2303"/>
      <c r="L83" s="2303"/>
      <c r="M83" s="285"/>
      <c r="N83" s="330"/>
    </row>
    <row s="2949" customFormat="1" customHeight="1" ht="60.75" hidden="1">
      <c r="A84" s="1821" t="s">
        <v>153</v>
      </c>
      <c r="B84" s="1821" t="s">
        <v>154</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294</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9" customFormat="1" customHeight="1" ht="18.75" hidden="1">
      <c r="A85" s="1821"/>
      <c r="B85" s="1821"/>
      <c r="C85" s="369" t="s">
        <v>1063</v>
      </c>
      <c r="D85" s="2311"/>
      <c r="E85" s="2056"/>
      <c r="F85" s="2220"/>
      <c r="G85" s="2266"/>
      <c r="H85" s="1530"/>
      <c r="I85" s="657" t="s">
        <v>1062</v>
      </c>
      <c r="J85" s="577"/>
      <c r="K85" s="1530"/>
      <c r="L85" s="200"/>
      <c r="M85" s="2016"/>
      <c r="N85" s="330"/>
      <c r="O85" s="1664"/>
      <c r="P85" s="1664"/>
    </row>
    <row s="2949" customFormat="1" customHeight="1" ht="0.75" hidden="1">
      <c r="A86" s="1821"/>
      <c r="B86" s="1821"/>
      <c r="C86" s="369" t="s">
        <v>1070</v>
      </c>
      <c r="D86" s="2311"/>
      <c r="E86" s="2056"/>
      <c r="F86" s="2220"/>
      <c r="G86" s="406"/>
      <c r="H86" s="1530"/>
      <c r="I86" s="657"/>
      <c r="J86" s="577"/>
      <c r="K86" s="1530"/>
      <c r="L86" s="200"/>
      <c r="M86" s="2016"/>
      <c r="N86" s="330"/>
      <c r="O86" s="1664"/>
      <c r="P86" s="1664"/>
    </row>
    <row s="2949" customFormat="1" customHeight="1" ht="45" hidden="1">
      <c r="A87" s="1821" t="s">
        <v>159</v>
      </c>
      <c r="B87" s="1821" t="s">
        <v>160</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294</v>
      </c>
      <c r="M87" s="2017"/>
      <c r="N87" s="330"/>
      <c r="O87" s="1664"/>
      <c r="P87" s="1664"/>
    </row>
    <row s="2949" customFormat="1" customHeight="1" ht="18.75" hidden="1">
      <c r="A88" s="1821"/>
      <c r="B88" s="1821"/>
      <c r="C88" s="369" t="s">
        <v>1063</v>
      </c>
      <c r="D88" s="2311"/>
      <c r="E88" s="2056"/>
      <c r="F88" s="2220"/>
      <c r="G88" s="2266"/>
      <c r="H88" s="1530"/>
      <c r="I88" s="657" t="s">
        <v>1062</v>
      </c>
      <c r="J88" s="577"/>
      <c r="K88" s="1530"/>
      <c r="L88" s="200"/>
      <c r="M88" s="1904"/>
      <c r="N88" s="330"/>
      <c r="O88" s="1664"/>
      <c r="P88" s="1664"/>
    </row>
    <row s="2949" customFormat="1" customHeight="1" ht="0.75" hidden="1">
      <c r="A89" s="1821"/>
      <c r="B89" s="1821"/>
      <c r="C89" s="369" t="s">
        <v>1070</v>
      </c>
      <c r="D89" s="2311"/>
      <c r="E89" s="2056"/>
      <c r="F89" s="2220"/>
      <c r="G89" s="406"/>
      <c r="H89" s="1530"/>
      <c r="I89" s="657"/>
      <c r="J89" s="577"/>
      <c r="K89" s="1530"/>
      <c r="L89" s="200"/>
      <c r="M89" s="337"/>
      <c r="N89" s="330"/>
      <c r="O89" s="1664"/>
      <c r="P89" s="1664"/>
    </row>
    <row s="2949" customFormat="1" customHeight="1" ht="45" hidden="1">
      <c r="A90" s="1821" t="s">
        <v>165</v>
      </c>
      <c r="B90" s="1821" t="s">
        <v>166</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294</v>
      </c>
      <c r="M90" s="337"/>
      <c r="N90" s="330"/>
      <c r="O90" s="1664"/>
      <c r="P90" s="1664"/>
    </row>
    <row s="2949" customFormat="1" customHeight="1" ht="18.75" hidden="1">
      <c r="A91" s="1821"/>
      <c r="B91" s="1821"/>
      <c r="C91" s="369" t="s">
        <v>1063</v>
      </c>
      <c r="D91" s="2311"/>
      <c r="E91" s="2056"/>
      <c r="F91" s="2220"/>
      <c r="G91" s="2266"/>
      <c r="H91" s="1530"/>
      <c r="I91" s="657" t="s">
        <v>1062</v>
      </c>
      <c r="J91" s="577"/>
      <c r="K91" s="1530"/>
      <c r="L91" s="200"/>
      <c r="M91" s="337"/>
      <c r="N91" s="330"/>
      <c r="O91" s="1664"/>
      <c r="P91" s="1664"/>
    </row>
    <row s="2949" customFormat="1" customHeight="1" ht="0.75" hidden="1">
      <c r="A92" s="1821"/>
      <c r="B92" s="1821"/>
      <c r="C92" s="369" t="s">
        <v>1070</v>
      </c>
      <c r="D92" s="2311"/>
      <c r="E92" s="2056"/>
      <c r="F92" s="2220"/>
      <c r="G92" s="406"/>
      <c r="H92" s="1530"/>
      <c r="I92" s="657"/>
      <c r="J92" s="577"/>
      <c r="K92" s="1530"/>
      <c r="L92" s="200"/>
      <c r="M92" s="337"/>
      <c r="N92" s="330"/>
      <c r="O92" s="1664"/>
      <c r="P92" s="1664"/>
    </row>
    <row s="2949" customFormat="1" customHeight="1" ht="45" hidden="1">
      <c r="A93" s="1821" t="s">
        <v>171</v>
      </c>
      <c r="B93" s="1821" t="s">
        <v>172</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294</v>
      </c>
      <c r="M93" s="337"/>
      <c r="N93" s="330"/>
      <c r="O93" s="1664"/>
      <c r="P93" s="1664"/>
    </row>
    <row s="2949" customFormat="1" customHeight="1" ht="18.75" hidden="1">
      <c r="A94" s="1821"/>
      <c r="B94" s="1821"/>
      <c r="C94" s="369" t="s">
        <v>1063</v>
      </c>
      <c r="D94" s="2311"/>
      <c r="E94" s="2056"/>
      <c r="F94" s="2220"/>
      <c r="G94" s="2266"/>
      <c r="H94" s="1530"/>
      <c r="I94" s="657" t="s">
        <v>1062</v>
      </c>
      <c r="J94" s="577"/>
      <c r="K94" s="1530"/>
      <c r="L94" s="200"/>
      <c r="M94" s="337"/>
      <c r="N94" s="330"/>
      <c r="O94" s="1664"/>
      <c r="P94" s="1664"/>
    </row>
    <row s="2949" customFormat="1" customHeight="1" ht="0.75" hidden="1">
      <c r="A95" s="1821"/>
      <c r="B95" s="1821"/>
      <c r="C95" s="369" t="s">
        <v>1070</v>
      </c>
      <c r="D95" s="2311"/>
      <c r="E95" s="2056"/>
      <c r="F95" s="2220"/>
      <c r="G95" s="406"/>
      <c r="H95" s="1530"/>
      <c r="I95" s="657"/>
      <c r="J95" s="577"/>
      <c r="K95" s="1530"/>
      <c r="L95" s="200"/>
      <c r="M95" s="337"/>
      <c r="N95" s="330"/>
      <c r="O95" s="1664"/>
      <c r="P95" s="1664"/>
    </row>
    <row s="2949" customFormat="1" customHeight="1" ht="18.75" hidden="1">
      <c r="A96" s="1821" t="s">
        <v>177</v>
      </c>
      <c r="B96" s="1821" t="s">
        <v>178</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294</v>
      </c>
      <c r="M96" s="337"/>
      <c r="N96" s="330"/>
      <c r="O96" s="1664"/>
      <c r="P96" s="1664"/>
    </row>
    <row s="2949" customFormat="1" customHeight="1" ht="18.75" hidden="1">
      <c r="A97" s="1821"/>
      <c r="B97" s="1821"/>
      <c r="C97" s="369" t="s">
        <v>1063</v>
      </c>
      <c r="D97" s="2311"/>
      <c r="E97" s="2056"/>
      <c r="F97" s="2220"/>
      <c r="G97" s="2266"/>
      <c r="H97" s="1530"/>
      <c r="I97" s="657" t="s">
        <v>1062</v>
      </c>
      <c r="J97" s="577"/>
      <c r="K97" s="1530"/>
      <c r="L97" s="200"/>
      <c r="M97" s="337"/>
      <c r="N97" s="330"/>
      <c r="O97" s="1664"/>
      <c r="P97" s="1664"/>
    </row>
    <row s="2949" customFormat="1" customHeight="1" ht="0.75" hidden="1">
      <c r="A98" s="1821"/>
      <c r="B98" s="1821"/>
      <c r="C98" s="369" t="s">
        <v>1070</v>
      </c>
      <c r="D98" s="2311"/>
      <c r="E98" s="2056"/>
      <c r="F98" s="2220"/>
      <c r="G98" s="406"/>
      <c r="H98" s="1530"/>
      <c r="I98" s="657"/>
      <c r="J98" s="577"/>
      <c r="K98" s="1530"/>
      <c r="L98" s="200"/>
      <c r="M98" s="337"/>
      <c r="N98" s="330"/>
      <c r="O98" s="1664"/>
      <c r="P98" s="1664"/>
    </row>
    <row s="2949" customFormat="1" customHeight="1" ht="18.75" hidden="1">
      <c r="A99" s="1821" t="s">
        <v>183</v>
      </c>
      <c r="B99" s="1821" t="s">
        <v>184</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294</v>
      </c>
      <c r="M99" s="337"/>
      <c r="N99" s="330"/>
      <c r="O99" s="1664"/>
      <c r="P99" s="1664"/>
    </row>
    <row s="2949" customFormat="1" customHeight="1" ht="18.75" hidden="1">
      <c r="A100" s="1821"/>
      <c r="B100" s="1821"/>
      <c r="C100" s="369" t="s">
        <v>1063</v>
      </c>
      <c r="D100" s="2311"/>
      <c r="E100" s="2056"/>
      <c r="F100" s="2220"/>
      <c r="G100" s="2266"/>
      <c r="H100" s="1530"/>
      <c r="I100" s="657" t="s">
        <v>1062</v>
      </c>
      <c r="J100" s="577"/>
      <c r="K100" s="1530"/>
      <c r="L100" s="200"/>
      <c r="M100" s="337"/>
      <c r="N100" s="330"/>
      <c r="O100" s="1664"/>
      <c r="P100" s="1664"/>
    </row>
    <row s="2949" customFormat="1" customHeight="1" ht="0.75" hidden="1">
      <c r="A101" s="1821"/>
      <c r="B101" s="1821"/>
      <c r="C101" s="369" t="s">
        <v>1070</v>
      </c>
      <c r="D101" s="2311"/>
      <c r="E101" s="2056"/>
      <c r="F101" s="2220"/>
      <c r="G101" s="406"/>
      <c r="H101" s="1530"/>
      <c r="I101" s="657"/>
      <c r="J101" s="577"/>
      <c r="K101" s="1530"/>
      <c r="L101" s="200"/>
      <c r="M101" s="337"/>
      <c r="N101" s="330"/>
      <c r="O101" s="1664"/>
      <c r="P101" s="1664"/>
    </row>
    <row s="2949" customFormat="1" customHeight="1" ht="18.75" hidden="1">
      <c r="A102" s="1821" t="s">
        <v>189</v>
      </c>
      <c r="B102" s="1821" t="s">
        <v>190</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294</v>
      </c>
      <c r="M102" s="337"/>
      <c r="N102" s="330"/>
      <c r="O102" s="1664"/>
      <c r="P102" s="1664"/>
    </row>
    <row s="2949" customFormat="1" customHeight="1" ht="18.75" hidden="1">
      <c r="A103" s="1821"/>
      <c r="B103" s="1821"/>
      <c r="C103" s="369" t="s">
        <v>1063</v>
      </c>
      <c r="D103" s="2311"/>
      <c r="E103" s="2056"/>
      <c r="F103" s="2220"/>
      <c r="G103" s="2266"/>
      <c r="H103" s="1530"/>
      <c r="I103" s="657" t="s">
        <v>1062</v>
      </c>
      <c r="J103" s="577"/>
      <c r="K103" s="1530"/>
      <c r="L103" s="200"/>
      <c r="M103" s="337"/>
      <c r="N103" s="330"/>
      <c r="O103" s="1664"/>
      <c r="P103" s="1664"/>
    </row>
    <row s="2949" customFormat="1" customHeight="1" ht="0.75" hidden="1">
      <c r="A104" s="1821"/>
      <c r="B104" s="1821"/>
      <c r="C104" s="369" t="s">
        <v>1070</v>
      </c>
      <c r="D104" s="2311"/>
      <c r="E104" s="2056"/>
      <c r="F104" s="2220"/>
      <c r="G104" s="406"/>
      <c r="H104" s="1530"/>
      <c r="I104" s="657"/>
      <c r="J104" s="577"/>
      <c r="K104" s="1530"/>
      <c r="L104" s="200"/>
      <c r="M104" s="337"/>
      <c r="N104" s="330"/>
      <c r="O104" s="1664"/>
      <c r="P104" s="1664"/>
    </row>
    <row s="2949" customFormat="1" customHeight="1" ht="18.75" hidden="1">
      <c r="A105" s="1821" t="s">
        <v>195</v>
      </c>
      <c r="B105" s="1821" t="s">
        <v>196</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294</v>
      </c>
      <c r="M105" s="337"/>
      <c r="N105" s="330"/>
      <c r="O105" s="1664"/>
      <c r="P105" s="1664"/>
    </row>
    <row s="2949" customFormat="1" customHeight="1" ht="18.75" hidden="1">
      <c r="A106" s="1821"/>
      <c r="B106" s="1821"/>
      <c r="C106" s="369" t="s">
        <v>1063</v>
      </c>
      <c r="D106" s="2311"/>
      <c r="E106" s="2056"/>
      <c r="F106" s="2220"/>
      <c r="G106" s="2266"/>
      <c r="H106" s="1530"/>
      <c r="I106" s="657" t="s">
        <v>1062</v>
      </c>
      <c r="J106" s="577"/>
      <c r="K106" s="1530"/>
      <c r="L106" s="200"/>
      <c r="M106" s="337"/>
      <c r="N106" s="330"/>
      <c r="O106" s="1664"/>
      <c r="P106" s="1664"/>
    </row>
    <row s="2949" customFormat="1" customHeight="1" ht="0.75" hidden="1">
      <c r="A107" s="1821"/>
      <c r="B107" s="1821"/>
      <c r="C107" s="369" t="s">
        <v>1070</v>
      </c>
      <c r="D107" s="2311"/>
      <c r="E107" s="2056"/>
      <c r="F107" s="2220"/>
      <c r="G107" s="406"/>
      <c r="H107" s="1530"/>
      <c r="I107" s="657"/>
      <c r="J107" s="577"/>
      <c r="K107" s="1530"/>
      <c r="L107" s="200"/>
      <c r="M107" s="337"/>
      <c r="N107" s="330"/>
      <c r="O107" s="1664"/>
      <c r="P107" s="1664"/>
    </row>
    <row s="2949" customFormat="1" customHeight="1" ht="18.75" hidden="1">
      <c r="A108" s="1821" t="s">
        <v>210</v>
      </c>
      <c r="B108" s="1821" t="s">
        <v>211</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Тариф на питьевую воду (питьевое водоснабжение)</v>
      </c>
      <c r="H108" s="1905"/>
      <c r="I108" s="1779"/>
      <c r="J108" s="1814"/>
      <c r="K108" s="1819"/>
      <c r="L108" s="1905" t="s">
        <v>294</v>
      </c>
      <c r="M108" s="337"/>
      <c r="N108" s="330"/>
      <c r="O108" s="1664"/>
      <c r="P108" s="1664"/>
    </row>
    <row s="2949" customFormat="1" customHeight="1" ht="18.75" hidden="1">
      <c r="A109" s="1821"/>
      <c r="B109" s="1821"/>
      <c r="C109" s="369" t="s">
        <v>1063</v>
      </c>
      <c r="D109" s="2311"/>
      <c r="E109" s="2056"/>
      <c r="F109" s="2220"/>
      <c r="G109" s="2266"/>
      <c r="H109" s="1530"/>
      <c r="I109" s="657" t="s">
        <v>1062</v>
      </c>
      <c r="J109" s="577"/>
      <c r="K109" s="1530"/>
      <c r="L109" s="200"/>
      <c r="M109" s="337"/>
      <c r="N109" s="330"/>
      <c r="O109" s="1664"/>
      <c r="P109" s="1664"/>
    </row>
    <row s="2949" customFormat="1" customHeight="1" ht="0.75" hidden="1">
      <c r="A110" s="1821"/>
      <c r="B110" s="1821"/>
      <c r="C110" s="369" t="s">
        <v>1070</v>
      </c>
      <c r="D110" s="2311"/>
      <c r="E110" s="2056"/>
      <c r="F110" s="2220"/>
      <c r="G110" s="406"/>
      <c r="H110" s="1530"/>
      <c r="I110" s="657"/>
      <c r="J110" s="577"/>
      <c r="K110" s="1530"/>
      <c r="L110" s="200"/>
      <c r="M110" s="337"/>
      <c r="N110" s="330"/>
      <c r="O110" s="1664"/>
      <c r="P110" s="1664"/>
    </row>
    <row s="2949" customFormat="1" customHeight="1" ht="18.75" hidden="1">
      <c r="A111" s="1821" t="s">
        <v>218</v>
      </c>
      <c r="B111" s="1821" t="s">
        <v>219</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294</v>
      </c>
      <c r="M111" s="337"/>
      <c r="N111" s="330"/>
      <c r="O111" s="1664"/>
      <c r="P111" s="1664"/>
    </row>
    <row s="2949" customFormat="1" customHeight="1" ht="18.75" hidden="1">
      <c r="A112" s="1821"/>
      <c r="B112" s="1821"/>
      <c r="C112" s="369" t="s">
        <v>1063</v>
      </c>
      <c r="D112" s="2311"/>
      <c r="E112" s="2056"/>
      <c r="F112" s="2220"/>
      <c r="G112" s="2266"/>
      <c r="H112" s="1530"/>
      <c r="I112" s="657" t="s">
        <v>1062</v>
      </c>
      <c r="J112" s="577"/>
      <c r="K112" s="1530"/>
      <c r="L112" s="200"/>
      <c r="M112" s="337"/>
      <c r="N112" s="330"/>
      <c r="O112" s="1664"/>
      <c r="P112" s="1664"/>
    </row>
    <row s="2949" customFormat="1" customHeight="1" ht="0.75" hidden="1">
      <c r="A113" s="1821"/>
      <c r="B113" s="1821"/>
      <c r="C113" s="369" t="s">
        <v>1070</v>
      </c>
      <c r="D113" s="2311"/>
      <c r="E113" s="2056"/>
      <c r="F113" s="2220"/>
      <c r="G113" s="406"/>
      <c r="H113" s="1530"/>
      <c r="I113" s="657"/>
      <c r="J113" s="577"/>
      <c r="K113" s="1530"/>
      <c r="L113" s="200"/>
      <c r="M113" s="337"/>
      <c r="N113" s="330"/>
      <c r="O113" s="1664"/>
      <c r="P113" s="1664"/>
    </row>
    <row s="2949" customFormat="1" customHeight="1" ht="18.75" hidden="1">
      <c r="A114" s="1821" t="s">
        <v>223</v>
      </c>
      <c r="B114" s="1821" t="s">
        <v>224</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294</v>
      </c>
      <c r="M114" s="337"/>
      <c r="N114" s="330"/>
      <c r="O114" s="1664"/>
      <c r="P114" s="1664"/>
    </row>
    <row s="2949" customFormat="1" customHeight="1" ht="18.75" hidden="1">
      <c r="A115" s="1821"/>
      <c r="B115" s="1821"/>
      <c r="C115" s="369" t="s">
        <v>1063</v>
      </c>
      <c r="D115" s="2311"/>
      <c r="E115" s="2056"/>
      <c r="F115" s="2220"/>
      <c r="G115" s="2266"/>
      <c r="H115" s="1530"/>
      <c r="I115" s="657" t="s">
        <v>1062</v>
      </c>
      <c r="J115" s="577"/>
      <c r="K115" s="1530"/>
      <c r="L115" s="200"/>
      <c r="M115" s="337"/>
      <c r="N115" s="330"/>
      <c r="O115" s="1664"/>
      <c r="P115" s="1664"/>
    </row>
    <row s="2949" customFormat="1" customHeight="1" ht="0.75" hidden="1">
      <c r="A116" s="1821"/>
      <c r="B116" s="1821"/>
      <c r="C116" s="369" t="s">
        <v>1070</v>
      </c>
      <c r="D116" s="2311"/>
      <c r="E116" s="2056"/>
      <c r="F116" s="2220"/>
      <c r="G116" s="406"/>
      <c r="H116" s="1530"/>
      <c r="I116" s="657"/>
      <c r="J116" s="577"/>
      <c r="K116" s="1530"/>
      <c r="L116" s="200"/>
      <c r="M116" s="337"/>
      <c r="N116" s="330"/>
      <c r="O116" s="1664"/>
      <c r="P116" s="1664"/>
    </row>
    <row s="2949" customFormat="1" customHeight="1" ht="18.75" hidden="1">
      <c r="A117" s="1821" t="s">
        <v>228</v>
      </c>
      <c r="B117" s="1821" t="s">
        <v>229</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294</v>
      </c>
      <c r="M117" s="337"/>
      <c r="N117" s="330"/>
      <c r="O117" s="1664"/>
      <c r="P117" s="1664"/>
    </row>
    <row s="2949" customFormat="1" customHeight="1" ht="18.75" hidden="1">
      <c r="A118" s="1821"/>
      <c r="B118" s="1821"/>
      <c r="C118" s="369" t="s">
        <v>1063</v>
      </c>
      <c r="D118" s="2311"/>
      <c r="E118" s="2056"/>
      <c r="F118" s="2220"/>
      <c r="G118" s="2266"/>
      <c r="H118" s="1530"/>
      <c r="I118" s="657" t="s">
        <v>1062</v>
      </c>
      <c r="J118" s="577"/>
      <c r="K118" s="1530"/>
      <c r="L118" s="200"/>
      <c r="M118" s="337"/>
      <c r="N118" s="330"/>
      <c r="O118" s="1664"/>
      <c r="P118" s="1664"/>
    </row>
    <row s="2949" customFormat="1" customHeight="1" ht="0.75" hidden="1">
      <c r="A119" s="1821"/>
      <c r="B119" s="1821"/>
      <c r="C119" s="369" t="s">
        <v>1070</v>
      </c>
      <c r="D119" s="2311"/>
      <c r="E119" s="2056"/>
      <c r="F119" s="2220"/>
      <c r="G119" s="406"/>
      <c r="H119" s="1530"/>
      <c r="I119" s="657"/>
      <c r="J119" s="577"/>
      <c r="K119" s="1530"/>
      <c r="L119" s="200"/>
      <c r="M119" s="337"/>
      <c r="N119" s="330"/>
      <c r="O119" s="1664"/>
      <c r="P119" s="1664"/>
    </row>
    <row s="2949" customFormat="1" customHeight="1" ht="18.75" hidden="1">
      <c r="A120" s="1821" t="s">
        <v>233</v>
      </c>
      <c r="B120" s="1821" t="s">
        <v>234</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294</v>
      </c>
      <c r="M120" s="337"/>
      <c r="N120" s="330"/>
      <c r="O120" s="1664"/>
      <c r="P120" s="1664"/>
    </row>
    <row s="2949" customFormat="1" customHeight="1" ht="18.75" hidden="1">
      <c r="A121" s="1821"/>
      <c r="B121" s="1821"/>
      <c r="C121" s="369" t="s">
        <v>1063</v>
      </c>
      <c r="D121" s="2311"/>
      <c r="E121" s="2056"/>
      <c r="F121" s="2220"/>
      <c r="G121" s="2266"/>
      <c r="H121" s="1530"/>
      <c r="I121" s="657" t="s">
        <v>1062</v>
      </c>
      <c r="J121" s="577"/>
      <c r="K121" s="1530"/>
      <c r="L121" s="200"/>
      <c r="M121" s="337"/>
      <c r="N121" s="330"/>
      <c r="O121" s="1664"/>
      <c r="P121" s="1664"/>
    </row>
    <row s="2949" customFormat="1" customHeight="1" ht="0.75" hidden="1">
      <c r="A122" s="1821"/>
      <c r="B122" s="1821"/>
      <c r="C122" s="369" t="s">
        <v>1070</v>
      </c>
      <c r="D122" s="2311"/>
      <c r="E122" s="2056"/>
      <c r="F122" s="2220"/>
      <c r="G122" s="406"/>
      <c r="H122" s="1530"/>
      <c r="I122" s="657"/>
      <c r="J122" s="577"/>
      <c r="K122" s="1530"/>
      <c r="L122" s="200"/>
      <c r="M122" s="337"/>
      <c r="N122" s="330"/>
      <c r="O122" s="1664"/>
      <c r="P122" s="1664"/>
    </row>
    <row s="2949" customFormat="1" customHeight="1" ht="18.75" hidden="1">
      <c r="A123" s="1821" t="s">
        <v>238</v>
      </c>
      <c r="B123" s="1821" t="s">
        <v>239</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294</v>
      </c>
      <c r="M123" s="337"/>
      <c r="N123" s="330"/>
      <c r="O123" s="1664"/>
      <c r="P123" s="1664"/>
    </row>
    <row s="2949" customFormat="1" customHeight="1" ht="18.75" hidden="1">
      <c r="A124" s="1821"/>
      <c r="B124" s="1821"/>
      <c r="C124" s="369" t="s">
        <v>1063</v>
      </c>
      <c r="D124" s="2311"/>
      <c r="E124" s="2056"/>
      <c r="F124" s="2220"/>
      <c r="G124" s="2266"/>
      <c r="H124" s="1530"/>
      <c r="I124" s="657" t="s">
        <v>1062</v>
      </c>
      <c r="J124" s="577"/>
      <c r="K124" s="1530"/>
      <c r="L124" s="200"/>
      <c r="M124" s="337"/>
      <c r="N124" s="330"/>
      <c r="O124" s="1664"/>
      <c r="P124" s="1664"/>
    </row>
    <row s="2949" customFormat="1" customHeight="1" ht="0.75" hidden="1">
      <c r="A125" s="1821"/>
      <c r="B125" s="1821"/>
      <c r="C125" s="369" t="s">
        <v>1070</v>
      </c>
      <c r="D125" s="2311"/>
      <c r="E125" s="2056"/>
      <c r="F125" s="2220"/>
      <c r="G125" s="406"/>
      <c r="H125" s="1530"/>
      <c r="I125" s="657"/>
      <c r="J125" s="577"/>
      <c r="K125" s="1530"/>
      <c r="L125" s="200"/>
      <c r="M125" s="337"/>
      <c r="N125" s="330"/>
      <c r="O125" s="1664"/>
      <c r="P125" s="1664"/>
    </row>
    <row s="2949" customFormat="1" customHeight="1" ht="18.75" hidden="1">
      <c r="A126" s="1821" t="s">
        <v>243</v>
      </c>
      <c r="B126" s="1821" t="s">
        <v>244</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294</v>
      </c>
      <c r="M126" s="337"/>
      <c r="N126" s="330"/>
      <c r="O126" s="1664"/>
      <c r="P126" s="1664"/>
    </row>
    <row s="2949" customFormat="1" customHeight="1" ht="18.75" hidden="1">
      <c r="A127" s="1821"/>
      <c r="B127" s="1821"/>
      <c r="C127" s="369" t="s">
        <v>1063</v>
      </c>
      <c r="D127" s="2311"/>
      <c r="E127" s="2056"/>
      <c r="F127" s="2220"/>
      <c r="G127" s="2266"/>
      <c r="H127" s="1530"/>
      <c r="I127" s="657" t="s">
        <v>1062</v>
      </c>
      <c r="J127" s="577"/>
      <c r="K127" s="1530"/>
      <c r="L127" s="200"/>
      <c r="M127" s="337"/>
      <c r="N127" s="330"/>
      <c r="O127" s="1664"/>
      <c r="P127" s="1664"/>
    </row>
    <row s="2949" customFormat="1" customHeight="1" ht="0.75" hidden="1">
      <c r="A128" s="1821"/>
      <c r="B128" s="1821"/>
      <c r="C128" s="369" t="s">
        <v>1070</v>
      </c>
      <c r="D128" s="2311"/>
      <c r="E128" s="2056"/>
      <c r="F128" s="2220"/>
      <c r="G128" s="406"/>
      <c r="H128" s="1530"/>
      <c r="I128" s="657"/>
      <c r="J128" s="577"/>
      <c r="K128" s="1530"/>
      <c r="L128" s="200"/>
      <c r="M128" s="337"/>
      <c r="N128" s="330"/>
      <c r="O128" s="1664"/>
      <c r="P128" s="1664"/>
    </row>
    <row s="2949" customFormat="1" customHeight="1" ht="18.75" hidden="1">
      <c r="A129" s="1821" t="s">
        <v>248</v>
      </c>
      <c r="B129" s="1821" t="s">
        <v>249</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294</v>
      </c>
      <c r="M129" s="337"/>
      <c r="N129" s="330"/>
      <c r="O129" s="1664"/>
      <c r="P129" s="1664"/>
    </row>
    <row s="2949" customFormat="1" customHeight="1" ht="18.75" hidden="1">
      <c r="A130" s="1821"/>
      <c r="B130" s="1821"/>
      <c r="C130" s="369" t="s">
        <v>1063</v>
      </c>
      <c r="D130" s="2311"/>
      <c r="E130" s="2056"/>
      <c r="F130" s="2220"/>
      <c r="G130" s="2266"/>
      <c r="H130" s="1530"/>
      <c r="I130" s="657" t="s">
        <v>1062</v>
      </c>
      <c r="J130" s="577"/>
      <c r="K130" s="1530"/>
      <c r="L130" s="200"/>
      <c r="M130" s="337"/>
      <c r="N130" s="330"/>
      <c r="O130" s="1664"/>
      <c r="P130" s="1664"/>
    </row>
    <row s="2949" customFormat="1" customHeight="1" ht="0.75" hidden="1">
      <c r="A131" s="1821"/>
      <c r="B131" s="1821"/>
      <c r="C131" s="369" t="s">
        <v>1070</v>
      </c>
      <c r="D131" s="2311"/>
      <c r="E131" s="2056"/>
      <c r="F131" s="2220"/>
      <c r="G131" s="406"/>
      <c r="H131" s="1530"/>
      <c r="I131" s="657"/>
      <c r="J131" s="577"/>
      <c r="K131" s="1530"/>
      <c r="L131" s="200"/>
      <c r="M131" s="337"/>
      <c r="N131" s="330"/>
      <c r="O131" s="1664"/>
      <c r="P131" s="1664"/>
    </row>
    <row s="2949" customFormat="1" customHeight="1" ht="18.75" hidden="1">
      <c r="A132" s="1821" t="s">
        <v>253</v>
      </c>
      <c r="B132" s="1821" t="s">
        <v>254</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294</v>
      </c>
      <c r="M132" s="337"/>
      <c r="N132" s="330"/>
      <c r="O132" s="1664"/>
      <c r="P132" s="1664"/>
    </row>
    <row s="2949" customFormat="1" customHeight="1" ht="18.75" hidden="1">
      <c r="A133" s="1821"/>
      <c r="B133" s="1821"/>
      <c r="C133" s="369" t="s">
        <v>1063</v>
      </c>
      <c r="D133" s="2311"/>
      <c r="E133" s="2056"/>
      <c r="F133" s="2220"/>
      <c r="G133" s="2266"/>
      <c r="H133" s="1530"/>
      <c r="I133" s="657" t="s">
        <v>1062</v>
      </c>
      <c r="J133" s="577"/>
      <c r="K133" s="1530"/>
      <c r="L133" s="200"/>
      <c r="M133" s="337"/>
      <c r="N133" s="330"/>
      <c r="O133" s="1664"/>
      <c r="P133" s="1664"/>
    </row>
    <row s="2949" customFormat="1" customHeight="1" ht="0.75" hidden="1">
      <c r="A134" s="1821"/>
      <c r="B134" s="1821"/>
      <c r="C134" s="369" t="s">
        <v>1070</v>
      </c>
      <c r="D134" s="2311"/>
      <c r="E134" s="2056"/>
      <c r="F134" s="2220"/>
      <c r="G134" s="406"/>
      <c r="H134" s="1530"/>
      <c r="I134" s="657"/>
      <c r="J134" s="577"/>
      <c r="K134" s="1530"/>
      <c r="L134" s="200"/>
      <c r="M134" s="337"/>
      <c r="N134" s="330"/>
      <c r="O134" s="1664"/>
      <c r="P134" s="1664"/>
    </row>
    <row s="2949" customFormat="1" customHeight="1" ht="18.75" hidden="1">
      <c r="A135" s="1821" t="s">
        <v>258</v>
      </c>
      <c r="B135" s="1821" t="s">
        <v>259</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294</v>
      </c>
      <c r="M135" s="337"/>
      <c r="N135" s="330"/>
      <c r="O135" s="1664"/>
      <c r="P135" s="1664"/>
    </row>
    <row s="2949" customFormat="1" customHeight="1" ht="18.75" hidden="1">
      <c r="A136" s="1821"/>
      <c r="B136" s="1821"/>
      <c r="C136" s="369" t="s">
        <v>1063</v>
      </c>
      <c r="D136" s="2311"/>
      <c r="E136" s="2056"/>
      <c r="F136" s="2220"/>
      <c r="G136" s="2266"/>
      <c r="H136" s="1530"/>
      <c r="I136" s="657" t="s">
        <v>1062</v>
      </c>
      <c r="J136" s="577"/>
      <c r="K136" s="1530"/>
      <c r="L136" s="200"/>
      <c r="M136" s="337"/>
      <c r="N136" s="330"/>
      <c r="O136" s="1664"/>
      <c r="P136" s="1664"/>
    </row>
    <row s="2949" customFormat="1" customHeight="1" ht="0.75" hidden="1">
      <c r="A137" s="1821"/>
      <c r="B137" s="1821"/>
      <c r="C137" s="369" t="s">
        <v>1070</v>
      </c>
      <c r="D137" s="2311"/>
      <c r="E137" s="2056"/>
      <c r="F137" s="2220"/>
      <c r="G137" s="406"/>
      <c r="H137" s="1530"/>
      <c r="I137" s="657"/>
      <c r="J137" s="577"/>
      <c r="K137" s="1530"/>
      <c r="L137" s="200"/>
      <c r="M137" s="337"/>
      <c r="N137" s="330"/>
      <c r="O137" s="1664"/>
      <c r="P137" s="1664"/>
    </row>
    <row s="2949" customFormat="1" customHeight="1" ht="18.75" hidden="1">
      <c r="A138" s="1821" t="s">
        <v>263</v>
      </c>
      <c r="B138" s="1821" t="s">
        <v>264</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294</v>
      </c>
      <c r="M138" s="337"/>
      <c r="N138" s="330"/>
      <c r="O138" s="1664"/>
      <c r="P138" s="1664"/>
    </row>
    <row s="2949" customFormat="1" customHeight="1" ht="18.75" hidden="1">
      <c r="A139" s="1821"/>
      <c r="B139" s="1821"/>
      <c r="C139" s="369" t="s">
        <v>1063</v>
      </c>
      <c r="D139" s="2311"/>
      <c r="E139" s="2056"/>
      <c r="F139" s="2220"/>
      <c r="G139" s="2266"/>
      <c r="H139" s="1530"/>
      <c r="I139" s="657" t="s">
        <v>1062</v>
      </c>
      <c r="J139" s="577"/>
      <c r="K139" s="1530"/>
      <c r="L139" s="200"/>
      <c r="M139" s="337"/>
      <c r="N139" s="330"/>
      <c r="O139" s="1664"/>
      <c r="P139" s="1664"/>
    </row>
    <row s="2949" customFormat="1" customHeight="1" ht="0.75">
      <c r="A140" s="1821"/>
      <c r="B140" s="1821"/>
      <c r="C140" s="369" t="s">
        <v>1070</v>
      </c>
      <c r="D140" s="2311"/>
      <c r="E140" s="2056"/>
      <c r="F140" s="2220"/>
      <c r="G140" s="406"/>
      <c r="H140" s="1530"/>
      <c r="I140" s="657"/>
      <c r="J140" s="577"/>
      <c r="K140" s="1530"/>
      <c r="L140" s="200"/>
      <c r="M140" s="337"/>
      <c r="N140" s="330"/>
      <c r="O140" s="1664"/>
      <c r="P140" s="1664"/>
    </row>
    <row customHeight="1" ht="18.75">
      <c r="A141" s="1821"/>
      <c r="B141" s="1821"/>
      <c r="D141" s="377"/>
      <c r="E141" s="133" t="s">
        <v>89</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303"/>
      <c r="H141" s="2303"/>
      <c r="I141" s="2303"/>
      <c r="J141" s="2303"/>
      <c r="K141" s="2303"/>
      <c r="L141" s="2303"/>
      <c r="M141" s="285"/>
      <c r="N141" s="330"/>
    </row>
    <row s="2949" customFormat="1" customHeight="1" ht="60.75" hidden="1">
      <c r="A142" s="1821" t="s">
        <v>153</v>
      </c>
      <c r="B142" s="1821" t="s">
        <v>154</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294</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4"/>
      <c r="P142" s="1664"/>
    </row>
    <row s="2949" customFormat="1" customHeight="1" ht="18.75" hidden="1">
      <c r="A143" s="1821"/>
      <c r="B143" s="1821"/>
      <c r="C143" s="369" t="s">
        <v>1063</v>
      </c>
      <c r="D143" s="2311"/>
      <c r="E143" s="2056"/>
      <c r="F143" s="2220"/>
      <c r="G143" s="2266"/>
      <c r="H143" s="1530"/>
      <c r="I143" s="657" t="s">
        <v>1062</v>
      </c>
      <c r="J143" s="577"/>
      <c r="K143" s="1530"/>
      <c r="L143" s="200"/>
      <c r="M143" s="2016"/>
      <c r="N143" s="330"/>
      <c r="O143" s="1664"/>
      <c r="P143" s="1664"/>
    </row>
    <row s="2949" customFormat="1" customHeight="1" ht="0.75" hidden="1">
      <c r="A144" s="1821"/>
      <c r="B144" s="1821"/>
      <c r="C144" s="369" t="s">
        <v>1070</v>
      </c>
      <c r="D144" s="2311"/>
      <c r="E144" s="2056"/>
      <c r="F144" s="2220"/>
      <c r="G144" s="406"/>
      <c r="H144" s="1530"/>
      <c r="I144" s="657"/>
      <c r="J144" s="577"/>
      <c r="K144" s="1530"/>
      <c r="L144" s="200"/>
      <c r="M144" s="2016"/>
      <c r="N144" s="330"/>
      <c r="O144" s="1664"/>
      <c r="P144" s="1664"/>
    </row>
    <row s="2949" customFormat="1" customHeight="1" ht="45" hidden="1">
      <c r="A145" s="1821" t="s">
        <v>159</v>
      </c>
      <c r="B145" s="1821" t="s">
        <v>160</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294</v>
      </c>
      <c r="M145" s="2017"/>
      <c r="N145" s="330"/>
      <c r="O145" s="1664"/>
      <c r="P145" s="1664"/>
    </row>
    <row s="2949" customFormat="1" customHeight="1" ht="18.75" hidden="1">
      <c r="A146" s="1821"/>
      <c r="B146" s="1821"/>
      <c r="C146" s="369" t="s">
        <v>1063</v>
      </c>
      <c r="D146" s="2311"/>
      <c r="E146" s="2056"/>
      <c r="F146" s="2220"/>
      <c r="G146" s="2266"/>
      <c r="H146" s="1530"/>
      <c r="I146" s="657" t="s">
        <v>1062</v>
      </c>
      <c r="J146" s="577"/>
      <c r="K146" s="1530"/>
      <c r="L146" s="200"/>
      <c r="M146" s="1904"/>
      <c r="N146" s="330"/>
      <c r="O146" s="1664"/>
      <c r="P146" s="1664"/>
    </row>
    <row s="2949" customFormat="1" customHeight="1" ht="0.75" hidden="1">
      <c r="A147" s="1821"/>
      <c r="B147" s="1821"/>
      <c r="C147" s="369" t="s">
        <v>1070</v>
      </c>
      <c r="D147" s="2311"/>
      <c r="E147" s="2056"/>
      <c r="F147" s="2220"/>
      <c r="G147" s="406"/>
      <c r="H147" s="1530"/>
      <c r="I147" s="657"/>
      <c r="J147" s="577"/>
      <c r="K147" s="1530"/>
      <c r="L147" s="200"/>
      <c r="M147" s="337"/>
      <c r="N147" s="330"/>
      <c r="O147" s="1664"/>
      <c r="P147" s="1664"/>
    </row>
    <row s="2949" customFormat="1" customHeight="1" ht="45" hidden="1">
      <c r="A148" s="1821" t="s">
        <v>165</v>
      </c>
      <c r="B148" s="1821" t="s">
        <v>166</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294</v>
      </c>
      <c r="M148" s="337"/>
      <c r="N148" s="330"/>
      <c r="O148" s="1664"/>
      <c r="P148" s="1664"/>
    </row>
    <row s="2949" customFormat="1" customHeight="1" ht="18.75" hidden="1">
      <c r="A149" s="1821"/>
      <c r="B149" s="1821"/>
      <c r="C149" s="369" t="s">
        <v>1063</v>
      </c>
      <c r="D149" s="2311"/>
      <c r="E149" s="2056"/>
      <c r="F149" s="2220"/>
      <c r="G149" s="2266"/>
      <c r="H149" s="1530"/>
      <c r="I149" s="657" t="s">
        <v>1062</v>
      </c>
      <c r="J149" s="577"/>
      <c r="K149" s="1530"/>
      <c r="L149" s="200"/>
      <c r="M149" s="337"/>
      <c r="N149" s="330"/>
      <c r="O149" s="1664"/>
      <c r="P149" s="1664"/>
    </row>
    <row s="2949" customFormat="1" customHeight="1" ht="0.75" hidden="1">
      <c r="A150" s="1821"/>
      <c r="B150" s="1821"/>
      <c r="C150" s="369" t="s">
        <v>1070</v>
      </c>
      <c r="D150" s="2311"/>
      <c r="E150" s="2056"/>
      <c r="F150" s="2220"/>
      <c r="G150" s="406"/>
      <c r="H150" s="1530"/>
      <c r="I150" s="657"/>
      <c r="J150" s="577"/>
      <c r="K150" s="1530"/>
      <c r="L150" s="200"/>
      <c r="M150" s="337"/>
      <c r="N150" s="330"/>
      <c r="O150" s="1664"/>
      <c r="P150" s="1664"/>
    </row>
    <row s="2949" customFormat="1" customHeight="1" ht="45" hidden="1">
      <c r="A151" s="1821" t="s">
        <v>171</v>
      </c>
      <c r="B151" s="1821" t="s">
        <v>172</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294</v>
      </c>
      <c r="M151" s="337"/>
      <c r="N151" s="330"/>
      <c r="O151" s="1664"/>
      <c r="P151" s="1664"/>
    </row>
    <row s="2949" customFormat="1" customHeight="1" ht="18.75" hidden="1">
      <c r="A152" s="1821"/>
      <c r="B152" s="1821"/>
      <c r="C152" s="369" t="s">
        <v>1063</v>
      </c>
      <c r="D152" s="2311"/>
      <c r="E152" s="2056"/>
      <c r="F152" s="2220"/>
      <c r="G152" s="2266"/>
      <c r="H152" s="1530"/>
      <c r="I152" s="657" t="s">
        <v>1062</v>
      </c>
      <c r="J152" s="577"/>
      <c r="K152" s="1530"/>
      <c r="L152" s="200"/>
      <c r="M152" s="337"/>
      <c r="N152" s="330"/>
      <c r="O152" s="1664"/>
      <c r="P152" s="1664"/>
    </row>
    <row s="2949" customFormat="1" customHeight="1" ht="0.75" hidden="1">
      <c r="A153" s="1821"/>
      <c r="B153" s="1821"/>
      <c r="C153" s="369" t="s">
        <v>1070</v>
      </c>
      <c r="D153" s="2311"/>
      <c r="E153" s="2056"/>
      <c r="F153" s="2220"/>
      <c r="G153" s="406"/>
      <c r="H153" s="1530"/>
      <c r="I153" s="657"/>
      <c r="J153" s="577"/>
      <c r="K153" s="1530"/>
      <c r="L153" s="200"/>
      <c r="M153" s="337"/>
      <c r="N153" s="330"/>
      <c r="O153" s="1664"/>
      <c r="P153" s="1664"/>
    </row>
    <row s="2949" customFormat="1" customHeight="1" ht="18.75" hidden="1">
      <c r="A154" s="1821" t="s">
        <v>177</v>
      </c>
      <c r="B154" s="1821" t="s">
        <v>178</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294</v>
      </c>
      <c r="M154" s="337"/>
      <c r="N154" s="330"/>
      <c r="O154" s="1664"/>
      <c r="P154" s="1664"/>
    </row>
    <row s="2949" customFormat="1" customHeight="1" ht="18.75" hidden="1">
      <c r="A155" s="1821"/>
      <c r="B155" s="1821"/>
      <c r="C155" s="369" t="s">
        <v>1063</v>
      </c>
      <c r="D155" s="2311"/>
      <c r="E155" s="2056"/>
      <c r="F155" s="2220"/>
      <c r="G155" s="2266"/>
      <c r="H155" s="1530"/>
      <c r="I155" s="657" t="s">
        <v>1062</v>
      </c>
      <c r="J155" s="577"/>
      <c r="K155" s="1530"/>
      <c r="L155" s="200"/>
      <c r="M155" s="337"/>
      <c r="N155" s="330"/>
      <c r="O155" s="1664"/>
      <c r="P155" s="1664"/>
    </row>
    <row s="2949" customFormat="1" customHeight="1" ht="0.75" hidden="1">
      <c r="A156" s="1821"/>
      <c r="B156" s="1821"/>
      <c r="C156" s="369" t="s">
        <v>1070</v>
      </c>
      <c r="D156" s="2311"/>
      <c r="E156" s="2056"/>
      <c r="F156" s="2220"/>
      <c r="G156" s="406"/>
      <c r="H156" s="1530"/>
      <c r="I156" s="657"/>
      <c r="J156" s="577"/>
      <c r="K156" s="1530"/>
      <c r="L156" s="200"/>
      <c r="M156" s="337"/>
      <c r="N156" s="330"/>
      <c r="O156" s="1664"/>
      <c r="P156" s="1664"/>
    </row>
    <row s="2949" customFormat="1" customHeight="1" ht="18.75" hidden="1">
      <c r="A157" s="1821" t="s">
        <v>183</v>
      </c>
      <c r="B157" s="1821" t="s">
        <v>184</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294</v>
      </c>
      <c r="M157" s="337"/>
      <c r="N157" s="330"/>
      <c r="O157" s="1664"/>
      <c r="P157" s="1664"/>
    </row>
    <row s="2949" customFormat="1" customHeight="1" ht="18.75" hidden="1">
      <c r="A158" s="1821"/>
      <c r="B158" s="1821"/>
      <c r="C158" s="369" t="s">
        <v>1063</v>
      </c>
      <c r="D158" s="2311"/>
      <c r="E158" s="2056"/>
      <c r="F158" s="2220"/>
      <c r="G158" s="2266"/>
      <c r="H158" s="1530"/>
      <c r="I158" s="657" t="s">
        <v>1062</v>
      </c>
      <c r="J158" s="577"/>
      <c r="K158" s="1530"/>
      <c r="L158" s="200"/>
      <c r="M158" s="337"/>
      <c r="N158" s="330"/>
      <c r="O158" s="1664"/>
      <c r="P158" s="1664"/>
    </row>
    <row s="2949" customFormat="1" customHeight="1" ht="0.75" hidden="1">
      <c r="A159" s="1821"/>
      <c r="B159" s="1821"/>
      <c r="C159" s="369" t="s">
        <v>1070</v>
      </c>
      <c r="D159" s="2311"/>
      <c r="E159" s="2056"/>
      <c r="F159" s="2220"/>
      <c r="G159" s="406"/>
      <c r="H159" s="1530"/>
      <c r="I159" s="657"/>
      <c r="J159" s="577"/>
      <c r="K159" s="1530"/>
      <c r="L159" s="200"/>
      <c r="M159" s="337"/>
      <c r="N159" s="330"/>
      <c r="O159" s="1664"/>
      <c r="P159" s="1664"/>
    </row>
    <row s="2949" customFormat="1" customHeight="1" ht="18.75" hidden="1">
      <c r="A160" s="1821" t="s">
        <v>189</v>
      </c>
      <c r="B160" s="1821" t="s">
        <v>190</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294</v>
      </c>
      <c r="M160" s="337"/>
      <c r="N160" s="330"/>
      <c r="O160" s="1664"/>
      <c r="P160" s="1664"/>
    </row>
    <row s="2949" customFormat="1" customHeight="1" ht="18.75" hidden="1">
      <c r="A161" s="1821"/>
      <c r="B161" s="1821"/>
      <c r="C161" s="369" t="s">
        <v>1063</v>
      </c>
      <c r="D161" s="2311"/>
      <c r="E161" s="2056"/>
      <c r="F161" s="2220"/>
      <c r="G161" s="2266"/>
      <c r="H161" s="1530"/>
      <c r="I161" s="657" t="s">
        <v>1062</v>
      </c>
      <c r="J161" s="577"/>
      <c r="K161" s="1530"/>
      <c r="L161" s="200"/>
      <c r="M161" s="337"/>
      <c r="N161" s="330"/>
      <c r="O161" s="1664"/>
      <c r="P161" s="1664"/>
    </row>
    <row s="2949" customFormat="1" customHeight="1" ht="0.75" hidden="1">
      <c r="A162" s="1821"/>
      <c r="B162" s="1821"/>
      <c r="C162" s="369" t="s">
        <v>1070</v>
      </c>
      <c r="D162" s="2311"/>
      <c r="E162" s="2056"/>
      <c r="F162" s="2220"/>
      <c r="G162" s="406"/>
      <c r="H162" s="1530"/>
      <c r="I162" s="657"/>
      <c r="J162" s="577"/>
      <c r="K162" s="1530"/>
      <c r="L162" s="200"/>
      <c r="M162" s="337"/>
      <c r="N162" s="330"/>
      <c r="O162" s="1664"/>
      <c r="P162" s="1664"/>
    </row>
    <row s="2949" customFormat="1" customHeight="1" ht="18.75" hidden="1">
      <c r="A163" s="1821" t="s">
        <v>195</v>
      </c>
      <c r="B163" s="1821" t="s">
        <v>196</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294</v>
      </c>
      <c r="M163" s="337"/>
      <c r="N163" s="330"/>
      <c r="O163" s="1664"/>
      <c r="P163" s="1664"/>
    </row>
    <row s="2949" customFormat="1" customHeight="1" ht="18.75" hidden="1">
      <c r="A164" s="1821"/>
      <c r="B164" s="1821"/>
      <c r="C164" s="369" t="s">
        <v>1063</v>
      </c>
      <c r="D164" s="2311"/>
      <c r="E164" s="2056"/>
      <c r="F164" s="2220"/>
      <c r="G164" s="2266"/>
      <c r="H164" s="1530"/>
      <c r="I164" s="657" t="s">
        <v>1062</v>
      </c>
      <c r="J164" s="577"/>
      <c r="K164" s="1530"/>
      <c r="L164" s="200"/>
      <c r="M164" s="337"/>
      <c r="N164" s="330"/>
      <c r="O164" s="1664"/>
      <c r="P164" s="1664"/>
    </row>
    <row s="2949" customFormat="1" customHeight="1" ht="0.75" hidden="1">
      <c r="A165" s="1821"/>
      <c r="B165" s="1821"/>
      <c r="C165" s="369" t="s">
        <v>1070</v>
      </c>
      <c r="D165" s="2311"/>
      <c r="E165" s="2056"/>
      <c r="F165" s="2220"/>
      <c r="G165" s="406"/>
      <c r="H165" s="1530"/>
      <c r="I165" s="657"/>
      <c r="J165" s="577"/>
      <c r="K165" s="1530"/>
      <c r="L165" s="200"/>
      <c r="M165" s="337"/>
      <c r="N165" s="330"/>
      <c r="O165" s="1664"/>
      <c r="P165" s="1664"/>
    </row>
    <row s="2949" customFormat="1" customHeight="1" ht="18.75" hidden="1">
      <c r="A166" s="1821" t="s">
        <v>210</v>
      </c>
      <c r="B166" s="1821" t="s">
        <v>211</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Тариф на питьевую воду (питьевое водоснабжение)</v>
      </c>
      <c r="H166" s="1905"/>
      <c r="I166" s="1779"/>
      <c r="J166" s="1814"/>
      <c r="K166" s="1819"/>
      <c r="L166" s="1905" t="s">
        <v>294</v>
      </c>
      <c r="M166" s="337"/>
      <c r="N166" s="330"/>
      <c r="O166" s="1664"/>
      <c r="P166" s="1664"/>
    </row>
    <row s="2949" customFormat="1" customHeight="1" ht="18.75" hidden="1">
      <c r="A167" s="1821"/>
      <c r="B167" s="1821"/>
      <c r="C167" s="369" t="s">
        <v>1063</v>
      </c>
      <c r="D167" s="2311"/>
      <c r="E167" s="2056"/>
      <c r="F167" s="2220"/>
      <c r="G167" s="2266"/>
      <c r="H167" s="1530"/>
      <c r="I167" s="657" t="s">
        <v>1062</v>
      </c>
      <c r="J167" s="577"/>
      <c r="K167" s="1530"/>
      <c r="L167" s="200"/>
      <c r="M167" s="337"/>
      <c r="N167" s="330"/>
      <c r="O167" s="1664"/>
      <c r="P167" s="1664"/>
    </row>
    <row s="2949" customFormat="1" customHeight="1" ht="0.75" hidden="1">
      <c r="A168" s="1821"/>
      <c r="B168" s="1821"/>
      <c r="C168" s="369" t="s">
        <v>1070</v>
      </c>
      <c r="D168" s="2311"/>
      <c r="E168" s="2056"/>
      <c r="F168" s="2220"/>
      <c r="G168" s="406"/>
      <c r="H168" s="1530"/>
      <c r="I168" s="657"/>
      <c r="J168" s="577"/>
      <c r="K168" s="1530"/>
      <c r="L168" s="200"/>
      <c r="M168" s="337"/>
      <c r="N168" s="330"/>
      <c r="O168" s="1664"/>
      <c r="P168" s="1664"/>
    </row>
    <row s="2949" customFormat="1" customHeight="1" ht="18.75" hidden="1">
      <c r="A169" s="1821" t="s">
        <v>218</v>
      </c>
      <c r="B169" s="1821" t="s">
        <v>219</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294</v>
      </c>
      <c r="M169" s="337"/>
      <c r="N169" s="330"/>
      <c r="O169" s="1664"/>
      <c r="P169" s="1664"/>
    </row>
    <row s="2949" customFormat="1" customHeight="1" ht="18.75" hidden="1">
      <c r="A170" s="1821"/>
      <c r="B170" s="1821"/>
      <c r="C170" s="369" t="s">
        <v>1063</v>
      </c>
      <c r="D170" s="2311"/>
      <c r="E170" s="2056"/>
      <c r="F170" s="2220"/>
      <c r="G170" s="2266"/>
      <c r="H170" s="1530"/>
      <c r="I170" s="657" t="s">
        <v>1062</v>
      </c>
      <c r="J170" s="577"/>
      <c r="K170" s="1530"/>
      <c r="L170" s="200"/>
      <c r="M170" s="337"/>
      <c r="N170" s="330"/>
      <c r="O170" s="1664"/>
      <c r="P170" s="1664"/>
    </row>
    <row s="2949" customFormat="1" customHeight="1" ht="0.75" hidden="1">
      <c r="A171" s="1821"/>
      <c r="B171" s="1821"/>
      <c r="C171" s="369" t="s">
        <v>1070</v>
      </c>
      <c r="D171" s="2311"/>
      <c r="E171" s="2056"/>
      <c r="F171" s="2220"/>
      <c r="G171" s="406"/>
      <c r="H171" s="1530"/>
      <c r="I171" s="657"/>
      <c r="J171" s="577"/>
      <c r="K171" s="1530"/>
      <c r="L171" s="200"/>
      <c r="M171" s="337"/>
      <c r="N171" s="330"/>
      <c r="O171" s="1664"/>
      <c r="P171" s="1664"/>
    </row>
    <row s="2949" customFormat="1" customHeight="1" ht="18.75" hidden="1">
      <c r="A172" s="1821" t="s">
        <v>223</v>
      </c>
      <c r="B172" s="1821" t="s">
        <v>224</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294</v>
      </c>
      <c r="M172" s="337"/>
      <c r="N172" s="330"/>
      <c r="O172" s="1664"/>
      <c r="P172" s="1664"/>
    </row>
    <row s="2949" customFormat="1" customHeight="1" ht="18.75" hidden="1">
      <c r="A173" s="1821"/>
      <c r="B173" s="1821"/>
      <c r="C173" s="369" t="s">
        <v>1063</v>
      </c>
      <c r="D173" s="2311"/>
      <c r="E173" s="2056"/>
      <c r="F173" s="2220"/>
      <c r="G173" s="2266"/>
      <c r="H173" s="1530"/>
      <c r="I173" s="657" t="s">
        <v>1062</v>
      </c>
      <c r="J173" s="577"/>
      <c r="K173" s="1530"/>
      <c r="L173" s="200"/>
      <c r="M173" s="337"/>
      <c r="N173" s="330"/>
      <c r="O173" s="1664"/>
      <c r="P173" s="1664"/>
    </row>
    <row s="2949" customFormat="1" customHeight="1" ht="0.75" hidden="1">
      <c r="A174" s="1821"/>
      <c r="B174" s="1821"/>
      <c r="C174" s="369" t="s">
        <v>1070</v>
      </c>
      <c r="D174" s="2311"/>
      <c r="E174" s="2056"/>
      <c r="F174" s="2220"/>
      <c r="G174" s="406"/>
      <c r="H174" s="1530"/>
      <c r="I174" s="657"/>
      <c r="J174" s="577"/>
      <c r="K174" s="1530"/>
      <c r="L174" s="200"/>
      <c r="M174" s="337"/>
      <c r="N174" s="330"/>
      <c r="O174" s="1664"/>
      <c r="P174" s="1664"/>
    </row>
    <row s="2949" customFormat="1" customHeight="1" ht="18.75" hidden="1">
      <c r="A175" s="1821" t="s">
        <v>228</v>
      </c>
      <c r="B175" s="1821" t="s">
        <v>229</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294</v>
      </c>
      <c r="M175" s="337"/>
      <c r="N175" s="330"/>
      <c r="O175" s="1664"/>
      <c r="P175" s="1664"/>
    </row>
    <row s="2949" customFormat="1" customHeight="1" ht="18.75" hidden="1">
      <c r="A176" s="1821"/>
      <c r="B176" s="1821"/>
      <c r="C176" s="369" t="s">
        <v>1063</v>
      </c>
      <c r="D176" s="2311"/>
      <c r="E176" s="2056"/>
      <c r="F176" s="2220"/>
      <c r="G176" s="2266"/>
      <c r="H176" s="1530"/>
      <c r="I176" s="657" t="s">
        <v>1062</v>
      </c>
      <c r="J176" s="577"/>
      <c r="K176" s="1530"/>
      <c r="L176" s="200"/>
      <c r="M176" s="337"/>
      <c r="N176" s="330"/>
      <c r="O176" s="1664"/>
      <c r="P176" s="1664"/>
    </row>
    <row s="2949" customFormat="1" customHeight="1" ht="0.75" hidden="1">
      <c r="A177" s="1821"/>
      <c r="B177" s="1821"/>
      <c r="C177" s="369" t="s">
        <v>1070</v>
      </c>
      <c r="D177" s="2311"/>
      <c r="E177" s="2056"/>
      <c r="F177" s="2220"/>
      <c r="G177" s="406"/>
      <c r="H177" s="1530"/>
      <c r="I177" s="657"/>
      <c r="J177" s="577"/>
      <c r="K177" s="1530"/>
      <c r="L177" s="200"/>
      <c r="M177" s="337"/>
      <c r="N177" s="330"/>
      <c r="O177" s="1664"/>
      <c r="P177" s="1664"/>
    </row>
    <row s="2949" customFormat="1" customHeight="1" ht="18.75" hidden="1">
      <c r="A178" s="1821" t="s">
        <v>233</v>
      </c>
      <c r="B178" s="1821" t="s">
        <v>234</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294</v>
      </c>
      <c r="M178" s="337"/>
      <c r="N178" s="330"/>
      <c r="O178" s="1664"/>
      <c r="P178" s="1664"/>
    </row>
    <row s="2949" customFormat="1" customHeight="1" ht="18.75" hidden="1">
      <c r="A179" s="1821"/>
      <c r="B179" s="1821"/>
      <c r="C179" s="369" t="s">
        <v>1063</v>
      </c>
      <c r="D179" s="2311"/>
      <c r="E179" s="2056"/>
      <c r="F179" s="2220"/>
      <c r="G179" s="2266"/>
      <c r="H179" s="1530"/>
      <c r="I179" s="657" t="s">
        <v>1062</v>
      </c>
      <c r="J179" s="577"/>
      <c r="K179" s="1530"/>
      <c r="L179" s="200"/>
      <c r="M179" s="337"/>
      <c r="N179" s="330"/>
      <c r="O179" s="1664"/>
      <c r="P179" s="1664"/>
    </row>
    <row s="2949" customFormat="1" customHeight="1" ht="0.75" hidden="1">
      <c r="A180" s="1821"/>
      <c r="B180" s="1821"/>
      <c r="C180" s="369" t="s">
        <v>1070</v>
      </c>
      <c r="D180" s="2311"/>
      <c r="E180" s="2056"/>
      <c r="F180" s="2220"/>
      <c r="G180" s="406"/>
      <c r="H180" s="1530"/>
      <c r="I180" s="657"/>
      <c r="J180" s="577"/>
      <c r="K180" s="1530"/>
      <c r="L180" s="200"/>
      <c r="M180" s="337"/>
      <c r="N180" s="330"/>
      <c r="O180" s="1664"/>
      <c r="P180" s="1664"/>
    </row>
    <row s="2949" customFormat="1" customHeight="1" ht="18.75" hidden="1">
      <c r="A181" s="1821" t="s">
        <v>238</v>
      </c>
      <c r="B181" s="1821" t="s">
        <v>239</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294</v>
      </c>
      <c r="M181" s="337"/>
      <c r="N181" s="330"/>
      <c r="O181" s="1664"/>
      <c r="P181" s="1664"/>
    </row>
    <row s="2949" customFormat="1" customHeight="1" ht="18.75" hidden="1">
      <c r="A182" s="1821"/>
      <c r="B182" s="1821"/>
      <c r="C182" s="369" t="s">
        <v>1063</v>
      </c>
      <c r="D182" s="2311"/>
      <c r="E182" s="2056"/>
      <c r="F182" s="2220"/>
      <c r="G182" s="2266"/>
      <c r="H182" s="1530"/>
      <c r="I182" s="657" t="s">
        <v>1062</v>
      </c>
      <c r="J182" s="577"/>
      <c r="K182" s="1530"/>
      <c r="L182" s="200"/>
      <c r="M182" s="337"/>
      <c r="N182" s="330"/>
      <c r="O182" s="1664"/>
      <c r="P182" s="1664"/>
    </row>
    <row s="2949" customFormat="1" customHeight="1" ht="0.75" hidden="1">
      <c r="A183" s="1821"/>
      <c r="B183" s="1821"/>
      <c r="C183" s="369" t="s">
        <v>1070</v>
      </c>
      <c r="D183" s="2311"/>
      <c r="E183" s="2056"/>
      <c r="F183" s="2220"/>
      <c r="G183" s="406"/>
      <c r="H183" s="1530"/>
      <c r="I183" s="657"/>
      <c r="J183" s="577"/>
      <c r="K183" s="1530"/>
      <c r="L183" s="200"/>
      <c r="M183" s="337"/>
      <c r="N183" s="330"/>
      <c r="O183" s="1664"/>
      <c r="P183" s="1664"/>
    </row>
    <row s="2949" customFormat="1" customHeight="1" ht="18.75" hidden="1">
      <c r="A184" s="1821" t="s">
        <v>243</v>
      </c>
      <c r="B184" s="1821" t="s">
        <v>244</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294</v>
      </c>
      <c r="M184" s="337"/>
      <c r="N184" s="330"/>
      <c r="O184" s="1664"/>
      <c r="P184" s="1664"/>
    </row>
    <row s="2949" customFormat="1" customHeight="1" ht="18.75" hidden="1">
      <c r="A185" s="1821"/>
      <c r="B185" s="1821"/>
      <c r="C185" s="369" t="s">
        <v>1063</v>
      </c>
      <c r="D185" s="2311"/>
      <c r="E185" s="2056"/>
      <c r="F185" s="2220"/>
      <c r="G185" s="2266"/>
      <c r="H185" s="1530"/>
      <c r="I185" s="657" t="s">
        <v>1062</v>
      </c>
      <c r="J185" s="577"/>
      <c r="K185" s="1530"/>
      <c r="L185" s="200"/>
      <c r="M185" s="337"/>
      <c r="N185" s="330"/>
      <c r="O185" s="1664"/>
      <c r="P185" s="1664"/>
    </row>
    <row s="2949" customFormat="1" customHeight="1" ht="0.75" hidden="1">
      <c r="A186" s="1821"/>
      <c r="B186" s="1821"/>
      <c r="C186" s="369" t="s">
        <v>1070</v>
      </c>
      <c r="D186" s="2311"/>
      <c r="E186" s="2056"/>
      <c r="F186" s="2220"/>
      <c r="G186" s="406"/>
      <c r="H186" s="1530"/>
      <c r="I186" s="657"/>
      <c r="J186" s="577"/>
      <c r="K186" s="1530"/>
      <c r="L186" s="200"/>
      <c r="M186" s="337"/>
      <c r="N186" s="330"/>
      <c r="O186" s="1664"/>
      <c r="P186" s="1664"/>
    </row>
    <row s="2949" customFormat="1" customHeight="1" ht="18.75" hidden="1">
      <c r="A187" s="1821" t="s">
        <v>248</v>
      </c>
      <c r="B187" s="1821" t="s">
        <v>249</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294</v>
      </c>
      <c r="M187" s="337"/>
      <c r="N187" s="330"/>
      <c r="O187" s="1664"/>
      <c r="P187" s="1664"/>
    </row>
    <row s="2949" customFormat="1" customHeight="1" ht="18.75" hidden="1">
      <c r="A188" s="1821"/>
      <c r="B188" s="1821"/>
      <c r="C188" s="369" t="s">
        <v>1063</v>
      </c>
      <c r="D188" s="2311"/>
      <c r="E188" s="2056"/>
      <c r="F188" s="2220"/>
      <c r="G188" s="2266"/>
      <c r="H188" s="1530"/>
      <c r="I188" s="657" t="s">
        <v>1062</v>
      </c>
      <c r="J188" s="577"/>
      <c r="K188" s="1530"/>
      <c r="L188" s="200"/>
      <c r="M188" s="337"/>
      <c r="N188" s="330"/>
      <c r="O188" s="1664"/>
      <c r="P188" s="1664"/>
    </row>
    <row s="2949" customFormat="1" customHeight="1" ht="0.75" hidden="1">
      <c r="A189" s="1821"/>
      <c r="B189" s="1821"/>
      <c r="C189" s="369" t="s">
        <v>1070</v>
      </c>
      <c r="D189" s="2311"/>
      <c r="E189" s="2056"/>
      <c r="F189" s="2220"/>
      <c r="G189" s="406"/>
      <c r="H189" s="1530"/>
      <c r="I189" s="657"/>
      <c r="J189" s="577"/>
      <c r="K189" s="1530"/>
      <c r="L189" s="200"/>
      <c r="M189" s="337"/>
      <c r="N189" s="330"/>
      <c r="O189" s="1664"/>
      <c r="P189" s="1664"/>
    </row>
    <row s="2949" customFormat="1" customHeight="1" ht="18.75" hidden="1">
      <c r="A190" s="1821" t="s">
        <v>253</v>
      </c>
      <c r="B190" s="1821" t="s">
        <v>254</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294</v>
      </c>
      <c r="M190" s="337"/>
      <c r="N190" s="330"/>
      <c r="O190" s="1664"/>
      <c r="P190" s="1664"/>
    </row>
    <row s="2949" customFormat="1" customHeight="1" ht="18.75" hidden="1">
      <c r="A191" s="1821"/>
      <c r="B191" s="1821"/>
      <c r="C191" s="369" t="s">
        <v>1063</v>
      </c>
      <c r="D191" s="2311"/>
      <c r="E191" s="2056"/>
      <c r="F191" s="2220"/>
      <c r="G191" s="2266"/>
      <c r="H191" s="1530"/>
      <c r="I191" s="657" t="s">
        <v>1062</v>
      </c>
      <c r="J191" s="577"/>
      <c r="K191" s="1530"/>
      <c r="L191" s="200"/>
      <c r="M191" s="337"/>
      <c r="N191" s="330"/>
      <c r="O191" s="1664"/>
      <c r="P191" s="1664"/>
    </row>
    <row s="2949" customFormat="1" customHeight="1" ht="0.75" hidden="1">
      <c r="A192" s="1821"/>
      <c r="B192" s="1821"/>
      <c r="C192" s="369" t="s">
        <v>1070</v>
      </c>
      <c r="D192" s="2311"/>
      <c r="E192" s="2056"/>
      <c r="F192" s="2220"/>
      <c r="G192" s="406"/>
      <c r="H192" s="1530"/>
      <c r="I192" s="657"/>
      <c r="J192" s="577"/>
      <c r="K192" s="1530"/>
      <c r="L192" s="200"/>
      <c r="M192" s="337"/>
      <c r="N192" s="330"/>
      <c r="O192" s="1664"/>
      <c r="P192" s="1664"/>
    </row>
    <row s="2949" customFormat="1" customHeight="1" ht="18.75" hidden="1">
      <c r="A193" s="1821" t="s">
        <v>258</v>
      </c>
      <c r="B193" s="1821" t="s">
        <v>259</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294</v>
      </c>
      <c r="M193" s="337"/>
      <c r="N193" s="330"/>
      <c r="O193" s="1664"/>
      <c r="P193" s="1664"/>
    </row>
    <row s="2949" customFormat="1" customHeight="1" ht="18.75" hidden="1">
      <c r="A194" s="1821"/>
      <c r="B194" s="1821"/>
      <c r="C194" s="369" t="s">
        <v>1063</v>
      </c>
      <c r="D194" s="2311"/>
      <c r="E194" s="2056"/>
      <c r="F194" s="2220"/>
      <c r="G194" s="2266"/>
      <c r="H194" s="1530"/>
      <c r="I194" s="657" t="s">
        <v>1062</v>
      </c>
      <c r="J194" s="577"/>
      <c r="K194" s="1530"/>
      <c r="L194" s="200"/>
      <c r="M194" s="337"/>
      <c r="N194" s="330"/>
      <c r="O194" s="1664"/>
      <c r="P194" s="1664"/>
    </row>
    <row s="2949" customFormat="1" customHeight="1" ht="0.75" hidden="1">
      <c r="A195" s="1821"/>
      <c r="B195" s="1821"/>
      <c r="C195" s="369" t="s">
        <v>1070</v>
      </c>
      <c r="D195" s="2311"/>
      <c r="E195" s="2056"/>
      <c r="F195" s="2220"/>
      <c r="G195" s="406"/>
      <c r="H195" s="1530"/>
      <c r="I195" s="657"/>
      <c r="J195" s="577"/>
      <c r="K195" s="1530"/>
      <c r="L195" s="200"/>
      <c r="M195" s="337"/>
      <c r="N195" s="330"/>
      <c r="O195" s="1664"/>
      <c r="P195" s="1664"/>
    </row>
    <row s="2949" customFormat="1" customHeight="1" ht="18.75" hidden="1">
      <c r="A196" s="1821" t="s">
        <v>263</v>
      </c>
      <c r="B196" s="1821" t="s">
        <v>264</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294</v>
      </c>
      <c r="M196" s="337"/>
      <c r="N196" s="330"/>
      <c r="O196" s="1664"/>
      <c r="P196" s="1664"/>
    </row>
    <row s="2949" customFormat="1" customHeight="1" ht="18.75" hidden="1">
      <c r="A197" s="1821"/>
      <c r="B197" s="1821"/>
      <c r="C197" s="369" t="s">
        <v>1063</v>
      </c>
      <c r="D197" s="2311"/>
      <c r="E197" s="2056"/>
      <c r="F197" s="2220"/>
      <c r="G197" s="2266"/>
      <c r="H197" s="1530"/>
      <c r="I197" s="657" t="s">
        <v>1062</v>
      </c>
      <c r="J197" s="577"/>
      <c r="K197" s="1530"/>
      <c r="L197" s="200"/>
      <c r="M197" s="337"/>
      <c r="N197" s="330"/>
      <c r="O197" s="1664"/>
      <c r="P197" s="1664"/>
    </row>
    <row s="2949" customFormat="1" customHeight="1" ht="0.75">
      <c r="A198" s="1821"/>
      <c r="B198" s="1821"/>
      <c r="C198" s="369" t="s">
        <v>1070</v>
      </c>
      <c r="D198" s="2311"/>
      <c r="E198" s="2056"/>
      <c r="F198" s="2220"/>
      <c r="G198" s="406"/>
      <c r="H198" s="1530"/>
      <c r="I198" s="657"/>
      <c r="J198" s="577"/>
      <c r="K198" s="1530"/>
      <c r="L198" s="200"/>
      <c r="M198" s="337"/>
      <c r="N198" s="330"/>
      <c r="O198" s="1664"/>
      <c r="P198" s="1664"/>
    </row>
    <row customHeight="1" ht="26.25">
      <c r="A199" s="1821"/>
      <c r="B199" s="1821"/>
      <c r="D199" s="377"/>
      <c r="E199" s="133" t="s">
        <v>109</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3"/>
      <c r="H199" s="2303"/>
      <c r="I199" s="2303"/>
      <c r="J199" s="2303"/>
      <c r="K199" s="2303"/>
      <c r="L199" s="2303"/>
      <c r="M199" s="285"/>
      <c r="N199" s="330"/>
    </row>
    <row s="2949" customFormat="1" customHeight="1" ht="60.75" hidden="1">
      <c r="A200" s="1821" t="s">
        <v>153</v>
      </c>
      <c r="B200" s="1821" t="s">
        <v>154</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294</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330"/>
      <c r="O200" s="1664"/>
      <c r="P200" s="1664"/>
    </row>
    <row s="2949" customFormat="1" customHeight="1" ht="18.75" hidden="1">
      <c r="A201" s="1821"/>
      <c r="B201" s="1821"/>
      <c r="C201" s="369" t="s">
        <v>1063</v>
      </c>
      <c r="D201" s="2311"/>
      <c r="E201" s="2056"/>
      <c r="F201" s="2220"/>
      <c r="G201" s="2266"/>
      <c r="H201" s="1530"/>
      <c r="I201" s="657" t="s">
        <v>1062</v>
      </c>
      <c r="J201" s="577"/>
      <c r="K201" s="1530"/>
      <c r="L201" s="200"/>
      <c r="M201" s="2016"/>
      <c r="N201" s="330"/>
      <c r="O201" s="1664"/>
      <c r="P201" s="1664"/>
    </row>
    <row s="2949" customFormat="1" customHeight="1" ht="0.75" hidden="1">
      <c r="A202" s="1821"/>
      <c r="B202" s="1821"/>
      <c r="C202" s="369" t="s">
        <v>1070</v>
      </c>
      <c r="D202" s="2311"/>
      <c r="E202" s="2056"/>
      <c r="F202" s="2220"/>
      <c r="G202" s="406"/>
      <c r="H202" s="1530"/>
      <c r="I202" s="657"/>
      <c r="J202" s="577"/>
      <c r="K202" s="1530"/>
      <c r="L202" s="200"/>
      <c r="M202" s="2016"/>
      <c r="N202" s="330"/>
      <c r="O202" s="1664"/>
      <c r="P202" s="1664"/>
    </row>
    <row s="2949" customFormat="1" customHeight="1" ht="45" hidden="1">
      <c r="A203" s="1821" t="s">
        <v>159</v>
      </c>
      <c r="B203" s="1821" t="s">
        <v>160</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294</v>
      </c>
      <c r="M203" s="2017"/>
      <c r="N203" s="330"/>
      <c r="O203" s="1664"/>
      <c r="P203" s="1664"/>
    </row>
    <row s="2949" customFormat="1" customHeight="1" ht="18.75" hidden="1">
      <c r="A204" s="1821"/>
      <c r="B204" s="1821"/>
      <c r="C204" s="369" t="s">
        <v>1063</v>
      </c>
      <c r="D204" s="2311"/>
      <c r="E204" s="2056"/>
      <c r="F204" s="2220"/>
      <c r="G204" s="2266"/>
      <c r="H204" s="1530"/>
      <c r="I204" s="657" t="s">
        <v>1062</v>
      </c>
      <c r="J204" s="577"/>
      <c r="K204" s="1530"/>
      <c r="L204" s="200"/>
      <c r="M204" s="1904"/>
      <c r="N204" s="330"/>
      <c r="O204" s="1664"/>
      <c r="P204" s="1664"/>
    </row>
    <row s="2949" customFormat="1" customHeight="1" ht="0.75" hidden="1">
      <c r="A205" s="1821"/>
      <c r="B205" s="1821"/>
      <c r="C205" s="369" t="s">
        <v>1070</v>
      </c>
      <c r="D205" s="2311"/>
      <c r="E205" s="2056"/>
      <c r="F205" s="2220"/>
      <c r="G205" s="406"/>
      <c r="H205" s="1530"/>
      <c r="I205" s="657"/>
      <c r="J205" s="577"/>
      <c r="K205" s="1530"/>
      <c r="L205" s="200"/>
      <c r="M205" s="337"/>
      <c r="N205" s="330"/>
      <c r="O205" s="1664"/>
      <c r="P205" s="1664"/>
    </row>
    <row s="2949" customFormat="1" customHeight="1" ht="45" hidden="1">
      <c r="A206" s="1821" t="s">
        <v>165</v>
      </c>
      <c r="B206" s="1821" t="s">
        <v>166</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294</v>
      </c>
      <c r="M206" s="337"/>
      <c r="N206" s="330"/>
      <c r="O206" s="1664"/>
      <c r="P206" s="1664"/>
    </row>
    <row s="2949" customFormat="1" customHeight="1" ht="18.75" hidden="1">
      <c r="A207" s="1821"/>
      <c r="B207" s="1821"/>
      <c r="C207" s="369" t="s">
        <v>1063</v>
      </c>
      <c r="D207" s="2311"/>
      <c r="E207" s="2056"/>
      <c r="F207" s="2220"/>
      <c r="G207" s="2266"/>
      <c r="H207" s="1530"/>
      <c r="I207" s="657" t="s">
        <v>1062</v>
      </c>
      <c r="J207" s="577"/>
      <c r="K207" s="1530"/>
      <c r="L207" s="200"/>
      <c r="M207" s="337"/>
      <c r="N207" s="330"/>
      <c r="O207" s="1664"/>
      <c r="P207" s="1664"/>
    </row>
    <row s="2949" customFormat="1" customHeight="1" ht="0.75" hidden="1">
      <c r="A208" s="1821"/>
      <c r="B208" s="1821"/>
      <c r="C208" s="369" t="s">
        <v>1070</v>
      </c>
      <c r="D208" s="2311"/>
      <c r="E208" s="2056"/>
      <c r="F208" s="2220"/>
      <c r="G208" s="406"/>
      <c r="H208" s="1530"/>
      <c r="I208" s="657"/>
      <c r="J208" s="577"/>
      <c r="K208" s="1530"/>
      <c r="L208" s="200"/>
      <c r="M208" s="337"/>
      <c r="N208" s="330"/>
      <c r="O208" s="1664"/>
      <c r="P208" s="1664"/>
    </row>
    <row s="2949" customFormat="1" customHeight="1" ht="45" hidden="1">
      <c r="A209" s="1821" t="s">
        <v>171</v>
      </c>
      <c r="B209" s="1821" t="s">
        <v>172</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294</v>
      </c>
      <c r="M209" s="337"/>
      <c r="N209" s="330"/>
      <c r="O209" s="1664"/>
      <c r="P209" s="1664"/>
    </row>
    <row s="2949" customFormat="1" customHeight="1" ht="18.75" hidden="1">
      <c r="A210" s="1821"/>
      <c r="B210" s="1821"/>
      <c r="C210" s="369" t="s">
        <v>1063</v>
      </c>
      <c r="D210" s="2311"/>
      <c r="E210" s="2056"/>
      <c r="F210" s="2220"/>
      <c r="G210" s="2266"/>
      <c r="H210" s="1530"/>
      <c r="I210" s="657" t="s">
        <v>1062</v>
      </c>
      <c r="J210" s="577"/>
      <c r="K210" s="1530"/>
      <c r="L210" s="200"/>
      <c r="M210" s="337"/>
      <c r="N210" s="330"/>
      <c r="O210" s="1664"/>
      <c r="P210" s="1664"/>
    </row>
    <row s="2949" customFormat="1" customHeight="1" ht="0.75" hidden="1">
      <c r="A211" s="1821"/>
      <c r="B211" s="1821"/>
      <c r="C211" s="369" t="s">
        <v>1070</v>
      </c>
      <c r="D211" s="2311"/>
      <c r="E211" s="2056"/>
      <c r="F211" s="2220"/>
      <c r="G211" s="406"/>
      <c r="H211" s="1530"/>
      <c r="I211" s="657"/>
      <c r="J211" s="577"/>
      <c r="K211" s="1530"/>
      <c r="L211" s="200"/>
      <c r="M211" s="337"/>
      <c r="N211" s="330"/>
      <c r="O211" s="1664"/>
      <c r="P211" s="1664"/>
    </row>
    <row s="2949" customFormat="1" customHeight="1" ht="18.75" hidden="1">
      <c r="A212" s="1821" t="s">
        <v>177</v>
      </c>
      <c r="B212" s="1821" t="s">
        <v>178</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294</v>
      </c>
      <c r="M212" s="337"/>
      <c r="N212" s="330"/>
      <c r="O212" s="1664"/>
      <c r="P212" s="1664"/>
    </row>
    <row s="2949" customFormat="1" customHeight="1" ht="18.75" hidden="1">
      <c r="A213" s="1821"/>
      <c r="B213" s="1821"/>
      <c r="C213" s="369" t="s">
        <v>1063</v>
      </c>
      <c r="D213" s="2311"/>
      <c r="E213" s="2056"/>
      <c r="F213" s="2220"/>
      <c r="G213" s="2266"/>
      <c r="H213" s="1530"/>
      <c r="I213" s="657" t="s">
        <v>1062</v>
      </c>
      <c r="J213" s="577"/>
      <c r="K213" s="1530"/>
      <c r="L213" s="200"/>
      <c r="M213" s="337"/>
      <c r="N213" s="330"/>
      <c r="O213" s="1664"/>
      <c r="P213" s="1664"/>
    </row>
    <row s="2949" customFormat="1" customHeight="1" ht="0.75" hidden="1">
      <c r="A214" s="1821"/>
      <c r="B214" s="1821"/>
      <c r="C214" s="369" t="s">
        <v>1070</v>
      </c>
      <c r="D214" s="2311"/>
      <c r="E214" s="2056"/>
      <c r="F214" s="2220"/>
      <c r="G214" s="406"/>
      <c r="H214" s="1530"/>
      <c r="I214" s="657"/>
      <c r="J214" s="577"/>
      <c r="K214" s="1530"/>
      <c r="L214" s="200"/>
      <c r="M214" s="337"/>
      <c r="N214" s="330"/>
      <c r="O214" s="1664"/>
      <c r="P214" s="1664"/>
    </row>
    <row s="2949" customFormat="1" customHeight="1" ht="18.75" hidden="1">
      <c r="A215" s="1821" t="s">
        <v>183</v>
      </c>
      <c r="B215" s="1821" t="s">
        <v>184</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294</v>
      </c>
      <c r="M215" s="337"/>
      <c r="N215" s="330"/>
      <c r="O215" s="1664"/>
      <c r="P215" s="1664"/>
    </row>
    <row s="2949" customFormat="1" customHeight="1" ht="18.75" hidden="1">
      <c r="A216" s="1821"/>
      <c r="B216" s="1821"/>
      <c r="C216" s="369" t="s">
        <v>1063</v>
      </c>
      <c r="D216" s="2311"/>
      <c r="E216" s="2056"/>
      <c r="F216" s="2220"/>
      <c r="G216" s="2266"/>
      <c r="H216" s="1530"/>
      <c r="I216" s="657" t="s">
        <v>1062</v>
      </c>
      <c r="J216" s="577"/>
      <c r="K216" s="1530"/>
      <c r="L216" s="200"/>
      <c r="M216" s="337"/>
      <c r="N216" s="330"/>
      <c r="O216" s="1664"/>
      <c r="P216" s="1664"/>
    </row>
    <row s="2949" customFormat="1" customHeight="1" ht="0.75" hidden="1">
      <c r="A217" s="1821"/>
      <c r="B217" s="1821"/>
      <c r="C217" s="369" t="s">
        <v>1070</v>
      </c>
      <c r="D217" s="2311"/>
      <c r="E217" s="2056"/>
      <c r="F217" s="2220"/>
      <c r="G217" s="406"/>
      <c r="H217" s="1530"/>
      <c r="I217" s="657"/>
      <c r="J217" s="577"/>
      <c r="K217" s="1530"/>
      <c r="L217" s="200"/>
      <c r="M217" s="337"/>
      <c r="N217" s="330"/>
      <c r="O217" s="1664"/>
      <c r="P217" s="1664"/>
    </row>
    <row s="2949" customFormat="1" customHeight="1" ht="18.75" hidden="1">
      <c r="A218" s="1821" t="s">
        <v>189</v>
      </c>
      <c r="B218" s="1821" t="s">
        <v>190</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294</v>
      </c>
      <c r="M218" s="337"/>
      <c r="N218" s="330"/>
      <c r="O218" s="1664"/>
      <c r="P218" s="1664"/>
    </row>
    <row s="2949" customFormat="1" customHeight="1" ht="18.75" hidden="1">
      <c r="A219" s="1821"/>
      <c r="B219" s="1821"/>
      <c r="C219" s="369" t="s">
        <v>1063</v>
      </c>
      <c r="D219" s="2311"/>
      <c r="E219" s="2056"/>
      <c r="F219" s="2220"/>
      <c r="G219" s="2266"/>
      <c r="H219" s="1530"/>
      <c r="I219" s="657" t="s">
        <v>1062</v>
      </c>
      <c r="J219" s="577"/>
      <c r="K219" s="1530"/>
      <c r="L219" s="200"/>
      <c r="M219" s="337"/>
      <c r="N219" s="330"/>
      <c r="O219" s="1664"/>
      <c r="P219" s="1664"/>
    </row>
    <row s="2949" customFormat="1" customHeight="1" ht="0.75" hidden="1">
      <c r="A220" s="1821"/>
      <c r="B220" s="1821"/>
      <c r="C220" s="369" t="s">
        <v>1070</v>
      </c>
      <c r="D220" s="2311"/>
      <c r="E220" s="2056"/>
      <c r="F220" s="2220"/>
      <c r="G220" s="406"/>
      <c r="H220" s="1530"/>
      <c r="I220" s="657"/>
      <c r="J220" s="577"/>
      <c r="K220" s="1530"/>
      <c r="L220" s="200"/>
      <c r="M220" s="337"/>
      <c r="N220" s="330"/>
      <c r="O220" s="1664"/>
      <c r="P220" s="1664"/>
    </row>
    <row s="2949" customFormat="1" customHeight="1" ht="18.75" hidden="1">
      <c r="A221" s="1821" t="s">
        <v>195</v>
      </c>
      <c r="B221" s="1821" t="s">
        <v>196</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294</v>
      </c>
      <c r="M221" s="337"/>
      <c r="N221" s="330"/>
      <c r="O221" s="1664"/>
      <c r="P221" s="1664"/>
    </row>
    <row s="2949" customFormat="1" customHeight="1" ht="18.75" hidden="1">
      <c r="A222" s="1821"/>
      <c r="B222" s="1821"/>
      <c r="C222" s="369" t="s">
        <v>1063</v>
      </c>
      <c r="D222" s="2311"/>
      <c r="E222" s="2056"/>
      <c r="F222" s="2220"/>
      <c r="G222" s="2266"/>
      <c r="H222" s="1530"/>
      <c r="I222" s="657" t="s">
        <v>1062</v>
      </c>
      <c r="J222" s="577"/>
      <c r="K222" s="1530"/>
      <c r="L222" s="200"/>
      <c r="M222" s="337"/>
      <c r="N222" s="330"/>
      <c r="O222" s="1664"/>
      <c r="P222" s="1664"/>
    </row>
    <row s="2949" customFormat="1" customHeight="1" ht="0.75" hidden="1">
      <c r="A223" s="1821"/>
      <c r="B223" s="1821"/>
      <c r="C223" s="369" t="s">
        <v>1070</v>
      </c>
      <c r="D223" s="2311"/>
      <c r="E223" s="2056"/>
      <c r="F223" s="2220"/>
      <c r="G223" s="406"/>
      <c r="H223" s="1530"/>
      <c r="I223" s="657"/>
      <c r="J223" s="577"/>
      <c r="K223" s="1530"/>
      <c r="L223" s="200"/>
      <c r="M223" s="337"/>
      <c r="N223" s="330"/>
      <c r="O223" s="1664"/>
      <c r="P223" s="1664"/>
    </row>
    <row s="2949" customFormat="1" customHeight="1" ht="18.75" hidden="1">
      <c r="A224" s="1821" t="s">
        <v>210</v>
      </c>
      <c r="B224" s="1821" t="s">
        <v>211</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Тариф на питьевую воду (питьевое водоснабжение)</v>
      </c>
      <c r="H224" s="1905"/>
      <c r="I224" s="1779"/>
      <c r="J224" s="1814"/>
      <c r="K224" s="1819"/>
      <c r="L224" s="1905" t="s">
        <v>294</v>
      </c>
      <c r="M224" s="337"/>
      <c r="N224" s="330"/>
      <c r="O224" s="1664"/>
      <c r="P224" s="1664"/>
    </row>
    <row s="2949" customFormat="1" customHeight="1" ht="18.75" hidden="1">
      <c r="A225" s="1821"/>
      <c r="B225" s="1821"/>
      <c r="C225" s="369" t="s">
        <v>1063</v>
      </c>
      <c r="D225" s="2311"/>
      <c r="E225" s="2056"/>
      <c r="F225" s="2220"/>
      <c r="G225" s="2266"/>
      <c r="H225" s="1530"/>
      <c r="I225" s="657" t="s">
        <v>1062</v>
      </c>
      <c r="J225" s="577"/>
      <c r="K225" s="1530"/>
      <c r="L225" s="200"/>
      <c r="M225" s="337"/>
      <c r="N225" s="330"/>
      <c r="O225" s="1664"/>
      <c r="P225" s="1664"/>
    </row>
    <row s="2949" customFormat="1" customHeight="1" ht="0.75" hidden="1">
      <c r="A226" s="1821"/>
      <c r="B226" s="1821"/>
      <c r="C226" s="369" t="s">
        <v>1070</v>
      </c>
      <c r="D226" s="2311"/>
      <c r="E226" s="2056"/>
      <c r="F226" s="2220"/>
      <c r="G226" s="406"/>
      <c r="H226" s="1530"/>
      <c r="I226" s="657"/>
      <c r="J226" s="577"/>
      <c r="K226" s="1530"/>
      <c r="L226" s="200"/>
      <c r="M226" s="337"/>
      <c r="N226" s="330"/>
      <c r="O226" s="1664"/>
      <c r="P226" s="1664"/>
    </row>
    <row s="2949" customFormat="1" customHeight="1" ht="18.75" hidden="1">
      <c r="A227" s="1821" t="s">
        <v>218</v>
      </c>
      <c r="B227" s="1821" t="s">
        <v>219</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294</v>
      </c>
      <c r="M227" s="337"/>
      <c r="N227" s="330"/>
      <c r="O227" s="1664"/>
      <c r="P227" s="1664"/>
    </row>
    <row s="2949" customFormat="1" customHeight="1" ht="18.75" hidden="1">
      <c r="A228" s="1821"/>
      <c r="B228" s="1821"/>
      <c r="C228" s="369" t="s">
        <v>1063</v>
      </c>
      <c r="D228" s="2311"/>
      <c r="E228" s="2056"/>
      <c r="F228" s="2220"/>
      <c r="G228" s="2266"/>
      <c r="H228" s="1530"/>
      <c r="I228" s="657" t="s">
        <v>1062</v>
      </c>
      <c r="J228" s="577"/>
      <c r="K228" s="1530"/>
      <c r="L228" s="200"/>
      <c r="M228" s="337"/>
      <c r="N228" s="330"/>
      <c r="O228" s="1664"/>
      <c r="P228" s="1664"/>
    </row>
    <row s="2949" customFormat="1" customHeight="1" ht="0.75" hidden="1">
      <c r="A229" s="1821"/>
      <c r="B229" s="1821"/>
      <c r="C229" s="369" t="s">
        <v>1070</v>
      </c>
      <c r="D229" s="2311"/>
      <c r="E229" s="2056"/>
      <c r="F229" s="2220"/>
      <c r="G229" s="406"/>
      <c r="H229" s="1530"/>
      <c r="I229" s="657"/>
      <c r="J229" s="577"/>
      <c r="K229" s="1530"/>
      <c r="L229" s="200"/>
      <c r="M229" s="337"/>
      <c r="N229" s="330"/>
      <c r="O229" s="1664"/>
      <c r="P229" s="1664"/>
    </row>
    <row s="2949" customFormat="1" customHeight="1" ht="18.75" hidden="1">
      <c r="A230" s="1821" t="s">
        <v>223</v>
      </c>
      <c r="B230" s="1821" t="s">
        <v>224</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294</v>
      </c>
      <c r="M230" s="337"/>
      <c r="N230" s="330"/>
      <c r="O230" s="1664"/>
      <c r="P230" s="1664"/>
    </row>
    <row s="2949" customFormat="1" customHeight="1" ht="18.75" hidden="1">
      <c r="A231" s="1821"/>
      <c r="B231" s="1821"/>
      <c r="C231" s="369" t="s">
        <v>1063</v>
      </c>
      <c r="D231" s="2311"/>
      <c r="E231" s="2056"/>
      <c r="F231" s="2220"/>
      <c r="G231" s="2266"/>
      <c r="H231" s="1530"/>
      <c r="I231" s="657" t="s">
        <v>1062</v>
      </c>
      <c r="J231" s="577"/>
      <c r="K231" s="1530"/>
      <c r="L231" s="200"/>
      <c r="M231" s="337"/>
      <c r="N231" s="330"/>
      <c r="O231" s="1664"/>
      <c r="P231" s="1664"/>
    </row>
    <row s="2949" customFormat="1" customHeight="1" ht="0.75" hidden="1">
      <c r="A232" s="1821"/>
      <c r="B232" s="1821"/>
      <c r="C232" s="369" t="s">
        <v>1070</v>
      </c>
      <c r="D232" s="2311"/>
      <c r="E232" s="2056"/>
      <c r="F232" s="2220"/>
      <c r="G232" s="406"/>
      <c r="H232" s="1530"/>
      <c r="I232" s="657"/>
      <c r="J232" s="577"/>
      <c r="K232" s="1530"/>
      <c r="L232" s="200"/>
      <c r="M232" s="337"/>
      <c r="N232" s="330"/>
      <c r="O232" s="1664"/>
      <c r="P232" s="1664"/>
    </row>
    <row s="2949" customFormat="1" customHeight="1" ht="18.75" hidden="1">
      <c r="A233" s="1821" t="s">
        <v>228</v>
      </c>
      <c r="B233" s="1821" t="s">
        <v>229</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294</v>
      </c>
      <c r="M233" s="337"/>
      <c r="N233" s="330"/>
      <c r="O233" s="1664"/>
      <c r="P233" s="1664"/>
    </row>
    <row s="2949" customFormat="1" customHeight="1" ht="18.75" hidden="1">
      <c r="A234" s="1821"/>
      <c r="B234" s="1821"/>
      <c r="C234" s="369" t="s">
        <v>1063</v>
      </c>
      <c r="D234" s="2311"/>
      <c r="E234" s="2056"/>
      <c r="F234" s="2220"/>
      <c r="G234" s="2266"/>
      <c r="H234" s="1530"/>
      <c r="I234" s="657" t="s">
        <v>1062</v>
      </c>
      <c r="J234" s="577"/>
      <c r="K234" s="1530"/>
      <c r="L234" s="200"/>
      <c r="M234" s="337"/>
      <c r="N234" s="330"/>
      <c r="O234" s="1664"/>
      <c r="P234" s="1664"/>
    </row>
    <row s="2949" customFormat="1" customHeight="1" ht="0.75" hidden="1">
      <c r="A235" s="1821"/>
      <c r="B235" s="1821"/>
      <c r="C235" s="369" t="s">
        <v>1070</v>
      </c>
      <c r="D235" s="2311"/>
      <c r="E235" s="2056"/>
      <c r="F235" s="2220"/>
      <c r="G235" s="406"/>
      <c r="H235" s="1530"/>
      <c r="I235" s="657"/>
      <c r="J235" s="577"/>
      <c r="K235" s="1530"/>
      <c r="L235" s="200"/>
      <c r="M235" s="337"/>
      <c r="N235" s="330"/>
      <c r="O235" s="1664"/>
      <c r="P235" s="1664"/>
    </row>
    <row s="2949" customFormat="1" customHeight="1" ht="18.75" hidden="1">
      <c r="A236" s="1821" t="s">
        <v>233</v>
      </c>
      <c r="B236" s="1821" t="s">
        <v>234</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294</v>
      </c>
      <c r="M236" s="337"/>
      <c r="N236" s="330"/>
      <c r="O236" s="1664"/>
      <c r="P236" s="1664"/>
    </row>
    <row s="2949" customFormat="1" customHeight="1" ht="18.75" hidden="1">
      <c r="A237" s="1821"/>
      <c r="B237" s="1821"/>
      <c r="C237" s="369" t="s">
        <v>1063</v>
      </c>
      <c r="D237" s="2311"/>
      <c r="E237" s="2056"/>
      <c r="F237" s="2220"/>
      <c r="G237" s="2266"/>
      <c r="H237" s="1530"/>
      <c r="I237" s="657" t="s">
        <v>1062</v>
      </c>
      <c r="J237" s="577"/>
      <c r="K237" s="1530"/>
      <c r="L237" s="200"/>
      <c r="M237" s="337"/>
      <c r="N237" s="330"/>
      <c r="O237" s="1664"/>
      <c r="P237" s="1664"/>
    </row>
    <row s="2949" customFormat="1" customHeight="1" ht="0.75" hidden="1">
      <c r="A238" s="1821"/>
      <c r="B238" s="1821"/>
      <c r="C238" s="369" t="s">
        <v>1070</v>
      </c>
      <c r="D238" s="2311"/>
      <c r="E238" s="2056"/>
      <c r="F238" s="2220"/>
      <c r="G238" s="406"/>
      <c r="H238" s="1530"/>
      <c r="I238" s="657"/>
      <c r="J238" s="577"/>
      <c r="K238" s="1530"/>
      <c r="L238" s="200"/>
      <c r="M238" s="337"/>
      <c r="N238" s="330"/>
      <c r="O238" s="1664"/>
      <c r="P238" s="1664"/>
    </row>
    <row s="2949" customFormat="1" customHeight="1" ht="18.75" hidden="1">
      <c r="A239" s="1821" t="s">
        <v>238</v>
      </c>
      <c r="B239" s="1821" t="s">
        <v>239</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294</v>
      </c>
      <c r="M239" s="337"/>
      <c r="N239" s="330"/>
      <c r="O239" s="1664"/>
      <c r="P239" s="1664"/>
    </row>
    <row s="2949" customFormat="1" customHeight="1" ht="18.75" hidden="1">
      <c r="A240" s="1821"/>
      <c r="B240" s="1821"/>
      <c r="C240" s="369" t="s">
        <v>1063</v>
      </c>
      <c r="D240" s="2311"/>
      <c r="E240" s="2056"/>
      <c r="F240" s="2220"/>
      <c r="G240" s="2266"/>
      <c r="H240" s="1530"/>
      <c r="I240" s="657" t="s">
        <v>1062</v>
      </c>
      <c r="J240" s="577"/>
      <c r="K240" s="1530"/>
      <c r="L240" s="200"/>
      <c r="M240" s="337"/>
      <c r="N240" s="330"/>
      <c r="O240" s="1664"/>
      <c r="P240" s="1664"/>
    </row>
    <row s="2949" customFormat="1" customHeight="1" ht="0.75" hidden="1">
      <c r="A241" s="1821"/>
      <c r="B241" s="1821"/>
      <c r="C241" s="369" t="s">
        <v>1070</v>
      </c>
      <c r="D241" s="2311"/>
      <c r="E241" s="2056"/>
      <c r="F241" s="2220"/>
      <c r="G241" s="406"/>
      <c r="H241" s="1530"/>
      <c r="I241" s="657"/>
      <c r="J241" s="577"/>
      <c r="K241" s="1530"/>
      <c r="L241" s="200"/>
      <c r="M241" s="337"/>
      <c r="N241" s="330"/>
      <c r="O241" s="1664"/>
      <c r="P241" s="1664"/>
    </row>
    <row s="2949" customFormat="1" customHeight="1" ht="18.75" hidden="1">
      <c r="A242" s="1821" t="s">
        <v>243</v>
      </c>
      <c r="B242" s="1821" t="s">
        <v>244</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294</v>
      </c>
      <c r="M242" s="337"/>
      <c r="N242" s="330"/>
      <c r="O242" s="1664"/>
      <c r="P242" s="1664"/>
    </row>
    <row s="2949" customFormat="1" customHeight="1" ht="18.75" hidden="1">
      <c r="A243" s="1821"/>
      <c r="B243" s="1821"/>
      <c r="C243" s="369" t="s">
        <v>1063</v>
      </c>
      <c r="D243" s="2311"/>
      <c r="E243" s="2056"/>
      <c r="F243" s="2220"/>
      <c r="G243" s="2266"/>
      <c r="H243" s="1530"/>
      <c r="I243" s="657" t="s">
        <v>1062</v>
      </c>
      <c r="J243" s="577"/>
      <c r="K243" s="1530"/>
      <c r="L243" s="200"/>
      <c r="M243" s="337"/>
      <c r="N243" s="330"/>
      <c r="O243" s="1664"/>
      <c r="P243" s="1664"/>
    </row>
    <row s="2949" customFormat="1" customHeight="1" ht="0.75" hidden="1">
      <c r="A244" s="1821"/>
      <c r="B244" s="1821"/>
      <c r="C244" s="369" t="s">
        <v>1070</v>
      </c>
      <c r="D244" s="2311"/>
      <c r="E244" s="2056"/>
      <c r="F244" s="2220"/>
      <c r="G244" s="406"/>
      <c r="H244" s="1530"/>
      <c r="I244" s="657"/>
      <c r="J244" s="577"/>
      <c r="K244" s="1530"/>
      <c r="L244" s="200"/>
      <c r="M244" s="337"/>
      <c r="N244" s="330"/>
      <c r="O244" s="1664"/>
      <c r="P244" s="1664"/>
    </row>
    <row s="2949" customFormat="1" customHeight="1" ht="18.75" hidden="1">
      <c r="A245" s="1821" t="s">
        <v>248</v>
      </c>
      <c r="B245" s="1821" t="s">
        <v>249</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294</v>
      </c>
      <c r="M245" s="337"/>
      <c r="N245" s="330"/>
      <c r="O245" s="1664"/>
      <c r="P245" s="1664"/>
    </row>
    <row s="2949" customFormat="1" customHeight="1" ht="18.75" hidden="1">
      <c r="A246" s="1821"/>
      <c r="B246" s="1821"/>
      <c r="C246" s="369" t="s">
        <v>1063</v>
      </c>
      <c r="D246" s="2311"/>
      <c r="E246" s="2056"/>
      <c r="F246" s="2220"/>
      <c r="G246" s="2266"/>
      <c r="H246" s="1530"/>
      <c r="I246" s="657" t="s">
        <v>1062</v>
      </c>
      <c r="J246" s="577"/>
      <c r="K246" s="1530"/>
      <c r="L246" s="200"/>
      <c r="M246" s="337"/>
      <c r="N246" s="330"/>
      <c r="O246" s="1664"/>
      <c r="P246" s="1664"/>
    </row>
    <row s="2949" customFormat="1" customHeight="1" ht="0.75" hidden="1">
      <c r="A247" s="1821"/>
      <c r="B247" s="1821"/>
      <c r="C247" s="369" t="s">
        <v>1070</v>
      </c>
      <c r="D247" s="2311"/>
      <c r="E247" s="2056"/>
      <c r="F247" s="2220"/>
      <c r="G247" s="406"/>
      <c r="H247" s="1530"/>
      <c r="I247" s="657"/>
      <c r="J247" s="577"/>
      <c r="K247" s="1530"/>
      <c r="L247" s="200"/>
      <c r="M247" s="337"/>
      <c r="N247" s="330"/>
      <c r="O247" s="1664"/>
      <c r="P247" s="1664"/>
    </row>
    <row s="2949" customFormat="1" customHeight="1" ht="18.75" hidden="1">
      <c r="A248" s="1821" t="s">
        <v>253</v>
      </c>
      <c r="B248" s="1821" t="s">
        <v>254</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294</v>
      </c>
      <c r="M248" s="337"/>
      <c r="N248" s="330"/>
      <c r="O248" s="1664"/>
      <c r="P248" s="1664"/>
    </row>
    <row s="2949" customFormat="1" customHeight="1" ht="18.75" hidden="1">
      <c r="A249" s="1821"/>
      <c r="B249" s="1821"/>
      <c r="C249" s="369" t="s">
        <v>1063</v>
      </c>
      <c r="D249" s="2311"/>
      <c r="E249" s="2056"/>
      <c r="F249" s="2220"/>
      <c r="G249" s="2266"/>
      <c r="H249" s="1530"/>
      <c r="I249" s="657" t="s">
        <v>1062</v>
      </c>
      <c r="J249" s="577"/>
      <c r="K249" s="1530"/>
      <c r="L249" s="200"/>
      <c r="M249" s="337"/>
      <c r="N249" s="330"/>
      <c r="O249" s="1664"/>
      <c r="P249" s="1664"/>
    </row>
    <row s="2949" customFormat="1" customHeight="1" ht="0.75" hidden="1">
      <c r="A250" s="1821"/>
      <c r="B250" s="1821"/>
      <c r="C250" s="369" t="s">
        <v>1070</v>
      </c>
      <c r="D250" s="2311"/>
      <c r="E250" s="2056"/>
      <c r="F250" s="2220"/>
      <c r="G250" s="406"/>
      <c r="H250" s="1530"/>
      <c r="I250" s="657"/>
      <c r="J250" s="577"/>
      <c r="K250" s="1530"/>
      <c r="L250" s="200"/>
      <c r="M250" s="337"/>
      <c r="N250" s="330"/>
      <c r="O250" s="1664"/>
      <c r="P250" s="1664"/>
    </row>
    <row s="2949" customFormat="1" customHeight="1" ht="18.75" hidden="1">
      <c r="A251" s="1821" t="s">
        <v>258</v>
      </c>
      <c r="B251" s="1821" t="s">
        <v>259</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294</v>
      </c>
      <c r="M251" s="337"/>
      <c r="N251" s="330"/>
      <c r="O251" s="1664"/>
      <c r="P251" s="1664"/>
    </row>
    <row s="2949" customFormat="1" customHeight="1" ht="18.75" hidden="1">
      <c r="A252" s="1821"/>
      <c r="B252" s="1821"/>
      <c r="C252" s="369" t="s">
        <v>1063</v>
      </c>
      <c r="D252" s="2311"/>
      <c r="E252" s="2056"/>
      <c r="F252" s="2220"/>
      <c r="G252" s="2266"/>
      <c r="H252" s="1530"/>
      <c r="I252" s="657" t="s">
        <v>1062</v>
      </c>
      <c r="J252" s="577"/>
      <c r="K252" s="1530"/>
      <c r="L252" s="200"/>
      <c r="M252" s="337"/>
      <c r="N252" s="330"/>
      <c r="O252" s="1664"/>
      <c r="P252" s="1664"/>
    </row>
    <row s="2949" customFormat="1" customHeight="1" ht="0.75" hidden="1">
      <c r="A253" s="1821"/>
      <c r="B253" s="1821"/>
      <c r="C253" s="369" t="s">
        <v>1070</v>
      </c>
      <c r="D253" s="2311"/>
      <c r="E253" s="2056"/>
      <c r="F253" s="2220"/>
      <c r="G253" s="406"/>
      <c r="H253" s="1530"/>
      <c r="I253" s="657"/>
      <c r="J253" s="577"/>
      <c r="K253" s="1530"/>
      <c r="L253" s="200"/>
      <c r="M253" s="337"/>
      <c r="N253" s="330"/>
      <c r="O253" s="1664"/>
      <c r="P253" s="1664"/>
    </row>
    <row s="2949" customFormat="1" customHeight="1" ht="18.75" hidden="1">
      <c r="A254" s="1821" t="s">
        <v>263</v>
      </c>
      <c r="B254" s="1821" t="s">
        <v>264</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294</v>
      </c>
      <c r="M254" s="337"/>
      <c r="N254" s="330"/>
      <c r="O254" s="1664"/>
      <c r="P254" s="1664"/>
    </row>
    <row s="2949" customFormat="1" customHeight="1" ht="18.75" hidden="1">
      <c r="A255" s="1821"/>
      <c r="B255" s="1821"/>
      <c r="C255" s="369" t="s">
        <v>1063</v>
      </c>
      <c r="D255" s="2311"/>
      <c r="E255" s="2056"/>
      <c r="F255" s="2220"/>
      <c r="G255" s="2266"/>
      <c r="H255" s="1530"/>
      <c r="I255" s="657" t="s">
        <v>1062</v>
      </c>
      <c r="J255" s="577"/>
      <c r="K255" s="1530"/>
      <c r="L255" s="200"/>
      <c r="M255" s="337"/>
      <c r="N255" s="330"/>
      <c r="O255" s="1664"/>
      <c r="P255" s="1664"/>
    </row>
    <row s="2949" customFormat="1" customHeight="1" ht="0.75">
      <c r="A256" s="1821"/>
      <c r="B256" s="1821"/>
      <c r="C256" s="369" t="s">
        <v>1070</v>
      </c>
      <c r="D256" s="2311"/>
      <c r="E256" s="2056"/>
      <c r="F256" s="2220"/>
      <c r="G256" s="406"/>
      <c r="H256" s="1530"/>
      <c r="I256" s="657"/>
      <c r="J256" s="577"/>
      <c r="K256" s="1530"/>
      <c r="L256" s="200"/>
      <c r="M256" s="337"/>
      <c r="N256" s="330"/>
      <c r="O256" s="1664"/>
      <c r="P256" s="1664"/>
    </row>
    <row customHeight="1" ht="25.5">
      <c r="A257" s="1821"/>
      <c r="B257" s="1821"/>
      <c r="D257" s="377"/>
      <c r="E257" s="133" t="s">
        <v>90</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3"/>
      <c r="H257" s="2303"/>
      <c r="I257" s="2303"/>
      <c r="J257" s="2303"/>
      <c r="K257" s="2303"/>
      <c r="L257" s="2303"/>
      <c r="M257" s="285"/>
      <c r="N257" s="330"/>
    </row>
    <row s="2949" customFormat="1" customHeight="1" ht="60.75" hidden="1">
      <c r="A258" s="1821" t="s">
        <v>153</v>
      </c>
      <c r="B258" s="1821" t="s">
        <v>154</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294</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9" customFormat="1" customHeight="1" ht="18.75" hidden="1">
      <c r="A259" s="1821"/>
      <c r="B259" s="1821"/>
      <c r="C259" s="369" t="s">
        <v>1063</v>
      </c>
      <c r="D259" s="2311"/>
      <c r="E259" s="2056"/>
      <c r="F259" s="2220"/>
      <c r="G259" s="2266"/>
      <c r="H259" s="1530"/>
      <c r="I259" s="657" t="s">
        <v>1062</v>
      </c>
      <c r="J259" s="577"/>
      <c r="K259" s="1530"/>
      <c r="L259" s="200"/>
      <c r="M259" s="2016"/>
      <c r="N259" s="330"/>
      <c r="O259" s="1664"/>
      <c r="P259" s="1664"/>
    </row>
    <row s="2949" customFormat="1" customHeight="1" ht="0.75" hidden="1">
      <c r="A260" s="1821"/>
      <c r="B260" s="1821"/>
      <c r="C260" s="369" t="s">
        <v>1070</v>
      </c>
      <c r="D260" s="2311"/>
      <c r="E260" s="2056"/>
      <c r="F260" s="2220"/>
      <c r="G260" s="406"/>
      <c r="H260" s="1530"/>
      <c r="I260" s="657"/>
      <c r="J260" s="577"/>
      <c r="K260" s="1530"/>
      <c r="L260" s="200"/>
      <c r="M260" s="2016"/>
      <c r="N260" s="330"/>
      <c r="O260" s="1664"/>
      <c r="P260" s="1664"/>
    </row>
    <row s="2949" customFormat="1" customHeight="1" ht="45" hidden="1">
      <c r="A261" s="1821" t="s">
        <v>159</v>
      </c>
      <c r="B261" s="1821" t="s">
        <v>160</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294</v>
      </c>
      <c r="M261" s="2017"/>
      <c r="N261" s="330"/>
      <c r="O261" s="1664"/>
      <c r="P261" s="1664"/>
    </row>
    <row s="2949" customFormat="1" customHeight="1" ht="18.75" hidden="1">
      <c r="A262" s="1821"/>
      <c r="B262" s="1821"/>
      <c r="C262" s="369" t="s">
        <v>1063</v>
      </c>
      <c r="D262" s="2311"/>
      <c r="E262" s="2056"/>
      <c r="F262" s="2220"/>
      <c r="G262" s="2266"/>
      <c r="H262" s="1530"/>
      <c r="I262" s="657" t="s">
        <v>1062</v>
      </c>
      <c r="J262" s="577"/>
      <c r="K262" s="1530"/>
      <c r="L262" s="200"/>
      <c r="M262" s="1904"/>
      <c r="N262" s="330"/>
      <c r="O262" s="1664"/>
      <c r="P262" s="1664"/>
    </row>
    <row s="2949" customFormat="1" customHeight="1" ht="0.75" hidden="1">
      <c r="A263" s="1821"/>
      <c r="B263" s="1821"/>
      <c r="C263" s="369" t="s">
        <v>1070</v>
      </c>
      <c r="D263" s="2311"/>
      <c r="E263" s="2056"/>
      <c r="F263" s="2220"/>
      <c r="G263" s="406"/>
      <c r="H263" s="1530"/>
      <c r="I263" s="657"/>
      <c r="J263" s="577"/>
      <c r="K263" s="1530"/>
      <c r="L263" s="200"/>
      <c r="M263" s="337"/>
      <c r="N263" s="330"/>
      <c r="O263" s="1664"/>
      <c r="P263" s="1664"/>
    </row>
    <row s="2949" customFormat="1" customHeight="1" ht="45" hidden="1">
      <c r="A264" s="1821" t="s">
        <v>165</v>
      </c>
      <c r="B264" s="1821" t="s">
        <v>166</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294</v>
      </c>
      <c r="M264" s="337"/>
      <c r="N264" s="330"/>
      <c r="O264" s="1664"/>
      <c r="P264" s="1664"/>
    </row>
    <row s="2949" customFormat="1" customHeight="1" ht="18.75" hidden="1">
      <c r="A265" s="1821"/>
      <c r="B265" s="1821"/>
      <c r="C265" s="369" t="s">
        <v>1063</v>
      </c>
      <c r="D265" s="2311"/>
      <c r="E265" s="2056"/>
      <c r="F265" s="2220"/>
      <c r="G265" s="2266"/>
      <c r="H265" s="1530"/>
      <c r="I265" s="657" t="s">
        <v>1062</v>
      </c>
      <c r="J265" s="577"/>
      <c r="K265" s="1530"/>
      <c r="L265" s="200"/>
      <c r="M265" s="337"/>
      <c r="N265" s="330"/>
      <c r="O265" s="1664"/>
      <c r="P265" s="1664"/>
    </row>
    <row s="2949" customFormat="1" customHeight="1" ht="0.75" hidden="1">
      <c r="A266" s="1821"/>
      <c r="B266" s="1821"/>
      <c r="C266" s="369" t="s">
        <v>1070</v>
      </c>
      <c r="D266" s="2311"/>
      <c r="E266" s="2056"/>
      <c r="F266" s="2220"/>
      <c r="G266" s="406"/>
      <c r="H266" s="1530"/>
      <c r="I266" s="657"/>
      <c r="J266" s="577"/>
      <c r="K266" s="1530"/>
      <c r="L266" s="200"/>
      <c r="M266" s="337"/>
      <c r="N266" s="330"/>
      <c r="O266" s="1664"/>
      <c r="P266" s="1664"/>
    </row>
    <row s="2949" customFormat="1" customHeight="1" ht="45" hidden="1">
      <c r="A267" s="1821" t="s">
        <v>171</v>
      </c>
      <c r="B267" s="1821" t="s">
        <v>172</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294</v>
      </c>
      <c r="M267" s="337"/>
      <c r="N267" s="330"/>
      <c r="O267" s="1664"/>
      <c r="P267" s="1664"/>
    </row>
    <row s="2949" customFormat="1" customHeight="1" ht="18.75" hidden="1">
      <c r="A268" s="1821"/>
      <c r="B268" s="1821"/>
      <c r="C268" s="369" t="s">
        <v>1063</v>
      </c>
      <c r="D268" s="2311"/>
      <c r="E268" s="2056"/>
      <c r="F268" s="2220"/>
      <c r="G268" s="2266"/>
      <c r="H268" s="1530"/>
      <c r="I268" s="657" t="s">
        <v>1062</v>
      </c>
      <c r="J268" s="577"/>
      <c r="K268" s="1530"/>
      <c r="L268" s="200"/>
      <c r="M268" s="337"/>
      <c r="N268" s="330"/>
      <c r="O268" s="1664"/>
      <c r="P268" s="1664"/>
    </row>
    <row s="2949" customFormat="1" customHeight="1" ht="0.75" hidden="1">
      <c r="A269" s="1821"/>
      <c r="B269" s="1821"/>
      <c r="C269" s="369" t="s">
        <v>1070</v>
      </c>
      <c r="D269" s="2311"/>
      <c r="E269" s="2056"/>
      <c r="F269" s="2220"/>
      <c r="G269" s="406"/>
      <c r="H269" s="1530"/>
      <c r="I269" s="657"/>
      <c r="J269" s="577"/>
      <c r="K269" s="1530"/>
      <c r="L269" s="200"/>
      <c r="M269" s="337"/>
      <c r="N269" s="330"/>
      <c r="O269" s="1664"/>
      <c r="P269" s="1664"/>
    </row>
    <row s="2949" customFormat="1" customHeight="1" ht="18.75" hidden="1">
      <c r="A270" s="1821" t="s">
        <v>177</v>
      </c>
      <c r="B270" s="1821" t="s">
        <v>178</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294</v>
      </c>
      <c r="M270" s="337"/>
      <c r="N270" s="330"/>
      <c r="O270" s="1664"/>
      <c r="P270" s="1664"/>
    </row>
    <row s="2949" customFormat="1" customHeight="1" ht="18.75" hidden="1">
      <c r="A271" s="1821"/>
      <c r="B271" s="1821"/>
      <c r="C271" s="369" t="s">
        <v>1063</v>
      </c>
      <c r="D271" s="2311"/>
      <c r="E271" s="2056"/>
      <c r="F271" s="2220"/>
      <c r="G271" s="2266"/>
      <c r="H271" s="1530"/>
      <c r="I271" s="657" t="s">
        <v>1062</v>
      </c>
      <c r="J271" s="577"/>
      <c r="K271" s="1530"/>
      <c r="L271" s="200"/>
      <c r="M271" s="337"/>
      <c r="N271" s="330"/>
      <c r="O271" s="1664"/>
      <c r="P271" s="1664"/>
    </row>
    <row s="2949" customFormat="1" customHeight="1" ht="0.75" hidden="1">
      <c r="A272" s="1821"/>
      <c r="B272" s="1821"/>
      <c r="C272" s="369" t="s">
        <v>1070</v>
      </c>
      <c r="D272" s="2311"/>
      <c r="E272" s="2056"/>
      <c r="F272" s="2220"/>
      <c r="G272" s="406"/>
      <c r="H272" s="1530"/>
      <c r="I272" s="657"/>
      <c r="J272" s="577"/>
      <c r="K272" s="1530"/>
      <c r="L272" s="200"/>
      <c r="M272" s="337"/>
      <c r="N272" s="330"/>
      <c r="O272" s="1664"/>
      <c r="P272" s="1664"/>
    </row>
    <row s="2949" customFormat="1" customHeight="1" ht="18.75" hidden="1">
      <c r="A273" s="1821" t="s">
        <v>183</v>
      </c>
      <c r="B273" s="1821" t="s">
        <v>184</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294</v>
      </c>
      <c r="M273" s="337"/>
      <c r="N273" s="330"/>
      <c r="O273" s="1664"/>
      <c r="P273" s="1664"/>
    </row>
    <row s="2949" customFormat="1" customHeight="1" ht="18.75" hidden="1">
      <c r="A274" s="1821"/>
      <c r="B274" s="1821"/>
      <c r="C274" s="369" t="s">
        <v>1063</v>
      </c>
      <c r="D274" s="2311"/>
      <c r="E274" s="2056"/>
      <c r="F274" s="2220"/>
      <c r="G274" s="2266"/>
      <c r="H274" s="1530"/>
      <c r="I274" s="657" t="s">
        <v>1062</v>
      </c>
      <c r="J274" s="577"/>
      <c r="K274" s="1530"/>
      <c r="L274" s="200"/>
      <c r="M274" s="337"/>
      <c r="N274" s="330"/>
      <c r="O274" s="1664"/>
      <c r="P274" s="1664"/>
    </row>
    <row s="2949" customFormat="1" customHeight="1" ht="0.75" hidden="1">
      <c r="A275" s="1821"/>
      <c r="B275" s="1821"/>
      <c r="C275" s="369" t="s">
        <v>1070</v>
      </c>
      <c r="D275" s="2311"/>
      <c r="E275" s="2056"/>
      <c r="F275" s="2220"/>
      <c r="G275" s="406"/>
      <c r="H275" s="1530"/>
      <c r="I275" s="657"/>
      <c r="J275" s="577"/>
      <c r="K275" s="1530"/>
      <c r="L275" s="200"/>
      <c r="M275" s="337"/>
      <c r="N275" s="330"/>
      <c r="O275" s="1664"/>
      <c r="P275" s="1664"/>
    </row>
    <row s="2949" customFormat="1" customHeight="1" ht="18.75" hidden="1">
      <c r="A276" s="1821" t="s">
        <v>189</v>
      </c>
      <c r="B276" s="1821" t="s">
        <v>190</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294</v>
      </c>
      <c r="M276" s="337"/>
      <c r="N276" s="330"/>
      <c r="O276" s="1664"/>
      <c r="P276" s="1664"/>
    </row>
    <row s="2949" customFormat="1" customHeight="1" ht="18.75" hidden="1">
      <c r="A277" s="1821"/>
      <c r="B277" s="1821"/>
      <c r="C277" s="369" t="s">
        <v>1063</v>
      </c>
      <c r="D277" s="2311"/>
      <c r="E277" s="2056"/>
      <c r="F277" s="2220"/>
      <c r="G277" s="2266"/>
      <c r="H277" s="1530"/>
      <c r="I277" s="657" t="s">
        <v>1062</v>
      </c>
      <c r="J277" s="577"/>
      <c r="K277" s="1530"/>
      <c r="L277" s="200"/>
      <c r="M277" s="337"/>
      <c r="N277" s="330"/>
      <c r="O277" s="1664"/>
      <c r="P277" s="1664"/>
    </row>
    <row s="2949" customFormat="1" customHeight="1" ht="0.75" hidden="1">
      <c r="A278" s="1821"/>
      <c r="B278" s="1821"/>
      <c r="C278" s="369" t="s">
        <v>1070</v>
      </c>
      <c r="D278" s="2311"/>
      <c r="E278" s="2056"/>
      <c r="F278" s="2220"/>
      <c r="G278" s="406"/>
      <c r="H278" s="1530"/>
      <c r="I278" s="657"/>
      <c r="J278" s="577"/>
      <c r="K278" s="1530"/>
      <c r="L278" s="200"/>
      <c r="M278" s="337"/>
      <c r="N278" s="330"/>
      <c r="O278" s="1664"/>
      <c r="P278" s="1664"/>
    </row>
    <row s="2949" customFormat="1" customHeight="1" ht="18.75" hidden="1">
      <c r="A279" s="1821" t="s">
        <v>195</v>
      </c>
      <c r="B279" s="1821" t="s">
        <v>196</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294</v>
      </c>
      <c r="M279" s="337"/>
      <c r="N279" s="330"/>
      <c r="O279" s="1664"/>
      <c r="P279" s="1664"/>
    </row>
    <row s="2949" customFormat="1" customHeight="1" ht="18.75" hidden="1">
      <c r="A280" s="1821"/>
      <c r="B280" s="1821"/>
      <c r="C280" s="369" t="s">
        <v>1063</v>
      </c>
      <c r="D280" s="2311"/>
      <c r="E280" s="2056"/>
      <c r="F280" s="2220"/>
      <c r="G280" s="2266"/>
      <c r="H280" s="1530"/>
      <c r="I280" s="657" t="s">
        <v>1062</v>
      </c>
      <c r="J280" s="577"/>
      <c r="K280" s="1530"/>
      <c r="L280" s="200"/>
      <c r="M280" s="337"/>
      <c r="N280" s="330"/>
      <c r="O280" s="1664"/>
      <c r="P280" s="1664"/>
    </row>
    <row s="2949" customFormat="1" customHeight="1" ht="0.75" hidden="1">
      <c r="A281" s="1821"/>
      <c r="B281" s="1821"/>
      <c r="C281" s="369" t="s">
        <v>1070</v>
      </c>
      <c r="D281" s="2311"/>
      <c r="E281" s="2056"/>
      <c r="F281" s="2220"/>
      <c r="G281" s="406"/>
      <c r="H281" s="1530"/>
      <c r="I281" s="657"/>
      <c r="J281" s="577"/>
      <c r="K281" s="1530"/>
      <c r="L281" s="200"/>
      <c r="M281" s="337"/>
      <c r="N281" s="330"/>
      <c r="O281" s="1664"/>
      <c r="P281" s="1664"/>
    </row>
    <row s="2949" customFormat="1" customHeight="1" ht="18.75" hidden="1">
      <c r="A282" s="1821" t="s">
        <v>210</v>
      </c>
      <c r="B282" s="1821" t="s">
        <v>211</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Тариф на питьевую воду (питьевое водоснабжение)</v>
      </c>
      <c r="H282" s="1905"/>
      <c r="I282" s="1779"/>
      <c r="J282" s="1814"/>
      <c r="K282" s="1819"/>
      <c r="L282" s="1905" t="s">
        <v>294</v>
      </c>
      <c r="M282" s="337"/>
      <c r="N282" s="330"/>
      <c r="O282" s="1664"/>
      <c r="P282" s="1664"/>
    </row>
    <row s="2949" customFormat="1" customHeight="1" ht="18.75" hidden="1">
      <c r="A283" s="1821"/>
      <c r="B283" s="1821"/>
      <c r="C283" s="369" t="s">
        <v>1063</v>
      </c>
      <c r="D283" s="2311"/>
      <c r="E283" s="2056"/>
      <c r="F283" s="2220"/>
      <c r="G283" s="2266"/>
      <c r="H283" s="1530"/>
      <c r="I283" s="657" t="s">
        <v>1062</v>
      </c>
      <c r="J283" s="577"/>
      <c r="K283" s="1530"/>
      <c r="L283" s="200"/>
      <c r="M283" s="337"/>
      <c r="N283" s="330"/>
      <c r="O283" s="1664"/>
      <c r="P283" s="1664"/>
    </row>
    <row s="2949" customFormat="1" customHeight="1" ht="0.75" hidden="1">
      <c r="A284" s="1821"/>
      <c r="B284" s="1821"/>
      <c r="C284" s="369" t="s">
        <v>1070</v>
      </c>
      <c r="D284" s="2311"/>
      <c r="E284" s="2056"/>
      <c r="F284" s="2220"/>
      <c r="G284" s="406"/>
      <c r="H284" s="1530"/>
      <c r="I284" s="657"/>
      <c r="J284" s="577"/>
      <c r="K284" s="1530"/>
      <c r="L284" s="200"/>
      <c r="M284" s="337"/>
      <c r="N284" s="330"/>
      <c r="O284" s="1664"/>
      <c r="P284" s="1664"/>
    </row>
    <row s="2949" customFormat="1" customHeight="1" ht="18.75" hidden="1">
      <c r="A285" s="1821" t="s">
        <v>218</v>
      </c>
      <c r="B285" s="1821" t="s">
        <v>219</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294</v>
      </c>
      <c r="M285" s="337"/>
      <c r="N285" s="330"/>
      <c r="O285" s="1664"/>
      <c r="P285" s="1664"/>
    </row>
    <row s="2949" customFormat="1" customHeight="1" ht="18.75" hidden="1">
      <c r="A286" s="1821"/>
      <c r="B286" s="1821"/>
      <c r="C286" s="369" t="s">
        <v>1063</v>
      </c>
      <c r="D286" s="2311"/>
      <c r="E286" s="2056"/>
      <c r="F286" s="2220"/>
      <c r="G286" s="2266"/>
      <c r="H286" s="1530"/>
      <c r="I286" s="657" t="s">
        <v>1062</v>
      </c>
      <c r="J286" s="577"/>
      <c r="K286" s="1530"/>
      <c r="L286" s="200"/>
      <c r="M286" s="337"/>
      <c r="N286" s="330"/>
      <c r="O286" s="1664"/>
      <c r="P286" s="1664"/>
    </row>
    <row s="2949" customFormat="1" customHeight="1" ht="0.75" hidden="1">
      <c r="A287" s="1821"/>
      <c r="B287" s="1821"/>
      <c r="C287" s="369" t="s">
        <v>1070</v>
      </c>
      <c r="D287" s="2311"/>
      <c r="E287" s="2056"/>
      <c r="F287" s="2220"/>
      <c r="G287" s="406"/>
      <c r="H287" s="1530"/>
      <c r="I287" s="657"/>
      <c r="J287" s="577"/>
      <c r="K287" s="1530"/>
      <c r="L287" s="200"/>
      <c r="M287" s="337"/>
      <c r="N287" s="330"/>
      <c r="O287" s="1664"/>
      <c r="P287" s="1664"/>
    </row>
    <row s="2949" customFormat="1" customHeight="1" ht="18.75" hidden="1">
      <c r="A288" s="1821" t="s">
        <v>223</v>
      </c>
      <c r="B288" s="1821" t="s">
        <v>224</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294</v>
      </c>
      <c r="M288" s="337"/>
      <c r="N288" s="330"/>
      <c r="O288" s="1664"/>
      <c r="P288" s="1664"/>
    </row>
    <row s="2949" customFormat="1" customHeight="1" ht="18.75" hidden="1">
      <c r="A289" s="1821"/>
      <c r="B289" s="1821"/>
      <c r="C289" s="369" t="s">
        <v>1063</v>
      </c>
      <c r="D289" s="2311"/>
      <c r="E289" s="2056"/>
      <c r="F289" s="2220"/>
      <c r="G289" s="2266"/>
      <c r="H289" s="1530"/>
      <c r="I289" s="657" t="s">
        <v>1062</v>
      </c>
      <c r="J289" s="577"/>
      <c r="K289" s="1530"/>
      <c r="L289" s="200"/>
      <c r="M289" s="337"/>
      <c r="N289" s="330"/>
      <c r="O289" s="1664"/>
      <c r="P289" s="1664"/>
    </row>
    <row s="2949" customFormat="1" customHeight="1" ht="0.75" hidden="1">
      <c r="A290" s="1821"/>
      <c r="B290" s="1821"/>
      <c r="C290" s="369" t="s">
        <v>1070</v>
      </c>
      <c r="D290" s="2311"/>
      <c r="E290" s="2056"/>
      <c r="F290" s="2220"/>
      <c r="G290" s="406"/>
      <c r="H290" s="1530"/>
      <c r="I290" s="657"/>
      <c r="J290" s="577"/>
      <c r="K290" s="1530"/>
      <c r="L290" s="200"/>
      <c r="M290" s="337"/>
      <c r="N290" s="330"/>
      <c r="O290" s="1664"/>
      <c r="P290" s="1664"/>
    </row>
    <row s="2949" customFormat="1" customHeight="1" ht="18.75" hidden="1">
      <c r="A291" s="1821" t="s">
        <v>228</v>
      </c>
      <c r="B291" s="1821" t="s">
        <v>229</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294</v>
      </c>
      <c r="M291" s="337"/>
      <c r="N291" s="330"/>
      <c r="O291" s="1664"/>
      <c r="P291" s="1664"/>
    </row>
    <row s="2949" customFormat="1" customHeight="1" ht="18.75" hidden="1">
      <c r="A292" s="1821"/>
      <c r="B292" s="1821"/>
      <c r="C292" s="369" t="s">
        <v>1063</v>
      </c>
      <c r="D292" s="2311"/>
      <c r="E292" s="2056"/>
      <c r="F292" s="2220"/>
      <c r="G292" s="2266"/>
      <c r="H292" s="1530"/>
      <c r="I292" s="657" t="s">
        <v>1062</v>
      </c>
      <c r="J292" s="577"/>
      <c r="K292" s="1530"/>
      <c r="L292" s="200"/>
      <c r="M292" s="337"/>
      <c r="N292" s="330"/>
      <c r="O292" s="1664"/>
      <c r="P292" s="1664"/>
    </row>
    <row s="2949" customFormat="1" customHeight="1" ht="0.75" hidden="1">
      <c r="A293" s="1821"/>
      <c r="B293" s="1821"/>
      <c r="C293" s="369" t="s">
        <v>1070</v>
      </c>
      <c r="D293" s="2311"/>
      <c r="E293" s="2056"/>
      <c r="F293" s="2220"/>
      <c r="G293" s="406"/>
      <c r="H293" s="1530"/>
      <c r="I293" s="657"/>
      <c r="J293" s="577"/>
      <c r="K293" s="1530"/>
      <c r="L293" s="200"/>
      <c r="M293" s="337"/>
      <c r="N293" s="330"/>
      <c r="O293" s="1664"/>
      <c r="P293" s="1664"/>
    </row>
    <row s="2949" customFormat="1" customHeight="1" ht="18.75" hidden="1">
      <c r="A294" s="1821" t="s">
        <v>233</v>
      </c>
      <c r="B294" s="1821" t="s">
        <v>234</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294</v>
      </c>
      <c r="M294" s="337"/>
      <c r="N294" s="330"/>
      <c r="O294" s="1664"/>
      <c r="P294" s="1664"/>
    </row>
    <row s="2949" customFormat="1" customHeight="1" ht="18.75" hidden="1">
      <c r="A295" s="1821"/>
      <c r="B295" s="1821"/>
      <c r="C295" s="369" t="s">
        <v>1063</v>
      </c>
      <c r="D295" s="2311"/>
      <c r="E295" s="2056"/>
      <c r="F295" s="2220"/>
      <c r="G295" s="2266"/>
      <c r="H295" s="1530"/>
      <c r="I295" s="657" t="s">
        <v>1062</v>
      </c>
      <c r="J295" s="577"/>
      <c r="K295" s="1530"/>
      <c r="L295" s="200"/>
      <c r="M295" s="337"/>
      <c r="N295" s="330"/>
      <c r="O295" s="1664"/>
      <c r="P295" s="1664"/>
    </row>
    <row s="2949" customFormat="1" customHeight="1" ht="0.75" hidden="1">
      <c r="A296" s="1821"/>
      <c r="B296" s="1821"/>
      <c r="C296" s="369" t="s">
        <v>1070</v>
      </c>
      <c r="D296" s="2311"/>
      <c r="E296" s="2056"/>
      <c r="F296" s="2220"/>
      <c r="G296" s="406"/>
      <c r="H296" s="1530"/>
      <c r="I296" s="657"/>
      <c r="J296" s="577"/>
      <c r="K296" s="1530"/>
      <c r="L296" s="200"/>
      <c r="M296" s="337"/>
      <c r="N296" s="330"/>
      <c r="O296" s="1664"/>
      <c r="P296" s="1664"/>
    </row>
    <row s="2949" customFormat="1" customHeight="1" ht="18.75" hidden="1">
      <c r="A297" s="1821" t="s">
        <v>238</v>
      </c>
      <c r="B297" s="1821" t="s">
        <v>239</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294</v>
      </c>
      <c r="M297" s="337"/>
      <c r="N297" s="330"/>
      <c r="O297" s="1664"/>
      <c r="P297" s="1664"/>
    </row>
    <row s="2949" customFormat="1" customHeight="1" ht="18.75" hidden="1">
      <c r="A298" s="1821"/>
      <c r="B298" s="1821"/>
      <c r="C298" s="369" t="s">
        <v>1063</v>
      </c>
      <c r="D298" s="2311"/>
      <c r="E298" s="2056"/>
      <c r="F298" s="2220"/>
      <c r="G298" s="2266"/>
      <c r="H298" s="1530"/>
      <c r="I298" s="657" t="s">
        <v>1062</v>
      </c>
      <c r="J298" s="577"/>
      <c r="K298" s="1530"/>
      <c r="L298" s="200"/>
      <c r="M298" s="337"/>
      <c r="N298" s="330"/>
      <c r="O298" s="1664"/>
      <c r="P298" s="1664"/>
    </row>
    <row s="2949" customFormat="1" customHeight="1" ht="0.75" hidden="1">
      <c r="A299" s="1821"/>
      <c r="B299" s="1821"/>
      <c r="C299" s="369" t="s">
        <v>1070</v>
      </c>
      <c r="D299" s="2311"/>
      <c r="E299" s="2056"/>
      <c r="F299" s="2220"/>
      <c r="G299" s="406"/>
      <c r="H299" s="1530"/>
      <c r="I299" s="657"/>
      <c r="J299" s="577"/>
      <c r="K299" s="1530"/>
      <c r="L299" s="200"/>
      <c r="M299" s="337"/>
      <c r="N299" s="330"/>
      <c r="O299" s="1664"/>
      <c r="P299" s="1664"/>
    </row>
    <row s="2949" customFormat="1" customHeight="1" ht="18.75" hidden="1">
      <c r="A300" s="1821" t="s">
        <v>243</v>
      </c>
      <c r="B300" s="1821" t="s">
        <v>244</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294</v>
      </c>
      <c r="M300" s="337"/>
      <c r="N300" s="330"/>
      <c r="O300" s="1664"/>
      <c r="P300" s="1664"/>
    </row>
    <row s="2949" customFormat="1" customHeight="1" ht="18.75" hidden="1">
      <c r="A301" s="1821"/>
      <c r="B301" s="1821"/>
      <c r="C301" s="369" t="s">
        <v>1063</v>
      </c>
      <c r="D301" s="2311"/>
      <c r="E301" s="2056"/>
      <c r="F301" s="2220"/>
      <c r="G301" s="2266"/>
      <c r="H301" s="1530"/>
      <c r="I301" s="657" t="s">
        <v>1062</v>
      </c>
      <c r="J301" s="577"/>
      <c r="K301" s="1530"/>
      <c r="L301" s="200"/>
      <c r="M301" s="337"/>
      <c r="N301" s="330"/>
      <c r="O301" s="1664"/>
      <c r="P301" s="1664"/>
    </row>
    <row s="2949" customFormat="1" customHeight="1" ht="0.75" hidden="1">
      <c r="A302" s="1821"/>
      <c r="B302" s="1821"/>
      <c r="C302" s="369" t="s">
        <v>1070</v>
      </c>
      <c r="D302" s="2311"/>
      <c r="E302" s="2056"/>
      <c r="F302" s="2220"/>
      <c r="G302" s="406"/>
      <c r="H302" s="1530"/>
      <c r="I302" s="657"/>
      <c r="J302" s="577"/>
      <c r="K302" s="1530"/>
      <c r="L302" s="200"/>
      <c r="M302" s="337"/>
      <c r="N302" s="330"/>
      <c r="O302" s="1664"/>
      <c r="P302" s="1664"/>
    </row>
    <row s="2949" customFormat="1" customHeight="1" ht="18.75" hidden="1">
      <c r="A303" s="1821" t="s">
        <v>248</v>
      </c>
      <c r="B303" s="1821" t="s">
        <v>249</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294</v>
      </c>
      <c r="M303" s="337"/>
      <c r="N303" s="330"/>
      <c r="O303" s="1664"/>
      <c r="P303" s="1664"/>
    </row>
    <row s="2949" customFormat="1" customHeight="1" ht="18.75" hidden="1">
      <c r="A304" s="1821"/>
      <c r="B304" s="1821"/>
      <c r="C304" s="369" t="s">
        <v>1063</v>
      </c>
      <c r="D304" s="2311"/>
      <c r="E304" s="2056"/>
      <c r="F304" s="2220"/>
      <c r="G304" s="2266"/>
      <c r="H304" s="1530"/>
      <c r="I304" s="657" t="s">
        <v>1062</v>
      </c>
      <c r="J304" s="577"/>
      <c r="K304" s="1530"/>
      <c r="L304" s="200"/>
      <c r="M304" s="337"/>
      <c r="N304" s="330"/>
      <c r="O304" s="1664"/>
      <c r="P304" s="1664"/>
    </row>
    <row s="2949" customFormat="1" customHeight="1" ht="0.75" hidden="1">
      <c r="A305" s="1821"/>
      <c r="B305" s="1821"/>
      <c r="C305" s="369" t="s">
        <v>1070</v>
      </c>
      <c r="D305" s="2311"/>
      <c r="E305" s="2056"/>
      <c r="F305" s="2220"/>
      <c r="G305" s="406"/>
      <c r="H305" s="1530"/>
      <c r="I305" s="657"/>
      <c r="J305" s="577"/>
      <c r="K305" s="1530"/>
      <c r="L305" s="200"/>
      <c r="M305" s="337"/>
      <c r="N305" s="330"/>
      <c r="O305" s="1664"/>
      <c r="P305" s="1664"/>
    </row>
    <row s="2949" customFormat="1" customHeight="1" ht="18.75" hidden="1">
      <c r="A306" s="1821" t="s">
        <v>253</v>
      </c>
      <c r="B306" s="1821" t="s">
        <v>254</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294</v>
      </c>
      <c r="M306" s="337"/>
      <c r="N306" s="330"/>
      <c r="O306" s="1664"/>
      <c r="P306" s="1664"/>
    </row>
    <row s="2949" customFormat="1" customHeight="1" ht="18.75" hidden="1">
      <c r="A307" s="1821"/>
      <c r="B307" s="1821"/>
      <c r="C307" s="369" t="s">
        <v>1063</v>
      </c>
      <c r="D307" s="2311"/>
      <c r="E307" s="2056"/>
      <c r="F307" s="2220"/>
      <c r="G307" s="2266"/>
      <c r="H307" s="1530"/>
      <c r="I307" s="657" t="s">
        <v>1062</v>
      </c>
      <c r="J307" s="577"/>
      <c r="K307" s="1530"/>
      <c r="L307" s="200"/>
      <c r="M307" s="337"/>
      <c r="N307" s="330"/>
      <c r="O307" s="1664"/>
      <c r="P307" s="1664"/>
    </row>
    <row s="2949" customFormat="1" customHeight="1" ht="0.75" hidden="1">
      <c r="A308" s="1821"/>
      <c r="B308" s="1821"/>
      <c r="C308" s="369" t="s">
        <v>1070</v>
      </c>
      <c r="D308" s="2311"/>
      <c r="E308" s="2056"/>
      <c r="F308" s="2220"/>
      <c r="G308" s="406"/>
      <c r="H308" s="1530"/>
      <c r="I308" s="657"/>
      <c r="J308" s="577"/>
      <c r="K308" s="1530"/>
      <c r="L308" s="200"/>
      <c r="M308" s="337"/>
      <c r="N308" s="330"/>
      <c r="O308" s="1664"/>
      <c r="P308" s="1664"/>
    </row>
    <row s="2949" customFormat="1" customHeight="1" ht="18.75" hidden="1">
      <c r="A309" s="1821" t="s">
        <v>258</v>
      </c>
      <c r="B309" s="1821" t="s">
        <v>259</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294</v>
      </c>
      <c r="M309" s="337"/>
      <c r="N309" s="330"/>
      <c r="O309" s="1664"/>
      <c r="P309" s="1664"/>
    </row>
    <row s="2949" customFormat="1" customHeight="1" ht="18.75" hidden="1">
      <c r="A310" s="1821"/>
      <c r="B310" s="1821"/>
      <c r="C310" s="369" t="s">
        <v>1063</v>
      </c>
      <c r="D310" s="2311"/>
      <c r="E310" s="2056"/>
      <c r="F310" s="2220"/>
      <c r="G310" s="2266"/>
      <c r="H310" s="1530"/>
      <c r="I310" s="657" t="s">
        <v>1062</v>
      </c>
      <c r="J310" s="577"/>
      <c r="K310" s="1530"/>
      <c r="L310" s="200"/>
      <c r="M310" s="337"/>
      <c r="N310" s="330"/>
      <c r="O310" s="1664"/>
      <c r="P310" s="1664"/>
    </row>
    <row s="2949" customFormat="1" customHeight="1" ht="0.75" hidden="1">
      <c r="A311" s="1821"/>
      <c r="B311" s="1821"/>
      <c r="C311" s="369" t="s">
        <v>1070</v>
      </c>
      <c r="D311" s="2311"/>
      <c r="E311" s="2056"/>
      <c r="F311" s="2220"/>
      <c r="G311" s="406"/>
      <c r="H311" s="1530"/>
      <c r="I311" s="657"/>
      <c r="J311" s="577"/>
      <c r="K311" s="1530"/>
      <c r="L311" s="200"/>
      <c r="M311" s="337"/>
      <c r="N311" s="330"/>
      <c r="O311" s="1664"/>
      <c r="P311" s="1664"/>
    </row>
    <row s="2949" customFormat="1" customHeight="1" ht="18.75" hidden="1">
      <c r="A312" s="1821" t="s">
        <v>263</v>
      </c>
      <c r="B312" s="1821" t="s">
        <v>264</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294</v>
      </c>
      <c r="M312" s="337"/>
      <c r="N312" s="330"/>
      <c r="O312" s="1664"/>
      <c r="P312" s="1664"/>
    </row>
    <row s="2949" customFormat="1" customHeight="1" ht="18.75" hidden="1">
      <c r="A313" s="1821"/>
      <c r="B313" s="1821"/>
      <c r="C313" s="369" t="s">
        <v>1063</v>
      </c>
      <c r="D313" s="2311"/>
      <c r="E313" s="2056"/>
      <c r="F313" s="2220"/>
      <c r="G313" s="2266"/>
      <c r="H313" s="1530"/>
      <c r="I313" s="657" t="s">
        <v>1062</v>
      </c>
      <c r="J313" s="577"/>
      <c r="K313" s="1530"/>
      <c r="L313" s="200"/>
      <c r="M313" s="337"/>
      <c r="N313" s="330"/>
      <c r="O313" s="1664"/>
      <c r="P313" s="1664"/>
    </row>
    <row s="2949" customFormat="1" customHeight="1" ht="0.75">
      <c r="A314" s="1821"/>
      <c r="B314" s="1821"/>
      <c r="C314" s="369" t="s">
        <v>1070</v>
      </c>
      <c r="D314" s="2311"/>
      <c r="E314" s="2056"/>
      <c r="F314" s="2220"/>
      <c r="G314" s="406"/>
      <c r="H314" s="1530"/>
      <c r="I314" s="657"/>
      <c r="J314" s="577"/>
      <c r="K314" s="1530"/>
      <c r="L314" s="200"/>
      <c r="M314" s="337"/>
      <c r="N314" s="330"/>
      <c r="O314" s="1664"/>
      <c r="P314" s="1664"/>
    </row>
    <row s="5296"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067C44-E00D-CFA3-9834-005276972688}"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5348" width="9.140625" hidden="1" customWidth="1"/>
    <col min="2" max="2" style="5248" width="9.140625" hidden="1" customWidth="1"/>
    <col min="3" max="3" style="3371" width="3.7109375" customWidth="1"/>
    <col min="4" max="4" style="5335" width="6.28125" customWidth="1"/>
    <col min="5" max="5" style="5335" width="53.8515625" customWidth="1"/>
    <col min="6" max="7" style="5335" width="35.7109375" customWidth="1"/>
    <col min="8" max="8" style="5335" width="89.57421875" customWidth="1"/>
    <col min="9" max="9" style="5335" width="10.57421875"/>
    <col min="10" max="11" style="5251" width="10.57421875"/>
    <col min="12" max="17" style="5335" width="10.57421875"/>
  </cols>
  <sheetData>
    <row customHeight="1" ht="14.25" hidden="1">
      <c r="N1" s="241"/>
      <c r="O1" s="241"/>
      <c r="Q1" s="241"/>
    </row>
    <row s="2949" customFormat="1" customHeight="1" ht="18.75" hidden="1">
      <c r="A2" s="88"/>
      <c r="B2" s="1168"/>
      <c r="C2" s="1770" t="s">
        <v>476</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97"/>
      <c r="F5" s="2297"/>
      <c r="G5" s="2298"/>
      <c r="H5" s="252"/>
    </row>
    <row s="2949" customFormat="1" customHeight="1" ht="17.25">
      <c r="A6" s="1709"/>
      <c r="B6" s="1168"/>
      <c r="C6" s="377"/>
      <c r="D6" s="2299" t="str">
        <f>IF(org=0,"Не определено",org)</f>
        <v>АО "РИР" (филиал в г. Глазове)</v>
      </c>
      <c r="E6" s="2300"/>
      <c r="F6" s="2300"/>
      <c r="G6" s="2301"/>
      <c r="H6" s="252"/>
      <c r="J6" s="1664"/>
      <c r="K6" s="1664"/>
    </row>
    <row customHeight="1" ht="14.25">
      <c r="C7" s="377"/>
      <c r="D7" s="361"/>
      <c r="E7" s="395"/>
      <c r="F7" s="395"/>
      <c r="G7" s="758"/>
      <c r="H7" s="179"/>
    </row>
    <row customHeight="1" ht="14.25">
      <c r="C8" s="377"/>
      <c r="D8" s="2062" t="s">
        <v>288</v>
      </c>
      <c r="E8" s="2062"/>
      <c r="F8" s="2062"/>
      <c r="G8" s="2062"/>
      <c r="H8" s="2302" t="s">
        <v>289</v>
      </c>
    </row>
    <row customHeight="1" ht="14.25">
      <c r="C9" s="377"/>
      <c r="D9" s="392" t="s">
        <v>86</v>
      </c>
      <c r="E9" s="94" t="s">
        <v>290</v>
      </c>
      <c r="F9" s="94" t="s">
        <v>291</v>
      </c>
      <c r="G9" s="94" t="s">
        <v>380</v>
      </c>
      <c r="H9" s="2302"/>
    </row>
    <row customHeight="1" ht="14.25">
      <c r="A10" s="339"/>
      <c r="C10" s="377"/>
      <c r="D10" s="133" t="s">
        <v>107</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c r="G10" s="199"/>
      <c r="H10" s="2015" t="s">
        <v>1071</v>
      </c>
    </row>
    <row customHeight="1" ht="14.25">
      <c r="A11" s="339"/>
      <c r="C11" s="377"/>
      <c r="D11" s="133" t="s">
        <v>108</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c r="G11" s="199"/>
      <c r="H11" s="2016"/>
    </row>
    <row customHeight="1" ht="14.25">
      <c r="A12" s="88"/>
      <c r="C12" s="393"/>
      <c r="D12" s="133" t="s">
        <v>88</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89</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1021</v>
      </c>
      <c r="F14" s="345"/>
      <c r="G14" s="187"/>
      <c r="H14" s="2017"/>
    </row>
    <row s="294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506D98-B4B8-1397-A515-5262A4B7F989}"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5026" width="4.7109375" customWidth="1"/>
    <col min="4" max="4" style="3153" width="6.28125" customWidth="1"/>
    <col min="5" max="5" style="3153" width="47.8515625" customWidth="1"/>
    <col min="6" max="6" style="3153" width="9.57421875" customWidth="1"/>
    <col min="7" max="7" style="2625" width="25.7109375" hidden="1" customWidth="1"/>
    <col min="8" max="8" style="2625" width="34.00390625" hidden="1" customWidth="1"/>
    <col min="9" max="9" style="3153" width="25.7109375" customWidth="1"/>
    <col min="10" max="10" style="3153" width="34.00390625" customWidth="1"/>
    <col min="11" max="11" style="2626" width="50.8515625" customWidth="1"/>
    <col min="12" max="20" style="3153" width="10.57421875"/>
    <col min="21" max="21" style="4960" width="10.57421875"/>
  </cols>
  <sheetData>
    <row s="2626" customFormat="1" customHeight="1" ht="15" hidden="1">
      <c r="C1" s="678"/>
      <c r="G1" s="423">
        <v>4</v>
      </c>
      <c r="I1" s="423">
        <v>4</v>
      </c>
      <c r="U1" s="426"/>
    </row>
    <row s="2629" customFormat="1" customHeight="1" ht="15" hidden="1">
      <c r="A2" s="360"/>
      <c r="C2" s="162"/>
      <c r="D2" s="342"/>
      <c r="E2" s="679"/>
      <c r="F2" s="528"/>
      <c r="G2" s="622"/>
      <c r="H2" s="622"/>
      <c r="I2" s="622"/>
      <c r="J2" s="622"/>
      <c r="U2" s="680"/>
    </row>
    <row s="2626" customFormat="1" customHeight="1" ht="15" hidden="1">
      <c r="C3" s="678"/>
      <c r="U3" s="426"/>
    </row>
    <row customHeight="1" ht="15">
      <c r="C4" s="162"/>
      <c r="D4" s="515"/>
      <c r="E4" s="515"/>
      <c r="F4" s="515"/>
      <c r="G4" s="515"/>
      <c r="H4" s="515"/>
      <c r="I4" s="515"/>
      <c r="J4" s="515"/>
    </row>
    <row customHeight="1" ht="63">
      <c r="C5" s="162"/>
      <c r="D5" s="2085" t="s">
        <v>1072</v>
      </c>
      <c r="E5" s="2085"/>
      <c r="F5" s="2085"/>
      <c r="G5" s="2085"/>
      <c r="H5" s="2085"/>
      <c r="I5" s="2085"/>
      <c r="J5" s="2085"/>
    </row>
    <row customHeight="1" ht="15">
      <c r="C6" s="162"/>
      <c r="D6" s="2053" t="str">
        <f>IF(org=0,"Не определено",org)</f>
        <v>АО "РИР" (филиал в г. Глазове)</v>
      </c>
      <c r="E6" s="2053"/>
      <c r="F6" s="2053"/>
      <c r="G6" s="2053"/>
      <c r="H6" s="2053"/>
      <c r="I6" s="2053"/>
      <c r="J6" s="2053"/>
      <c r="K6" s="543"/>
    </row>
    <row customHeight="1" ht="15">
      <c r="C7" s="162"/>
      <c r="D7" s="758"/>
      <c r="E7" s="515"/>
      <c r="F7" s="515"/>
      <c r="G7" s="543">
        <v>22</v>
      </c>
      <c r="I7" s="543">
        <v>1</v>
      </c>
      <c r="J7" s="758"/>
    </row>
    <row s="2625" customFormat="1" customHeight="1" ht="0.75">
      <c r="A8" s="765"/>
      <c r="C8" s="162"/>
      <c r="D8" s="515"/>
      <c r="E8" s="515"/>
      <c r="F8" s="515"/>
      <c r="G8" s="543"/>
      <c r="H8" s="758"/>
      <c r="I8" s="543" t="s">
        <v>115</v>
      </c>
      <c r="J8" s="758"/>
      <c r="K8" s="423"/>
      <c r="U8" s="681"/>
    </row>
    <row customHeight="1" ht="15">
      <c r="C9" s="162"/>
      <c r="D9" s="717"/>
      <c r="E9" s="2213" t="s">
        <v>103</v>
      </c>
      <c r="F9" s="2214"/>
      <c r="G9" s="2236" t="str">
        <f>IF(G8="","",INDEX(DIFFERENTIATION_UNMERGE_VD,MATCH(G8,DIFFERENTIATION_ID_DIFF,0)))</f>
        <v/>
      </c>
      <c r="H9" s="2237"/>
      <c r="I9" s="2236">
        <f>IF(I8="","",INDEX(DIFFERENTIATION_UNMERGE_VD,MATCH(I8,DIFFERENTIATION_ID_DIFF,0)))</f>
        <v>0</v>
      </c>
      <c r="J9" s="2237"/>
      <c r="K9" s="2028" t="s">
        <v>289</v>
      </c>
    </row>
    <row s="2625" customFormat="1" customHeight="1" ht="15">
      <c r="A10" s="765"/>
      <c r="C10" s="162"/>
      <c r="D10" s="717"/>
      <c r="E10" s="2213" t="s">
        <v>548</v>
      </c>
      <c r="F10" s="2214"/>
      <c r="G10" s="2236" t="str">
        <f>IF(G8="","",INDEX(DIFFERENTIATION_UNMERGE_AREA,MATCH(G8,DIFFERENTIATION_ID_DIFF,0)))</f>
        <v/>
      </c>
      <c r="H10" s="2237"/>
      <c r="I10" s="2236" t="str">
        <f>IF(I8="","",INDEX(DIFFERENTIATION_UNMERGE_AREA,MATCH(I8,DIFFERENTIATION_ID_DIFF,0)))</f>
        <v/>
      </c>
      <c r="J10" s="2237"/>
      <c r="K10" s="2036"/>
      <c r="U10" s="681"/>
    </row>
    <row s="2625" customFormat="1" customHeight="1" ht="15">
      <c r="A11" s="765"/>
      <c r="C11" s="162"/>
      <c r="D11" s="717"/>
      <c r="E11" s="2213" t="s">
        <v>549</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5" customFormat="1" customHeight="1" ht="15">
      <c r="A12" s="765"/>
      <c r="C12" s="162"/>
      <c r="D12" s="2215" t="s">
        <v>288</v>
      </c>
      <c r="E12" s="2216"/>
      <c r="F12" s="2216"/>
      <c r="G12" s="893"/>
      <c r="H12" s="893"/>
      <c r="I12" s="893"/>
      <c r="J12" s="893"/>
      <c r="K12" s="2036"/>
      <c r="U12" s="681"/>
    </row>
    <row customHeight="1" ht="33.75">
      <c r="C13" s="162"/>
      <c r="D13" s="811" t="s">
        <v>86</v>
      </c>
      <c r="E13" s="813" t="s">
        <v>290</v>
      </c>
      <c r="F13" s="813" t="s">
        <v>550</v>
      </c>
      <c r="G13" s="814" t="s">
        <v>291</v>
      </c>
      <c r="H13" s="813" t="s">
        <v>380</v>
      </c>
      <c r="I13" s="814" t="s">
        <v>291</v>
      </c>
      <c r="J13" s="813" t="s">
        <v>380</v>
      </c>
      <c r="K13" s="2090"/>
    </row>
    <row customHeight="1" ht="15" hidden="1">
      <c r="C14" s="162"/>
      <c r="D14" s="599" t="s">
        <v>107</v>
      </c>
      <c r="E14" s="599" t="s">
        <v>108</v>
      </c>
      <c r="F14" s="599" t="s">
        <v>88</v>
      </c>
      <c r="G14" s="665" t="str">
        <f>G1&amp;".1"</f>
        <v>4.1</v>
      </c>
      <c r="H14" s="665"/>
      <c r="I14" s="665" t="str">
        <f>I1&amp;".1"</f>
        <v>4.1</v>
      </c>
      <c r="J14" s="665"/>
      <c r="K14" s="277"/>
    </row>
    <row customHeight="1" ht="22.5" hidden="1">
      <c r="A15" s="511"/>
      <c r="C15" s="532"/>
      <c r="D15" s="527">
        <v>1</v>
      </c>
      <c r="E15" s="683" t="s">
        <v>707</v>
      </c>
      <c r="F15" s="527" t="s">
        <v>708</v>
      </c>
      <c r="G15" s="684"/>
      <c r="H15" s="684"/>
      <c r="I15" s="684"/>
      <c r="J15" s="684"/>
      <c r="K15" s="277" t="s">
        <v>709</v>
      </c>
    </row>
    <row customHeight="1" ht="22.5" hidden="1">
      <c r="A16" s="511"/>
      <c r="C16" s="532"/>
      <c r="D16" s="527">
        <v>2</v>
      </c>
      <c r="E16" s="267" t="s">
        <v>710</v>
      </c>
      <c r="F16" s="527" t="s">
        <v>711</v>
      </c>
      <c r="G16" s="684"/>
      <c r="H16" s="684"/>
      <c r="I16" s="684"/>
      <c r="J16" s="684"/>
      <c r="K16" s="277" t="s">
        <v>712</v>
      </c>
    </row>
    <row customHeight="1" ht="123.75" hidden="1">
      <c r="A17" s="511"/>
      <c r="C17" s="532"/>
      <c r="D17" s="527">
        <v>3</v>
      </c>
      <c r="E17" s="267" t="s">
        <v>1073</v>
      </c>
      <c r="F17" s="527" t="s">
        <v>294</v>
      </c>
      <c r="G17" s="684"/>
      <c r="H17" s="684"/>
      <c r="I17" s="684"/>
      <c r="J17" s="684"/>
      <c r="K17" s="277" t="s">
        <v>1074</v>
      </c>
    </row>
    <row customHeight="1" ht="45">
      <c r="A18" s="511"/>
      <c r="C18" s="532"/>
      <c r="D18" s="527">
        <v>4</v>
      </c>
      <c r="E18" s="267" t="s">
        <v>713</v>
      </c>
      <c r="F18" s="527" t="s">
        <v>294</v>
      </c>
      <c r="G18" s="815" t="s">
        <v>294</v>
      </c>
      <c r="H18" s="816" t="s">
        <v>294</v>
      </c>
      <c r="I18" s="527" t="s">
        <v>294</v>
      </c>
      <c r="J18" s="584" t="s">
        <v>294</v>
      </c>
      <c r="K18" s="277" t="s">
        <v>1075</v>
      </c>
    </row>
    <row customHeight="1" ht="33.75">
      <c r="A19" s="511"/>
      <c r="C19" s="532"/>
      <c r="D19" s="545" t="s">
        <v>651</v>
      </c>
      <c r="E19" s="565" t="s">
        <v>715</v>
      </c>
      <c r="F19" s="527" t="s">
        <v>716</v>
      </c>
      <c r="G19" s="823"/>
      <c r="H19" s="92"/>
      <c r="I19" s="823"/>
      <c r="J19" s="824"/>
      <c r="K19" s="685"/>
    </row>
    <row customHeight="1" ht="33.75">
      <c r="A20" s="511"/>
      <c r="C20" s="532"/>
      <c r="D20" s="545" t="s">
        <v>694</v>
      </c>
      <c r="E20" s="565" t="s">
        <v>717</v>
      </c>
      <c r="F20" s="527" t="s">
        <v>718</v>
      </c>
      <c r="G20" s="823"/>
      <c r="H20" s="92"/>
      <c r="I20" s="823"/>
      <c r="J20" s="92"/>
      <c r="K20" s="685"/>
    </row>
    <row customHeight="1" ht="45">
      <c r="A21" s="511"/>
      <c r="C21" s="532"/>
      <c r="D21" s="545" t="s">
        <v>697</v>
      </c>
      <c r="E21" s="565" t="s">
        <v>719</v>
      </c>
      <c r="F21" s="527" t="s">
        <v>555</v>
      </c>
      <c r="G21" s="686"/>
      <c r="H21" s="92"/>
      <c r="I21" s="686"/>
      <c r="J21" s="92"/>
      <c r="K21" s="685"/>
    </row>
    <row customHeight="1" ht="67.5" hidden="1">
      <c r="A22" s="511"/>
      <c r="C22" s="532"/>
      <c r="D22" s="527">
        <v>5</v>
      </c>
      <c r="E22" s="267" t="s">
        <v>1076</v>
      </c>
      <c r="F22" s="527" t="s">
        <v>542</v>
      </c>
      <c r="G22" s="687"/>
      <c r="H22" s="688"/>
      <c r="I22" s="687"/>
      <c r="J22" s="688"/>
      <c r="K22" s="277" t="s">
        <v>1077</v>
      </c>
    </row>
    <row customHeight="1" ht="33.75" hidden="1">
      <c r="C23" s="457"/>
      <c r="D23" s="527">
        <v>6</v>
      </c>
      <c r="E23" s="267" t="s">
        <v>1078</v>
      </c>
      <c r="F23" s="527" t="s">
        <v>1079</v>
      </c>
      <c r="G23" s="687"/>
      <c r="H23" s="687"/>
      <c r="I23" s="687"/>
      <c r="J23" s="687"/>
      <c r="K23" s="277" t="s">
        <v>1080</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0C481-2846-BF6C-9CCB-E9EC448D3321}"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5362" width="9.140625" hidden="1"/>
    <col min="2" max="2" style="5363" width="9.140625" hidden="1"/>
    <col min="3" max="3" style="5364" width="3.7109375" customWidth="1"/>
    <col min="4" max="4" style="5376" width="7.00390625" customWidth="1"/>
    <col min="5" max="5" style="5376" width="23.140625" customWidth="1"/>
    <col min="6" max="6" style="5376" width="16.00390625" customWidth="1"/>
    <col min="7" max="7" style="5376" width="14.8515625" customWidth="1"/>
    <col min="8" max="8" style="5376" width="47.8515625" customWidth="1"/>
    <col min="9" max="9" style="5376" width="115.7109375" customWidth="1"/>
    <col min="10" max="10" style="5376" width="3.7109375" customWidth="1"/>
    <col min="11" max="12" style="5376" width="9.140625"/>
  </cols>
  <sheetData>
    <row customHeight="1" ht="14.25" hidden="1"/>
    <row customHeight="1" ht="14.25" hidden="1"/>
    <row customHeight="1" ht="14.25" hidden="1"/>
    <row customHeight="1" ht="3"/>
    <row s="2689" customFormat="1" customHeight="1" ht="30">
      <c r="A5" s="101"/>
      <c r="C5" s="75"/>
      <c r="D5" s="1954" t="s">
        <v>1081</v>
      </c>
      <c r="E5" s="1954"/>
      <c r="F5" s="1954"/>
      <c r="G5" s="1954"/>
      <c r="H5" s="1954"/>
      <c r="I5" s="251"/>
    </row>
    <row customHeight="1" ht="3" hidden="1">
      <c r="D6" s="108"/>
      <c r="E6" s="108"/>
      <c r="F6" s="108"/>
      <c r="G6" s="108"/>
      <c r="H6" s="108"/>
      <c r="I6" s="108"/>
    </row>
    <row s="5362" customFormat="1" customHeight="1" ht="14.25">
      <c r="B7" s="105"/>
      <c r="C7" s="106"/>
      <c r="D7" s="109"/>
      <c r="E7" s="109"/>
      <c r="F7" s="109"/>
      <c r="G7" s="109"/>
      <c r="H7" s="758"/>
      <c r="I7" s="109"/>
      <c r="J7" s="110"/>
    </row>
    <row customHeight="1" ht="14.25">
      <c r="D8" s="2062" t="s">
        <v>288</v>
      </c>
      <c r="E8" s="2062"/>
      <c r="F8" s="2062"/>
      <c r="G8" s="2062"/>
      <c r="H8" s="2062"/>
      <c r="I8" s="2062" t="s">
        <v>289</v>
      </c>
    </row>
    <row customHeight="1" ht="27.75">
      <c r="D9" s="2062" t="s">
        <v>86</v>
      </c>
      <c r="E9" s="2062" t="s">
        <v>1082</v>
      </c>
      <c r="F9" s="2062"/>
      <c r="G9" s="2062"/>
      <c r="H9" s="2062"/>
      <c r="I9" s="2062"/>
    </row>
    <row customHeight="1" ht="22.5">
      <c r="D10" s="2062"/>
      <c r="E10" s="113" t="s">
        <v>1083</v>
      </c>
      <c r="F10" s="113" t="s">
        <v>1084</v>
      </c>
      <c r="G10" s="113" t="s">
        <v>1085</v>
      </c>
      <c r="H10" s="113" t="s">
        <v>380</v>
      </c>
      <c r="I10" s="2062"/>
    </row>
    <row customHeight="1" ht="12" hidden="1">
      <c r="D11" s="72" t="s">
        <v>107</v>
      </c>
      <c r="E11" s="72" t="s">
        <v>89</v>
      </c>
      <c r="F11" s="72" t="s">
        <v>109</v>
      </c>
      <c r="G11" s="72" t="s">
        <v>90</v>
      </c>
      <c r="H11" s="72" t="s">
        <v>91</v>
      </c>
      <c r="I11" s="72" t="s">
        <v>110</v>
      </c>
    </row>
    <row s="5368" customFormat="1" customHeight="1" ht="24.75">
      <c r="A12" s="131" t="s">
        <v>88</v>
      </c>
      <c r="B12" s="111" t="s">
        <v>24</v>
      </c>
      <c r="C12" s="112"/>
      <c r="D12" s="114" t="s">
        <v>107</v>
      </c>
      <c r="E12" s="387"/>
      <c r="F12" s="387"/>
      <c r="G12" s="1774" t="s">
        <v>24</v>
      </c>
      <c r="H12" s="388"/>
      <c r="I12" s="2015" t="s">
        <v>1086</v>
      </c>
      <c r="K12" s="258"/>
      <c r="L12" s="259"/>
    </row>
    <row customHeight="1" ht="15">
      <c r="A13" s="107"/>
      <c r="B13" s="107"/>
      <c r="C13" s="107"/>
      <c r="D13" s="95"/>
      <c r="E13" s="116" t="s">
        <v>454</v>
      </c>
      <c r="F13" s="115"/>
      <c r="G13" s="115"/>
      <c r="H13" s="200"/>
      <c r="I13" s="2017"/>
    </row>
    <row customHeight="1" ht="3">
      <c r="A14" s="107"/>
      <c r="B14" s="107"/>
      <c r="C14" s="107"/>
    </row>
    <row customHeight="1" ht="27.75">
      <c r="E15" s="2314" t="s">
        <v>1087</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61E88-A3F7-87DF-D807-CD7A1F4486D9}"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5396" width="9.140625" hidden="1"/>
    <col min="3" max="3" style="5397" width="3.7109375" customWidth="1"/>
    <col min="4" max="4" style="5396" width="6.28125" customWidth="1"/>
    <col min="5" max="5" style="5396" width="94.8515625" customWidth="1"/>
    <col min="6" max="9" style="5396"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1088</v>
      </c>
      <c r="E7" s="2316"/>
      <c r="F7" s="253"/>
    </row>
    <row customHeight="1" ht="3">
      <c r="C8" s="77"/>
      <c r="D8" s="55"/>
      <c r="E8" s="55"/>
    </row>
    <row customHeight="1" ht="15.75">
      <c r="C9" s="77"/>
      <c r="D9" s="91" t="s">
        <v>86</v>
      </c>
      <c r="E9" s="246" t="s">
        <v>1089</v>
      </c>
    </row>
    <row customHeight="1" ht="0.75">
      <c r="C10" s="77"/>
      <c r="D10" s="72"/>
      <c r="E10" s="72"/>
    </row>
    <row customHeight="1" ht="11.25" hidden="1">
      <c r="C11" s="77"/>
      <c r="D11" s="136">
        <v>0</v>
      </c>
      <c r="E11" s="247"/>
    </row>
    <row customHeight="1" ht="15">
      <c r="C12" s="122"/>
      <c r="D12" s="99">
        <v>1</v>
      </c>
      <c r="E12" s="380"/>
    </row>
    <row customHeight="1" ht="12">
      <c r="C13" s="77"/>
      <c r="D13" s="248"/>
      <c r="E13" s="249" t="s">
        <v>1090</v>
      </c>
    </row>
    <row customHeight="1" ht="3"/>
    <row customHeight="1" ht="22.5">
      <c r="C15" s="123"/>
      <c r="D15" s="2317" t="s">
        <v>1091</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9CA4AA-91AC-9ED7-354E-9F0E0AEA98E5}" mc:Ignorable="x14ac xr xr2 xr3">
  <dimension ref="A1:I24"/>
  <sheetViews>
    <sheetView topLeftCell="C4" showGridLines="0" zoomScale="90" workbookViewId="0">
      <selection activeCell="A1" sqref="A1"/>
    </sheetView>
  </sheetViews>
  <sheetFormatPr defaultColWidth="9.140625" customHeight="1" defaultRowHeight="11.25"/>
  <cols>
    <col min="1"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93.421875" customWidth="1"/>
    <col min="8" max="8" style="3087" width="9.140625"/>
    <col min="9" max="9" style="3087" width="65.00390625" customWidth="1"/>
  </cols>
  <sheetData>
    <row customHeight="1" ht="11.25" hidden="1">
      <c r="A1" s="507" t="s">
        <v>287</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092"/>
      <c r="F5" s="2093"/>
      <c r="I5" s="721"/>
    </row>
    <row customHeight="1" ht="17.25">
      <c r="D6" s="2053" t="str">
        <f>IF(region_name=0,"Не определено",region_name)</f>
        <v>Удмуртская республика</v>
      </c>
      <c r="E6" s="2053"/>
      <c r="F6" s="2053"/>
      <c r="I6" s="721"/>
    </row>
    <row s="300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288</v>
      </c>
      <c r="E9" s="2057"/>
      <c r="F9" s="2057"/>
      <c r="G9" s="2061" t="s">
        <v>289</v>
      </c>
    </row>
    <row customHeight="1" ht="11.25">
      <c r="A10" s="508"/>
      <c r="B10" s="508"/>
      <c r="C10" s="463"/>
      <c r="D10" s="1504" t="s">
        <v>86</v>
      </c>
      <c r="E10" s="1506" t="s">
        <v>290</v>
      </c>
      <c r="F10" s="1506" t="s">
        <v>291</v>
      </c>
      <c r="G10" s="2062"/>
    </row>
    <row customHeight="1" ht="0.75">
      <c r="A11" s="508"/>
      <c r="B11" s="508"/>
      <c r="C11" s="463"/>
      <c r="D11" s="470"/>
      <c r="E11" s="470"/>
      <c r="F11" s="470"/>
      <c r="G11" s="470"/>
    </row>
    <row customHeight="1" ht="22.5">
      <c r="A12" s="508"/>
      <c r="B12" s="508"/>
      <c r="C12" s="463"/>
      <c r="D12" s="1550">
        <v>1</v>
      </c>
      <c r="E12" s="480" t="s">
        <v>1092</v>
      </c>
      <c r="F12" s="1902" t="str">
        <f>IF(org="","",org)</f>
        <v>АО "РИР" (филиал в г. Глазове)</v>
      </c>
      <c r="G12" s="480" t="s">
        <v>1093</v>
      </c>
      <c r="H12" s="1563"/>
    </row>
    <row customHeight="1" ht="18.75">
      <c r="A13" s="508"/>
      <c r="B13" s="508"/>
      <c r="C13" s="463"/>
      <c r="D13" s="1550">
        <v>2</v>
      </c>
      <c r="E13" s="1557" t="s">
        <v>1094</v>
      </c>
      <c r="F13" s="1551" t="s">
        <v>294</v>
      </c>
      <c r="G13" s="480"/>
      <c r="H13" s="1563"/>
    </row>
    <row customHeight="1" ht="18.75">
      <c r="A14" s="508"/>
      <c r="B14" s="508"/>
      <c r="C14" s="463"/>
      <c r="D14" s="1553" t="s">
        <v>606</v>
      </c>
      <c r="E14" s="1554" t="s">
        <v>1095</v>
      </c>
      <c r="F14" s="1556"/>
      <c r="G14" s="1555" t="s">
        <v>1096</v>
      </c>
      <c r="H14" s="1563"/>
    </row>
    <row customHeight="1" ht="18.75">
      <c r="A15" s="508"/>
      <c r="B15" s="508"/>
      <c r="C15" s="463"/>
      <c r="D15" s="1553" t="s">
        <v>295</v>
      </c>
      <c r="E15" s="1554" t="s">
        <v>1097</v>
      </c>
      <c r="F15" s="1556"/>
      <c r="G15" s="1555" t="s">
        <v>1098</v>
      </c>
      <c r="H15" s="1563"/>
    </row>
    <row customHeight="1" ht="36.75">
      <c r="A16" s="508"/>
      <c r="B16" s="508"/>
      <c r="C16" s="463"/>
      <c r="D16" s="1553" t="s">
        <v>298</v>
      </c>
      <c r="E16" s="1552" t="s">
        <v>1099</v>
      </c>
      <c r="F16" s="1561"/>
      <c r="G16" s="480" t="s">
        <v>1100</v>
      </c>
      <c r="H16" s="1563"/>
    </row>
    <row customHeight="1" ht="45">
      <c r="A17" s="508"/>
      <c r="B17" s="508"/>
      <c r="C17" s="463"/>
      <c r="D17" s="1550">
        <v>3</v>
      </c>
      <c r="E17" s="1557" t="s">
        <v>1101</v>
      </c>
      <c r="F17" s="1556"/>
      <c r="G17" s="480" t="s">
        <v>1102</v>
      </c>
      <c r="H17" s="1563"/>
    </row>
    <row customHeight="1" ht="45">
      <c r="A18" s="1505">
        <v>1</v>
      </c>
      <c r="B18" s="508"/>
      <c r="C18" s="1507"/>
      <c r="D18" s="1550" t="s">
        <v>89</v>
      </c>
      <c r="E18" s="1557" t="s">
        <v>1103</v>
      </c>
      <c r="F18" s="1556"/>
      <c r="G18" s="480" t="s">
        <v>1102</v>
      </c>
      <c r="H18" s="1563"/>
      <c r="I18" s="858"/>
    </row>
    <row customHeight="1" ht="22.5">
      <c r="A19" s="508"/>
      <c r="B19" s="508"/>
      <c r="C19" s="463"/>
      <c r="D19" s="1550" t="s">
        <v>109</v>
      </c>
      <c r="E19" s="1557" t="s">
        <v>1104</v>
      </c>
      <c r="F19" s="1551" t="s">
        <v>294</v>
      </c>
      <c r="G19" s="2318" t="s">
        <v>1105</v>
      </c>
      <c r="H19" s="481"/>
    </row>
    <row s="5415" customFormat="1" customHeight="1" ht="5.25" hidden="1">
      <c r="A20" s="508"/>
      <c r="B20" s="508"/>
      <c r="C20" s="1559"/>
      <c r="D20" s="1558" t="s">
        <v>1014</v>
      </c>
      <c r="E20" s="1021"/>
      <c r="F20" s="1020"/>
      <c r="G20" s="2319"/>
    </row>
    <row customHeight="1" ht="15">
      <c r="A21" s="508"/>
      <c r="B21" s="508"/>
      <c r="C21" s="463"/>
      <c r="D21" s="473"/>
      <c r="E21" s="421" t="s">
        <v>329</v>
      </c>
      <c r="F21" s="475"/>
      <c r="G21" s="2320"/>
      <c r="H21" s="1563"/>
    </row>
    <row s="3009" customFormat="1" customHeight="1" ht="24.75">
      <c r="A22" s="508"/>
      <c r="B22" s="508"/>
      <c r="C22" s="508"/>
      <c r="D22" s="1550" t="s">
        <v>90</v>
      </c>
      <c r="E22" s="480" t="s">
        <v>1106</v>
      </c>
      <c r="F22" s="1556"/>
      <c r="G22" s="480" t="s">
        <v>1107</v>
      </c>
      <c r="H22" s="1562"/>
    </row>
    <row s="3009" customFormat="1" customHeight="1" ht="18.75">
      <c r="A23" s="508"/>
      <c r="B23" s="508"/>
      <c r="C23" s="508"/>
      <c r="D23" s="1550" t="s">
        <v>91</v>
      </c>
      <c r="E23" s="1557" t="s">
        <v>1108</v>
      </c>
      <c r="F23" s="1561"/>
      <c r="G23" s="480" t="s">
        <v>1109</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9BB523-8C6A-D05E-1C94-622864D1074A}" mc:Ignorable="x14ac xr xr2 xr3">
  <dimension ref="A1:IT23"/>
  <sheetViews>
    <sheetView topLeftCell="D4"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46.7109375" customWidth="1"/>
    <col min="7" max="8" style="2940" width="16.7109375" customWidth="1"/>
    <col min="9" max="9" style="2940" width="35.28125" customWidth="1"/>
    <col min="10" max="10" style="2940" width="89.57421875" customWidth="1"/>
    <col min="11" max="11" style="2666" width="3.7109375" customWidth="1"/>
    <col min="12" max="14" style="2666" width="9.140625"/>
    <col min="15" max="15" style="2632" width="25.7109375" customWidth="1"/>
    <col min="16" max="16" style="2666" width="14.421875" customWidth="1"/>
    <col min="17" max="20" style="2633" width="9.140625"/>
    <col min="21" max="254" style="2940" width="9.140625"/>
  </cols>
  <sheetData>
    <row customHeight="1" ht="14.25" hidden="1"/>
    <row s="2667"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3" customFormat="1" customHeight="1" ht="5.25" hidden="1">
      <c r="A3" s="502"/>
      <c r="D3" s="500"/>
      <c r="F3" s="233" t="s">
        <v>81</v>
      </c>
      <c r="G3" s="500" t="s">
        <v>82</v>
      </c>
      <c r="H3" s="500"/>
      <c r="I3" s="500"/>
      <c r="J3" s="213" t="s">
        <v>83</v>
      </c>
      <c r="K3" s="233" t="s">
        <v>81</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8" customFormat="1" customHeight="1" ht="14.25">
      <c r="A4" s="1163"/>
      <c r="B4" s="1168"/>
      <c r="C4" s="1163"/>
      <c r="D4" s="1525"/>
      <c r="E4" s="515"/>
      <c r="F4" s="515"/>
      <c r="G4" s="515"/>
      <c r="H4" s="515"/>
      <c r="I4" s="515"/>
      <c r="J4" s="152"/>
      <c r="K4" s="233"/>
      <c r="L4" s="506"/>
      <c r="M4" s="506"/>
      <c r="N4" s="506"/>
      <c r="O4" s="212"/>
      <c r="P4" s="506"/>
      <c r="Q4" s="211"/>
      <c r="R4" s="211"/>
      <c r="S4" s="211"/>
      <c r="T4" s="211"/>
    </row>
    <row s="2658"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54"/>
      <c r="G5" s="1954"/>
      <c r="H5" s="1954"/>
      <c r="I5" s="1954"/>
      <c r="J5" s="1954"/>
      <c r="K5" s="233"/>
      <c r="L5" s="506"/>
      <c r="M5" s="506"/>
      <c r="N5" s="506"/>
      <c r="O5" s="212"/>
      <c r="P5" s="506"/>
      <c r="Q5" s="211"/>
      <c r="R5" s="211"/>
      <c r="S5" s="211"/>
      <c r="T5" s="211"/>
    </row>
    <row s="2658" customFormat="1" customHeight="1" ht="14.25">
      <c r="A6" s="1163"/>
      <c r="B6" s="1168"/>
      <c r="C6" s="1163"/>
      <c r="D6" s="1525"/>
      <c r="E6" s="515"/>
      <c r="F6" s="153"/>
      <c r="G6" s="153"/>
      <c r="H6" s="153"/>
      <c r="I6" s="153"/>
      <c r="J6" s="154"/>
      <c r="K6" s="506"/>
      <c r="L6" s="506"/>
      <c r="M6" s="506"/>
      <c r="N6" s="506"/>
      <c r="O6" s="212"/>
      <c r="P6" s="506"/>
      <c r="Q6" s="211"/>
      <c r="R6" s="211"/>
      <c r="S6" s="211"/>
      <c r="T6" s="211"/>
    </row>
    <row s="2658" customFormat="1" customHeight="1" ht="14.25">
      <c r="A7" s="1163"/>
      <c r="B7" s="1168"/>
      <c r="C7" s="1163"/>
      <c r="D7" s="1525"/>
      <c r="E7" s="1955" t="s">
        <v>288</v>
      </c>
      <c r="F7" s="1956"/>
      <c r="G7" s="1956"/>
      <c r="H7" s="1956"/>
      <c r="I7" s="1956"/>
      <c r="J7" s="2321" t="s">
        <v>289</v>
      </c>
      <c r="K7" s="506"/>
      <c r="L7" s="506"/>
      <c r="M7" s="506"/>
      <c r="N7" s="506"/>
      <c r="O7" s="212"/>
      <c r="P7" s="506"/>
      <c r="Q7" s="211"/>
      <c r="R7" s="211"/>
      <c r="S7" s="211"/>
      <c r="T7" s="211"/>
    </row>
    <row s="2658" customFormat="1" customHeight="1" ht="20.25">
      <c r="A8" s="1163"/>
      <c r="B8" s="1168"/>
      <c r="C8" s="1163"/>
      <c r="D8" s="1525"/>
      <c r="E8" s="1585" t="s">
        <v>86</v>
      </c>
      <c r="F8" s="1570" t="s">
        <v>1110</v>
      </c>
      <c r="G8" s="1570" t="s">
        <v>47</v>
      </c>
      <c r="H8" s="1570" t="s">
        <v>49</v>
      </c>
      <c r="I8" s="1570" t="s">
        <v>1111</v>
      </c>
      <c r="J8" s="2322"/>
      <c r="K8" s="506"/>
      <c r="L8" s="506"/>
      <c r="M8" s="506"/>
      <c r="N8" s="506"/>
      <c r="O8" s="212"/>
      <c r="P8" s="506"/>
      <c r="Q8" s="211"/>
      <c r="R8" s="211"/>
      <c r="S8" s="211"/>
      <c r="T8" s="211"/>
    </row>
    <row s="2667" customFormat="1" customHeight="1" ht="22.5">
      <c r="A9" s="1953"/>
      <c r="B9" s="1168">
        <v>1</v>
      </c>
      <c r="C9" s="1168"/>
      <c r="D9" s="807"/>
      <c r="E9" s="1514">
        <v>1</v>
      </c>
      <c r="F9" s="1584"/>
      <c r="G9" s="1521"/>
      <c r="H9" s="1521"/>
      <c r="I9" s="1568"/>
      <c r="J9" s="2323" t="s">
        <v>1112</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7" customFormat="1" customHeight="1" ht="15">
      <c r="A10" s="1953"/>
      <c r="B10" s="1168"/>
      <c r="C10" s="418"/>
      <c r="D10" s="807"/>
      <c r="E10" s="1571"/>
      <c r="F10" s="1530" t="s">
        <v>1113</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8"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8"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8"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90" customFormat="1" customHeight="1" ht="10.5">
      <c r="B14" s="840"/>
      <c r="D14" s="168"/>
      <c r="K14" s="506"/>
      <c r="L14" s="506"/>
      <c r="M14" s="506"/>
      <c r="N14" s="506"/>
      <c r="O14" s="212"/>
      <c r="P14" s="506"/>
      <c r="Q14" s="211"/>
      <c r="R14" s="211"/>
      <c r="S14" s="211"/>
      <c r="T14" s="211"/>
    </row>
    <row s="2690"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65CB01-142B-AD82-ABA5-F443B5AED15B}" mc:Ignorable="x14ac xr xr2 xr3">
  <dimension ref="A1:IV14"/>
  <sheetViews>
    <sheetView topLeftCell="D4"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27.28125" customWidth="1"/>
    <col min="7" max="7" style="2940" width="16.7109375" customWidth="1"/>
    <col min="8" max="8" style="2940" width="12.7109375" customWidth="1"/>
    <col min="9" max="9" style="2940" width="32.140625" customWidth="1"/>
    <col min="10" max="11" style="2940" width="41.8515625" customWidth="1"/>
    <col min="12" max="12" style="2940" width="89.57421875" customWidth="1"/>
    <col min="13" max="13" style="2666" width="3.7109375" customWidth="1"/>
    <col min="14" max="16" style="2666" width="9.140625"/>
    <col min="17" max="17" style="2632" width="25.7109375" customWidth="1"/>
    <col min="18" max="18" style="2666" width="14.421875" customWidth="1"/>
    <col min="19" max="22" style="2633" width="9.140625"/>
    <col min="23" max="256" style="2940" width="9.140625"/>
  </cols>
  <sheetData>
    <row customHeight="1" ht="14.25" hidden="1"/>
    <row s="2667" customFormat="1" customHeight="1" ht="22.5" hidden="1">
      <c r="A2" s="837"/>
      <c r="B2" s="1168">
        <v>1</v>
      </c>
      <c r="C2" s="1168"/>
      <c r="D2" s="807"/>
      <c r="E2" s="1514"/>
      <c r="F2" s="1569" t="str">
        <f>IF(ROIV_INFO_NAME="","",ROIV_INFO_NAME)</f>
        <v>АО "РИР" (филиал в г. Глазове)</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3" customFormat="1" customHeight="1" ht="5.25" hidden="1">
      <c r="A3" s="502"/>
      <c r="D3" s="500"/>
      <c r="F3" s="233" t="s">
        <v>81</v>
      </c>
      <c r="G3" s="1775" t="s">
        <v>82</v>
      </c>
      <c r="H3" s="500"/>
      <c r="I3" s="500"/>
      <c r="J3" s="500"/>
      <c r="K3" s="500"/>
      <c r="L3" s="213" t="s">
        <v>83</v>
      </c>
      <c r="M3" s="233" t="s">
        <v>81</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8"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8"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54"/>
      <c r="G5" s="1954"/>
      <c r="H5" s="1954"/>
      <c r="I5" s="1954"/>
      <c r="J5" s="1954"/>
      <c r="K5" s="1954"/>
      <c r="L5" s="594"/>
      <c r="M5" s="233"/>
      <c r="N5" s="506"/>
      <c r="O5" s="506"/>
      <c r="P5" s="506"/>
      <c r="Q5" s="212"/>
      <c r="R5" s="506"/>
      <c r="S5" s="211"/>
      <c r="T5" s="211"/>
      <c r="U5" s="211"/>
      <c r="V5" s="211"/>
    </row>
    <row s="2658"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8" customFormat="1" customHeight="1" ht="14.25">
      <c r="A7" s="1163"/>
      <c r="B7" s="1168"/>
      <c r="C7" s="1163"/>
      <c r="D7" s="1525"/>
      <c r="E7" s="1955" t="s">
        <v>288</v>
      </c>
      <c r="F7" s="1956"/>
      <c r="G7" s="1956"/>
      <c r="H7" s="1956"/>
      <c r="I7" s="1956"/>
      <c r="J7" s="1956"/>
      <c r="K7" s="1956"/>
      <c r="L7" s="2321" t="s">
        <v>289</v>
      </c>
      <c r="M7" s="506"/>
      <c r="N7" s="506"/>
      <c r="O7" s="506"/>
      <c r="P7" s="506"/>
      <c r="Q7" s="212"/>
      <c r="R7" s="506"/>
      <c r="S7" s="211"/>
      <c r="T7" s="211"/>
      <c r="U7" s="211"/>
      <c r="V7" s="211"/>
    </row>
    <row s="2658" customFormat="1" customHeight="1" ht="47.25">
      <c r="A8" s="1163"/>
      <c r="B8" s="1168"/>
      <c r="C8" s="1163"/>
      <c r="D8" s="1525"/>
      <c r="E8" s="2326" t="s">
        <v>86</v>
      </c>
      <c r="F8" s="2326" t="s">
        <v>1092</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5"/>
      <c r="M8" s="506"/>
      <c r="N8" s="506"/>
      <c r="O8" s="506"/>
      <c r="P8" s="506"/>
      <c r="Q8" s="212"/>
      <c r="R8" s="506"/>
      <c r="S8" s="211"/>
      <c r="T8" s="211"/>
      <c r="U8" s="211"/>
      <c r="V8" s="211"/>
    </row>
    <row s="2658" customFormat="1" customHeight="1" ht="56.25">
      <c r="A9" s="1163"/>
      <c r="B9" s="1168"/>
      <c r="C9" s="1163"/>
      <c r="D9" s="1525"/>
      <c r="E9" s="2327"/>
      <c r="F9" s="2327"/>
      <c r="G9" s="1567" t="s">
        <v>1114</v>
      </c>
      <c r="H9" s="1567" t="s">
        <v>1115</v>
      </c>
      <c r="I9" s="1567" t="s">
        <v>1116</v>
      </c>
      <c r="J9" s="2327"/>
      <c r="K9" s="2327"/>
      <c r="L9" s="2322"/>
      <c r="M9" s="506"/>
      <c r="N9" s="506"/>
      <c r="O9" s="506"/>
      <c r="P9" s="506"/>
      <c r="Q9" s="212"/>
      <c r="R9" s="506"/>
      <c r="S9" s="211"/>
      <c r="T9" s="211"/>
      <c r="U9" s="211"/>
      <c r="V9" s="211"/>
    </row>
    <row s="2667" customFormat="1" customHeight="1" ht="22.5">
      <c r="A10" s="1953"/>
      <c r="B10" s="1168">
        <v>1</v>
      </c>
      <c r="C10" s="1168"/>
      <c r="D10" s="806"/>
      <c r="E10" s="804">
        <v>1</v>
      </c>
      <c r="F10" s="1569" t="str">
        <f>IF(ROIV_INFO_NAME="","",ROIV_INFO_NAME)</f>
        <v>АО "РИР" (филиал в г. Глазове)</v>
      </c>
      <c r="G10" s="1772" t="s">
        <v>24</v>
      </c>
      <c r="H10" s="1564"/>
      <c r="I10" s="1564"/>
      <c r="J10" s="1172"/>
      <c r="K10" s="1172"/>
      <c r="L10" s="2323" t="s">
        <v>1117</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7" customFormat="1" customHeight="1" ht="15">
      <c r="A11" s="1953"/>
      <c r="B11" s="1168"/>
      <c r="C11" s="418"/>
      <c r="D11" s="807"/>
      <c r="E11" s="427"/>
      <c r="F11" s="422" t="s">
        <v>1118</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8"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8"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8"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616D9A-0097-2D8D-4CE8-BB17A1B31AEA}" mc:Ignorable="x14ac xr xr2 xr3">
  <dimension ref="A1:IY16"/>
  <sheetViews>
    <sheetView topLeftCell="D5"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10.140625" customWidth="1"/>
    <col min="6" max="6" style="2940" width="6.28125" customWidth="1"/>
    <col min="7" max="7" style="2940" width="27.28125" customWidth="1"/>
    <col min="8" max="8" style="2940" width="29.28125" customWidth="1"/>
    <col min="9" max="9" style="2940" width="25.421875" customWidth="1"/>
    <col min="10" max="10" style="2940" width="5.57421875" customWidth="1"/>
    <col min="11" max="11" style="2940" width="6.57421875" customWidth="1"/>
    <col min="12" max="12" style="2940" width="41.8515625" customWidth="1"/>
    <col min="13" max="13" style="2940" width="42.421875" customWidth="1"/>
    <col min="14" max="14" style="2940" width="41.57421875" customWidth="1"/>
    <col min="15" max="15" style="2940" width="64.140625" customWidth="1"/>
    <col min="16" max="16" style="2666" width="3.7109375" customWidth="1"/>
    <col min="17" max="19" style="2666" width="9.140625"/>
    <col min="20" max="20" style="2632" width="25.7109375" customWidth="1"/>
    <col min="21" max="21" style="2666" width="14.421875" customWidth="1"/>
    <col min="22" max="25" style="2633" width="9.140625"/>
    <col min="26" max="259" style="2940" width="9.140625"/>
  </cols>
  <sheetData>
    <row customHeight="1" ht="14.25" hidden="1"/>
    <row s="2667" customFormat="1" customHeight="1" ht="22.5" hidden="1">
      <c r="A2" s="502"/>
      <c r="B2" s="1168">
        <v>1</v>
      </c>
      <c r="C2" s="1168"/>
      <c r="D2" s="807"/>
      <c r="E2" s="1971"/>
      <c r="F2" s="1971">
        <v>1</v>
      </c>
      <c r="G2" s="2331" t="str">
        <f>IF(region_name="","",region_name)</f>
        <v>Удмуртская республика</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7" customFormat="1" customHeight="1" ht="22.5" hidden="1">
      <c r="A3" s="837"/>
      <c r="B3" s="1168"/>
      <c r="C3" s="1168"/>
      <c r="D3" s="807"/>
      <c r="E3" s="1971"/>
      <c r="F3" s="1971"/>
      <c r="G3" s="2331"/>
      <c r="H3" s="2332"/>
      <c r="I3" s="2334"/>
      <c r="J3" s="1574"/>
      <c r="K3" s="1530"/>
      <c r="L3" s="1530" t="s">
        <v>1119</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3" customFormat="1" customHeight="1" ht="5.25" hidden="1">
      <c r="A4" s="502"/>
      <c r="D4" s="500"/>
      <c r="G4" s="233" t="s">
        <v>81</v>
      </c>
      <c r="H4" s="500" t="s">
        <v>82</v>
      </c>
      <c r="I4" s="500"/>
      <c r="J4" s="1579"/>
      <c r="K4" s="1579"/>
      <c r="L4" s="1579"/>
      <c r="M4" s="1579"/>
      <c r="N4" s="1579"/>
      <c r="O4" s="1579"/>
      <c r="P4" s="233" t="s">
        <v>81</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8"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8" customFormat="1" customHeight="1" ht="25.5">
      <c r="A6" s="1163"/>
      <c r="B6" s="1168"/>
      <c r="C6" s="1163"/>
      <c r="D6" s="1525"/>
      <c r="E6" s="1954" t="s">
        <v>1120</v>
      </c>
      <c r="F6" s="1954"/>
      <c r="G6" s="1954"/>
      <c r="H6" s="1954"/>
      <c r="I6" s="1954"/>
      <c r="J6" s="1954"/>
      <c r="K6" s="1954"/>
      <c r="L6" s="1954"/>
      <c r="M6" s="1954"/>
      <c r="N6" s="1954"/>
      <c r="O6" s="1954"/>
      <c r="P6" s="233"/>
      <c r="Q6" s="506"/>
      <c r="R6" s="506"/>
      <c r="S6" s="506"/>
      <c r="T6" s="212"/>
      <c r="U6" s="506"/>
      <c r="V6" s="211"/>
      <c r="W6" s="211"/>
      <c r="X6" s="211"/>
      <c r="Y6" s="211"/>
    </row>
    <row s="2658"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5456" customFormat="1" customHeight="1" ht="42.75">
      <c r="A8" s="1498"/>
      <c r="B8" s="1508"/>
      <c r="C8" s="1498"/>
      <c r="D8" s="1525"/>
      <c r="E8" s="1588" t="s">
        <v>289</v>
      </c>
      <c r="F8" s="1588"/>
      <c r="G8" s="1589" t="s">
        <v>293</v>
      </c>
      <c r="H8" s="1589" t="s">
        <v>1121</v>
      </c>
      <c r="I8" s="1589" t="s">
        <v>297</v>
      </c>
      <c r="J8" s="2338"/>
      <c r="K8" s="2339"/>
      <c r="L8" s="2340"/>
      <c r="M8" s="1589" t="s">
        <v>1122</v>
      </c>
      <c r="N8" s="1589" t="s">
        <v>1123</v>
      </c>
      <c r="O8" s="1589" t="s">
        <v>1124</v>
      </c>
      <c r="P8" s="1580"/>
      <c r="Q8" s="1580"/>
      <c r="R8" s="1580"/>
      <c r="S8" s="1580"/>
      <c r="T8" s="1581"/>
      <c r="U8" s="1580"/>
      <c r="V8" s="1582"/>
      <c r="W8" s="1582"/>
      <c r="X8" s="1582"/>
      <c r="Y8" s="1582"/>
    </row>
    <row s="2658" customFormat="1" customHeight="1" ht="47.25">
      <c r="A9" s="1163"/>
      <c r="B9" s="1168"/>
      <c r="C9" s="1163"/>
      <c r="D9" s="1525"/>
      <c r="E9" s="2090" t="s">
        <v>288</v>
      </c>
      <c r="F9" s="2327" t="s">
        <v>86</v>
      </c>
      <c r="G9" s="2327" t="s">
        <v>292</v>
      </c>
      <c r="H9" s="2327" t="s">
        <v>1125</v>
      </c>
      <c r="I9" s="2327"/>
      <c r="J9" s="2327" t="s">
        <v>1126</v>
      </c>
      <c r="K9" s="2327"/>
      <c r="L9" s="2327"/>
      <c r="M9" s="2327" t="s">
        <v>1127</v>
      </c>
      <c r="N9" s="2327" t="s">
        <v>1128</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8" customFormat="1" customHeight="1" ht="63.75">
      <c r="A10" s="1163"/>
      <c r="B10" s="1168"/>
      <c r="C10" s="1163"/>
      <c r="D10" s="1525"/>
      <c r="E10" s="1971"/>
      <c r="F10" s="2337"/>
      <c r="G10" s="2337"/>
      <c r="H10" s="158" t="s">
        <v>1129</v>
      </c>
      <c r="I10" s="158" t="s">
        <v>296</v>
      </c>
      <c r="J10" s="2326"/>
      <c r="K10" s="2326"/>
      <c r="L10" s="2337"/>
      <c r="M10" s="2337"/>
      <c r="N10" s="2337"/>
      <c r="O10" s="2337"/>
      <c r="P10" s="506"/>
      <c r="Q10" s="506"/>
      <c r="R10" s="506"/>
      <c r="S10" s="506"/>
      <c r="T10" s="212"/>
      <c r="U10" s="506"/>
      <c r="V10" s="211"/>
      <c r="W10" s="211"/>
      <c r="X10" s="211"/>
      <c r="Y10" s="211"/>
    </row>
    <row s="2667" customFormat="1" customHeight="1" ht="22.5">
      <c r="A11" s="1953">
        <v>26379339</v>
      </c>
      <c r="B11" s="1168">
        <v>1</v>
      </c>
      <c r="C11" s="1168"/>
      <c r="D11" s="807"/>
      <c r="E11" s="2090"/>
      <c r="F11" s="2090">
        <v>1</v>
      </c>
      <c r="G11" s="2335" t="str">
        <f>IF(region_name="","",region_name)</f>
        <v>Удмуртская республика</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7" customFormat="1" customHeight="1" ht="22.5">
      <c r="A12" s="1953"/>
      <c r="B12" s="1168"/>
      <c r="C12" s="1168"/>
      <c r="D12" s="807"/>
      <c r="E12" s="2090"/>
      <c r="F12" s="2090"/>
      <c r="G12" s="2335"/>
      <c r="H12" s="2336"/>
      <c r="I12" s="2342"/>
      <c r="J12" s="1574"/>
      <c r="K12" s="1530"/>
      <c r="L12" s="1530" t="s">
        <v>1119</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7" customFormat="1" customHeight="1" ht="22.5">
      <c r="A13" s="1953"/>
      <c r="B13" s="1168"/>
      <c r="C13" s="418"/>
      <c r="D13" s="807"/>
      <c r="E13" s="1571"/>
      <c r="F13" s="1574"/>
      <c r="G13" s="1530" t="s">
        <v>1113</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8"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8"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8"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E3C66D-89AB-DC38-3662-80D0AF6EC054}"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5396" width="9.140625" hidden="1"/>
    <col min="3" max="3" style="5397" width="3.7109375" customWidth="1"/>
    <col min="4" max="4" style="5396" width="6.28125" customWidth="1"/>
    <col min="5" max="5" style="5396" width="94.8515625" customWidth="1"/>
    <col min="6" max="12" style="5396"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1130</v>
      </c>
      <c r="E7" s="1954"/>
      <c r="F7" s="253"/>
    </row>
    <row customHeight="1" ht="3">
      <c r="C8" s="77"/>
      <c r="D8" s="55"/>
      <c r="E8" s="55"/>
    </row>
    <row customHeight="1" ht="15.75">
      <c r="C9" s="77"/>
      <c r="D9" s="91" t="s">
        <v>86</v>
      </c>
      <c r="E9" s="94" t="s">
        <v>275</v>
      </c>
    </row>
    <row customHeight="1" ht="12">
      <c r="C10" s="77"/>
      <c r="D10" s="72" t="s">
        <v>107</v>
      </c>
      <c r="E10" s="72" t="s">
        <v>108</v>
      </c>
    </row>
    <row customHeight="1" ht="15" hidden="1">
      <c r="C11" s="77"/>
      <c r="D11" s="99">
        <v>0</v>
      </c>
      <c r="E11" s="135"/>
    </row>
    <row customHeight="1" ht="14.25">
      <c r="C12" s="77"/>
      <c r="D12" s="95"/>
      <c r="E12" s="93" t="s">
        <v>1090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58B31-6E2D-AE12-A40E-A5387A286A74}"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5481" width="1.7109375" customWidth="1"/>
    <col min="2" max="2" style="5481" width="34.57421875" customWidth="1"/>
    <col min="3" max="3" style="5481" width="85.57421875" customWidth="1"/>
    <col min="4" max="4" style="5481" width="17.7109375" customWidth="1"/>
    <col min="5" max="5" style="5481" width="9.140625"/>
  </cols>
  <sheetData>
    <row customHeight="1" ht="3"/>
    <row customHeight="1" ht="22.5">
      <c r="B2" s="2343" t="s">
        <v>1131</v>
      </c>
      <c r="C2" s="2343"/>
      <c r="D2" s="2343"/>
      <c r="E2" s="254"/>
    </row>
    <row customHeight="1" ht="3"/>
    <row customHeight="1" ht="21.75">
      <c r="B4" s="389" t="s">
        <v>1132</v>
      </c>
      <c r="C4" s="389" t="s">
        <v>1133</v>
      </c>
      <c r="D4" s="389" t="s">
        <v>1134</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1F5F1B-5799-B6BE-ECD3-C2716BD5EC55}"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5481" width="26.57421875" customWidth="1"/>
    <col min="2" max="2" style="5481" width="10.00390625" customWidth="1"/>
    <col min="3" max="3" style="5481" width="9.140625"/>
    <col min="4" max="4" style="5481" width="11.140625" customWidth="1"/>
    <col min="5" max="5" style="5481" width="16.57421875" customWidth="1"/>
    <col min="6" max="6" style="5481" width="16.28125" customWidth="1"/>
    <col min="7" max="7" style="5481" width="19.140625" customWidth="1"/>
    <col min="8" max="11" style="5481" width="10.00390625" customWidth="1"/>
    <col min="12" max="12" style="5481" width="12.7109375" customWidth="1"/>
    <col min="13" max="13" style="5481" width="61.28125" customWidth="1"/>
    <col min="14" max="14" style="5481" width="10.00390625" customWidth="1"/>
    <col min="15" max="17" style="5481" width="23.7109375" customWidth="1"/>
    <col min="18" max="18" style="5481" width="11.7109375" customWidth="1"/>
    <col min="19" max="19" style="5481" width="8.57421875" customWidth="1"/>
    <col min="20" max="20" style="5481" width="11.7109375" customWidth="1"/>
    <col min="21" max="21" style="5481" width="8.57421875" customWidth="1"/>
    <col min="22" max="22" style="5481" width="4.7109375" customWidth="1"/>
    <col min="23" max="23" style="5481" width="115.7109375" customWidth="1"/>
    <col min="24" max="24" style="5481" width="115.28125" customWidth="1"/>
    <col min="25" max="27" style="5481" width="9.140625"/>
    <col min="28" max="28" style="5481" width="115.7109375" customWidth="1"/>
    <col min="29" max="29" style="5481" width="9.140625"/>
    <col min="30" max="90" style="5481" width="115.7109375" customWidth="1"/>
    <col min="91" max="184" style="5481" width="9.140625"/>
  </cols>
  <sheetData>
    <row r="2" s="5482" customFormat="1" customHeight="1" ht="17.25">
      <c r="A2" s="1856" t="s">
        <v>1135</v>
      </c>
    </row>
    <row r="4" s="5396" customFormat="1" customHeight="1" ht="15">
      <c r="C4" s="1857"/>
      <c r="D4" s="99"/>
      <c r="E4" s="380"/>
    </row>
    <row r="6" s="5482" customFormat="1" customHeight="1" ht="17.25">
      <c r="A6" s="1856" t="s">
        <v>1136</v>
      </c>
    </row>
    <row r="8" s="5396" customFormat="1" customHeight="1" ht="17.25">
      <c r="C8" s="1858"/>
      <c r="D8" s="99"/>
      <c r="E8" s="100"/>
    </row>
    <row r="11" s="5482" customFormat="1" customHeight="1" ht="17.25">
      <c r="A11" s="1856" t="s">
        <v>1137</v>
      </c>
    </row>
    <row r="13" s="5486" customFormat="1" customHeight="1" ht="15">
      <c r="A13" s="2082">
        <v>1</v>
      </c>
      <c r="B13" s="1168"/>
      <c r="C13" s="807" t="s">
        <v>476</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7"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7" customFormat="1" customHeight="1" ht="15">
      <c r="A15" s="2082"/>
      <c r="B15" s="1168"/>
      <c r="C15" s="418"/>
      <c r="D15" s="807"/>
      <c r="E15" s="427"/>
      <c r="F15" s="163"/>
      <c r="G15" s="421" t="s">
        <v>100</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5482" customFormat="1" customHeight="1" ht="17.25">
      <c r="A17" s="1856" t="s">
        <v>1138</v>
      </c>
    </row>
    <row r="19" s="4853" customFormat="1" customHeight="1" ht="15">
      <c r="A19" s="1925"/>
      <c r="B19" s="1396">
        <v>1</v>
      </c>
      <c r="C19" s="1396"/>
      <c r="D19" s="806" t="s">
        <v>476</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7" customFormat="1" customHeight="1" ht="15">
      <c r="A21" s="1856" t="s">
        <v>1139</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7" customFormat="1" customHeight="1" ht="15">
      <c r="U22" s="171"/>
    </row>
    <row s="5498" customFormat="1" customHeight="1" ht="15">
      <c r="A23" s="429"/>
      <c r="B23" s="429"/>
      <c r="C23" s="1768" t="s">
        <v>476</v>
      </c>
      <c r="D23" s="1982" t="s">
        <v>107</v>
      </c>
      <c r="E23" s="1983"/>
      <c r="F23" s="1981" t="s">
        <v>55</v>
      </c>
      <c r="G23" s="2394"/>
      <c r="H23" s="1971">
        <v>1</v>
      </c>
      <c r="I23" s="2396" t="str">
        <f>IF(U23="","",INDEX(TERRITORY_MR_LIST,MATCH(U23,TERRITORY_LIST_ID,0)))</f>
        <v/>
      </c>
      <c r="J23" s="1981" t="s">
        <v>55</v>
      </c>
      <c r="K23" s="838"/>
      <c r="L23" s="1823" t="s">
        <v>107</v>
      </c>
      <c r="M23" s="609"/>
      <c r="N23" s="610"/>
      <c r="O23" s="610"/>
      <c r="P23" s="610"/>
      <c r="Q23" s="610"/>
      <c r="R23" s="610"/>
      <c r="S23" s="610"/>
      <c r="T23" s="610"/>
      <c r="U23" s="611"/>
      <c r="V23" s="610"/>
      <c r="W23" s="610"/>
      <c r="X23" s="601"/>
      <c r="Y23" s="601" t="s">
        <v>116</v>
      </c>
      <c r="Z23" s="601">
        <v>1705000</v>
      </c>
      <c r="AA23" s="601"/>
      <c r="AB23" s="601"/>
      <c r="AC23" s="601"/>
      <c r="AD23" s="601"/>
      <c r="AE23" s="601"/>
      <c r="AF23" s="601"/>
      <c r="AG23" s="601"/>
      <c r="AH23" s="601"/>
      <c r="AI23" s="601"/>
      <c r="AJ23" s="601"/>
      <c r="AK23" s="601"/>
      <c r="AL23" s="601"/>
    </row>
    <row s="5498" customFormat="1" customHeight="1" ht="15">
      <c r="A24" s="429"/>
      <c r="B24" s="429"/>
      <c r="C24" s="162"/>
      <c r="D24" s="1982"/>
      <c r="E24" s="1984"/>
      <c r="F24" s="1981"/>
      <c r="G24" s="2395"/>
      <c r="H24" s="1971"/>
      <c r="I24" s="2397"/>
      <c r="J24" s="1981"/>
      <c r="K24" s="427"/>
      <c r="L24" s="163"/>
      <c r="M24" s="613" t="s">
        <v>117</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5498" customFormat="1" customHeight="1" ht="15">
      <c r="A25" s="429"/>
      <c r="B25" s="429"/>
      <c r="C25" s="162"/>
      <c r="D25" s="1982"/>
      <c r="E25" s="1985"/>
      <c r="F25" s="1981"/>
      <c r="G25" s="427"/>
      <c r="H25" s="163"/>
      <c r="I25" s="586" t="s">
        <v>118</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7" customFormat="1" customHeight="1" ht="15">
      <c r="U26" s="171"/>
    </row>
    <row s="2667" customFormat="1" customHeight="1" ht="15">
      <c r="A27" s="1856" t="s">
        <v>1140</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7" customFormat="1" customHeight="1" ht="15">
      <c r="U28" s="171"/>
    </row>
    <row s="5498" customFormat="1" customHeight="1" ht="15">
      <c r="A29" s="429"/>
      <c r="B29" s="429"/>
      <c r="C29" s="162"/>
      <c r="D29" s="1862"/>
      <c r="E29" s="1862"/>
      <c r="F29" s="1862"/>
      <c r="G29" s="2398" t="s">
        <v>476</v>
      </c>
      <c r="H29" s="1957">
        <v>1</v>
      </c>
      <c r="I29" s="2399" t="str">
        <f>IF(U29="","",INDEX(TERRITORY_MR_LIST,MATCH(U29,TERRITORY_LIST_ID,0)))</f>
        <v/>
      </c>
      <c r="J29" s="1981" t="s">
        <v>55</v>
      </c>
      <c r="K29" s="838"/>
      <c r="L29" s="1823" t="s">
        <v>107</v>
      </c>
      <c r="M29" s="609"/>
      <c r="N29" s="610"/>
      <c r="O29" s="610"/>
      <c r="P29" s="610"/>
      <c r="Q29" s="610"/>
      <c r="R29" s="610"/>
      <c r="S29" s="610"/>
      <c r="T29" s="610"/>
      <c r="U29" s="611"/>
      <c r="V29" s="610"/>
      <c r="W29" s="610"/>
      <c r="X29" s="601"/>
      <c r="Y29" s="601" t="s">
        <v>116</v>
      </c>
      <c r="Z29" s="601">
        <v>1705000</v>
      </c>
      <c r="AA29" s="601"/>
      <c r="AB29" s="601"/>
      <c r="AC29" s="601"/>
      <c r="AD29" s="601"/>
      <c r="AE29" s="601"/>
      <c r="AF29" s="601"/>
      <c r="AG29" s="601"/>
      <c r="AH29" s="601"/>
      <c r="AI29" s="601"/>
      <c r="AJ29" s="601"/>
      <c r="AK29" s="601"/>
      <c r="AL29" s="601"/>
    </row>
    <row s="5498" customFormat="1" customHeight="1" ht="15">
      <c r="A30" s="429"/>
      <c r="B30" s="429"/>
      <c r="C30" s="162"/>
      <c r="D30" s="1862"/>
      <c r="E30" s="1862"/>
      <c r="F30" s="1862"/>
      <c r="G30" s="2398"/>
      <c r="H30" s="1957"/>
      <c r="I30" s="2399"/>
      <c r="J30" s="1981"/>
      <c r="K30" s="427"/>
      <c r="L30" s="163"/>
      <c r="M30" s="613" t="s">
        <v>117</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7" customFormat="1" customHeight="1" ht="15">
      <c r="U31" s="171"/>
    </row>
    <row s="2667" customFormat="1" customHeight="1" ht="15">
      <c r="A32" s="1856" t="s">
        <v>1141</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7" customFormat="1" customHeight="1" ht="15">
      <c r="U33" s="171"/>
    </row>
    <row s="5498" customFormat="1" customHeight="1" ht="15">
      <c r="A34" s="429"/>
      <c r="B34" s="429"/>
      <c r="C34" s="162"/>
      <c r="D34" s="1862"/>
      <c r="E34" s="1862"/>
      <c r="F34" s="1862"/>
      <c r="G34" s="1862"/>
      <c r="H34" s="1862"/>
      <c r="I34" s="1862"/>
      <c r="J34" s="1862"/>
      <c r="K34" s="1840" t="s">
        <v>476</v>
      </c>
      <c r="L34" s="1769" t="s">
        <v>107</v>
      </c>
      <c r="M34" s="817"/>
      <c r="N34" s="818"/>
      <c r="O34" s="610"/>
      <c r="P34" s="610"/>
      <c r="Q34" s="610"/>
      <c r="R34" s="610"/>
      <c r="S34" s="610"/>
      <c r="T34" s="610"/>
      <c r="U34" s="611"/>
      <c r="V34" s="610"/>
      <c r="W34" s="610"/>
      <c r="X34" s="601"/>
      <c r="Y34" s="601" t="s">
        <v>116</v>
      </c>
      <c r="Z34" s="601">
        <v>1705000</v>
      </c>
      <c r="AA34" s="601"/>
      <c r="AB34" s="601"/>
      <c r="AC34" s="601"/>
      <c r="AD34" s="601"/>
      <c r="AE34" s="601"/>
      <c r="AF34" s="601"/>
      <c r="AG34" s="601"/>
      <c r="AH34" s="601"/>
      <c r="AI34" s="601"/>
      <c r="AJ34" s="601"/>
      <c r="AK34" s="601"/>
      <c r="AL34" s="601"/>
    </row>
    <row s="2667" customFormat="1" customHeight="1" ht="15">
      <c r="U35" s="171"/>
    </row>
    <row s="2667" customFormat="1" customHeight="1" ht="15">
      <c r="U36" s="171"/>
    </row>
    <row s="5482" customFormat="1" customHeight="1" ht="11.25">
      <c r="A37" s="1856" t="s">
        <v>1142</v>
      </c>
    </row>
    <row customHeight="1" ht="11.25"/>
    <row s="3087" customFormat="1" customHeight="1" ht="22.5">
      <c r="A39" s="1832"/>
      <c r="B39" s="463"/>
      <c r="C39" s="865"/>
      <c r="D39" s="446"/>
      <c r="E39" s="866"/>
      <c r="F39" s="1853"/>
      <c r="G39" s="1863"/>
      <c r="H39" s="481"/>
    </row>
    <row customHeight="1" ht="11.25"/>
    <row s="5482" customFormat="1" customHeight="1" ht="11.25">
      <c r="A41" s="1856" t="s">
        <v>1143</v>
      </c>
    </row>
    <row customHeight="1" ht="11.25"/>
    <row s="3087" customFormat="1" customHeight="1" ht="22.5">
      <c r="A43" s="463"/>
      <c r="B43" s="463"/>
      <c r="C43" s="463"/>
      <c r="D43" s="446"/>
      <c r="E43" s="866"/>
      <c r="F43" s="867"/>
      <c r="G43" s="1863"/>
      <c r="H43" s="481"/>
    </row>
    <row r="46" s="5482" customFormat="1" customHeight="1" ht="17.25">
      <c r="A46" s="1856" t="s">
        <v>1144</v>
      </c>
    </row>
    <row r="48" s="3172" customFormat="1" customHeight="1" ht="18.75">
      <c r="A48" s="74"/>
      <c r="B48" s="1864"/>
      <c r="C48" s="1864"/>
      <c r="D48" s="1865"/>
      <c r="E48" s="1850"/>
      <c r="F48" s="874">
        <v>13</v>
      </c>
      <c r="G48" s="873"/>
      <c r="H48" s="799"/>
      <c r="I48" s="797"/>
      <c r="J48" s="526" t="s">
        <v>60</v>
      </c>
      <c r="K48" s="1866" t="s">
        <v>24</v>
      </c>
      <c r="L48" s="74"/>
      <c r="M48" s="1676"/>
      <c r="N48" s="1676"/>
      <c r="O48" s="1676"/>
      <c r="P48" s="522" t="s">
        <v>382</v>
      </c>
      <c r="Q48" s="522" t="s">
        <v>383</v>
      </c>
      <c r="R48" s="523" t="s">
        <v>384</v>
      </c>
      <c r="S48" s="1676" t="s">
        <v>385</v>
      </c>
      <c r="T48" s="1676"/>
      <c r="U48" s="1676"/>
      <c r="V48" s="1676"/>
    </row>
    <row r="50" s="5482" customFormat="1" customHeight="1" ht="11.25">
      <c r="A50" s="1856" t="s">
        <v>1145</v>
      </c>
    </row>
    <row r="52" s="294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371</v>
      </c>
      <c r="AQ52" s="1664" t="s">
        <v>371</v>
      </c>
      <c r="AR52" s="1676"/>
      <c r="AS52" s="1676"/>
    </row>
    <row r="54" s="5482" customFormat="1" customHeight="1" ht="11.25">
      <c r="A54" s="1856" t="s">
        <v>1146</v>
      </c>
    </row>
    <row r="56" s="5370" customFormat="1" customHeight="1" ht="15">
      <c r="A56" s="131" t="s">
        <v>88</v>
      </c>
      <c r="B56" s="111" t="s">
        <v>24</v>
      </c>
      <c r="C56" s="1867"/>
      <c r="D56" s="114"/>
      <c r="E56" s="387"/>
      <c r="F56" s="387"/>
      <c r="G56" s="1844"/>
      <c r="H56" s="1866"/>
      <c r="I56" s="1845"/>
      <c r="K56" s="258"/>
      <c r="L56" s="259"/>
    </row>
    <row r="58" s="5482" customFormat="1" customHeight="1" ht="11.25">
      <c r="A58" s="1856" t="s">
        <v>1147</v>
      </c>
    </row>
    <row r="60" s="2949" customFormat="1" customHeight="1" ht="14.25">
      <c r="A60" s="339"/>
      <c r="B60" s="1168"/>
      <c r="C60" s="377"/>
      <c r="D60" s="1851"/>
      <c r="E60" s="892"/>
      <c r="F60" s="1866"/>
      <c r="G60" s="74"/>
      <c r="I60" s="1664"/>
      <c r="J60" s="1664"/>
    </row>
    <row r="62" s="5482" customFormat="1" customHeight="1" ht="11.25">
      <c r="A62" s="1856" t="s">
        <v>1148</v>
      </c>
    </row>
    <row r="64" s="2949" customFormat="1" customHeight="1" ht="27">
      <c r="A64" s="1174"/>
      <c r="B64" s="1174"/>
      <c r="C64" s="1174"/>
      <c r="D64" s="1168"/>
      <c r="E64" s="1868"/>
      <c r="F64" s="2344"/>
      <c r="G64" s="2345"/>
      <c r="H64" s="2346" t="s">
        <v>60</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60</v>
      </c>
      <c r="Z64" s="1849"/>
      <c r="AA64" s="1833">
        <v>1</v>
      </c>
      <c r="AB64" s="1260"/>
      <c r="AD64" s="1676" t="s">
        <v>1149</v>
      </c>
    </row>
    <row s="294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1150</v>
      </c>
    </row>
    <row r="67" s="5482" customFormat="1" customHeight="1" ht="11.25">
      <c r="A67" s="1856" t="s">
        <v>1151</v>
      </c>
    </row>
    <row r="69" s="294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1149</v>
      </c>
    </row>
    <row r="71" s="5482" customFormat="1" customHeight="1" ht="11.25">
      <c r="A71" s="1856" t="s">
        <v>1152</v>
      </c>
    </row>
    <row customHeight="1" ht="17.25"/>
    <row s="294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9" customFormat="1" customHeight="1" ht="11.25">
      <c r="A74" s="1174"/>
      <c r="B74" s="1174"/>
      <c r="C74" s="1174"/>
      <c r="D74" s="1168"/>
      <c r="E74" s="1178"/>
      <c r="F74" s="2406"/>
      <c r="G74" s="2356"/>
      <c r="H74" s="2356" t="s">
        <v>107</v>
      </c>
      <c r="I74" s="2410"/>
      <c r="J74" s="2334"/>
      <c r="K74" s="2411"/>
      <c r="L74" s="2404" t="s">
        <v>55</v>
      </c>
      <c r="M74" s="1982"/>
      <c r="N74" s="1187"/>
      <c r="O74" s="1186" t="s">
        <v>366</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9" customFormat="1" customHeight="1" ht="11.25">
      <c r="A75" s="1174"/>
      <c r="B75" s="1174"/>
      <c r="C75" s="1174"/>
      <c r="D75" s="1168"/>
      <c r="E75" s="1178"/>
      <c r="F75" s="2406"/>
      <c r="G75" s="2356"/>
      <c r="H75" s="2356"/>
      <c r="I75" s="2410"/>
      <c r="J75" s="2334"/>
      <c r="K75" s="2411"/>
      <c r="L75" s="2404"/>
      <c r="M75" s="1982"/>
      <c r="N75" s="2412"/>
      <c r="O75" s="2369">
        <v>1</v>
      </c>
      <c r="P75" s="2364" t="s">
        <v>55</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1153</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9" customFormat="1" customHeight="1" ht="11.25">
      <c r="A78" s="1174"/>
      <c r="B78" s="1174"/>
      <c r="C78" s="1174"/>
      <c r="D78" s="1168"/>
      <c r="E78" s="1178"/>
      <c r="F78" s="2406"/>
      <c r="G78" s="2356"/>
      <c r="H78" s="2356"/>
      <c r="I78" s="2410"/>
      <c r="J78" s="2334"/>
      <c r="K78" s="2411"/>
      <c r="L78" s="2404"/>
      <c r="M78" s="1982"/>
      <c r="N78" s="1185"/>
      <c r="O78" s="1185"/>
      <c r="P78" s="1176" t="s">
        <v>1154</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9" customFormat="1" customHeight="1" ht="12">
      <c r="A79" s="1174"/>
      <c r="B79" s="1174"/>
      <c r="C79" s="1174"/>
      <c r="D79" s="1168"/>
      <c r="E79" s="1178"/>
      <c r="F79" s="2407"/>
      <c r="G79" s="1200"/>
      <c r="H79" s="1200"/>
      <c r="I79" s="2405" t="s">
        <v>1155</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5482" customFormat="1" customHeight="1" ht="11.25">
      <c r="A81" s="1856" t="s">
        <v>1156</v>
      </c>
    </row>
    <row r="83" s="2949" customFormat="1" customHeight="1" ht="11.25">
      <c r="A83" s="1174"/>
      <c r="B83" s="1174"/>
      <c r="C83" s="1174"/>
      <c r="D83" s="1168"/>
      <c r="E83" s="1178"/>
      <c r="F83" s="1870"/>
      <c r="G83" s="1871"/>
      <c r="H83" s="1871"/>
      <c r="I83" s="1804"/>
      <c r="J83" s="1804"/>
      <c r="K83" s="1872"/>
      <c r="L83" s="1804"/>
      <c r="M83" s="1871"/>
      <c r="N83" s="2368"/>
      <c r="O83" s="2369">
        <v>1</v>
      </c>
      <c r="P83" s="2364" t="s">
        <v>55</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1153</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5482" customFormat="1" customHeight="1" ht="11.25">
      <c r="A87" s="1856" t="s">
        <v>1157</v>
      </c>
    </row>
    <row r="89" s="294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5482" customFormat="1" customHeight="1" ht="11.25">
      <c r="A91" s="1856" t="s">
        <v>1158</v>
      </c>
    </row>
    <row r="93" s="2949" customFormat="1" customHeight="1" ht="11.25">
      <c r="A93" s="1174"/>
      <c r="B93" s="1174"/>
      <c r="C93" s="1174"/>
      <c r="D93" s="1168"/>
      <c r="E93" s="1178"/>
      <c r="F93" s="1870"/>
      <c r="G93" s="1871"/>
      <c r="H93" s="2356" t="s">
        <v>107</v>
      </c>
      <c r="I93" s="2410"/>
      <c r="J93" s="2334"/>
      <c r="K93" s="2411"/>
      <c r="L93" s="2404" t="s">
        <v>55</v>
      </c>
      <c r="M93" s="1982"/>
      <c r="N93" s="1187"/>
      <c r="O93" s="1186" t="s">
        <v>366</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9" customFormat="1" customHeight="1" ht="11.25">
      <c r="A94" s="1174"/>
      <c r="B94" s="1174"/>
      <c r="C94" s="1174"/>
      <c r="D94" s="1168"/>
      <c r="E94" s="1178"/>
      <c r="F94" s="1870"/>
      <c r="G94" s="1871"/>
      <c r="H94" s="2356"/>
      <c r="I94" s="2410"/>
      <c r="J94" s="2334"/>
      <c r="K94" s="2411"/>
      <c r="L94" s="2404"/>
      <c r="M94" s="1982"/>
      <c r="N94" s="2412"/>
      <c r="O94" s="2369">
        <v>1</v>
      </c>
      <c r="P94" s="2364" t="s">
        <v>55</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1153</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9" customFormat="1" customHeight="1" ht="11.25">
      <c r="A97" s="1174"/>
      <c r="B97" s="1174"/>
      <c r="C97" s="1174"/>
      <c r="D97" s="1168"/>
      <c r="E97" s="1178"/>
      <c r="F97" s="1870"/>
      <c r="G97" s="1871"/>
      <c r="H97" s="2356"/>
      <c r="I97" s="2410"/>
      <c r="J97" s="2334"/>
      <c r="K97" s="2411"/>
      <c r="L97" s="2404"/>
      <c r="M97" s="1982"/>
      <c r="N97" s="1185"/>
      <c r="O97" s="1185"/>
      <c r="P97" s="1176" t="s">
        <v>1154</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5482" customFormat="1" customHeight="1" ht="11.25">
      <c r="A99" s="1856" t="s">
        <v>1159</v>
      </c>
    </row>
    <row customHeight="1" ht="17.25"/>
    <row s="5131"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5131"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5131" customFormat="1" customHeight="1" ht="12">
      <c r="A103" s="930"/>
      <c r="B103" s="929"/>
      <c r="C103" s="930"/>
      <c r="D103" s="930"/>
      <c r="E103" s="930"/>
      <c r="F103" s="1224"/>
      <c r="G103" s="1841" t="s">
        <v>1160</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5482" customFormat="1" customHeight="1" ht="11.25">
      <c r="A105" s="1856" t="s">
        <v>1161</v>
      </c>
    </row>
    <row r="107" s="2667" customFormat="1" customHeight="1" ht="15">
      <c r="A107" s="629"/>
      <c r="B107" s="630"/>
      <c r="C107" s="630"/>
      <c r="D107" s="2361" t="s">
        <v>107</v>
      </c>
      <c r="E107" s="2225" t="s">
        <v>103</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593</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7" customFormat="1" customHeight="1" ht="15">
      <c r="A108" s="629"/>
      <c r="B108" s="630"/>
      <c r="C108" s="630"/>
      <c r="D108" s="2362"/>
      <c r="E108" s="2225" t="s">
        <v>548</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7" customFormat="1" customHeight="1" ht="15">
      <c r="A109" s="629"/>
      <c r="B109" s="630"/>
      <c r="C109" s="630"/>
      <c r="D109" s="2362"/>
      <c r="E109" s="2225" t="s">
        <v>549</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7" customFormat="1" customHeight="1" ht="24.75">
      <c r="A110" s="1847"/>
      <c r="B110" s="1168"/>
      <c r="C110" s="418"/>
      <c r="D110" s="2362"/>
      <c r="E110" s="2222" t="s">
        <v>594</v>
      </c>
      <c r="F110" s="2222"/>
      <c r="G110" s="2222"/>
      <c r="H110" s="2222"/>
      <c r="I110" s="2222"/>
      <c r="J110" s="2222"/>
      <c r="K110" s="2222"/>
      <c r="L110" s="2222"/>
      <c r="M110" s="2222"/>
      <c r="N110" s="2222"/>
      <c r="O110" s="2222"/>
      <c r="P110" s="2222"/>
      <c r="Q110" s="564">
        <f>SUMIF(T111:T112,"i",Q111:Q112)</f>
        <v>0</v>
      </c>
      <c r="R110" s="1024"/>
      <c r="S110" s="1839" t="s">
        <v>595</v>
      </c>
      <c r="T110" s="723" t="s">
        <v>596</v>
      </c>
      <c r="U110" s="2223">
        <v>1</v>
      </c>
      <c r="V110" s="2223" t="s">
        <v>559</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7"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7" customFormat="1" customHeight="1" ht="11.25">
      <c r="A112" s="1847"/>
      <c r="B112" s="1168"/>
      <c r="C112" s="418"/>
      <c r="D112" s="2362"/>
      <c r="E112" s="655" t="s">
        <v>24</v>
      </c>
      <c r="F112" s="1176" t="s">
        <v>24</v>
      </c>
      <c r="G112" s="1176" t="s">
        <v>1162</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7" customFormat="1" customHeight="1" ht="24.75">
      <c r="A113" s="1847"/>
      <c r="B113" s="1168"/>
      <c r="C113" s="418"/>
      <c r="D113" s="2362"/>
      <c r="E113" s="2222" t="s">
        <v>597</v>
      </c>
      <c r="F113" s="2222"/>
      <c r="G113" s="2222"/>
      <c r="H113" s="2222"/>
      <c r="I113" s="2222"/>
      <c r="J113" s="2222"/>
      <c r="K113" s="2222"/>
      <c r="L113" s="2222"/>
      <c r="M113" s="2222"/>
      <c r="N113" s="2222"/>
      <c r="O113" s="2222"/>
      <c r="P113" s="2222"/>
      <c r="Q113" s="564">
        <f>SUMIF(T114:T115,"i",Q114:Q115)</f>
        <v>0</v>
      </c>
      <c r="R113" s="1024"/>
      <c r="S113" s="1839" t="s">
        <v>598</v>
      </c>
      <c r="T113" s="723" t="s">
        <v>596</v>
      </c>
      <c r="U113" s="2223">
        <v>1</v>
      </c>
      <c r="V113" s="2223" t="s">
        <v>559</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7"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7" customFormat="1" customHeight="1" ht="11.25">
      <c r="A115" s="1847"/>
      <c r="B115" s="1168"/>
      <c r="C115" s="418"/>
      <c r="D115" s="2363"/>
      <c r="E115" s="655" t="s">
        <v>24</v>
      </c>
      <c r="F115" s="1176" t="s">
        <v>24</v>
      </c>
      <c r="G115" s="1176" t="s">
        <v>1162</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5482" customFormat="1" customHeight="1" ht="11.25">
      <c r="A117" s="1856" t="s">
        <v>1163</v>
      </c>
    </row>
    <row r="119" s="2667" customFormat="1" customHeight="1" ht="15">
      <c r="A119" s="629"/>
      <c r="B119" s="630"/>
      <c r="C119" s="630"/>
      <c r="D119" s="2361" t="s">
        <v>107</v>
      </c>
      <c r="E119" s="2225" t="s">
        <v>103</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593</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7" customFormat="1" customHeight="1" ht="15">
      <c r="A120" s="629"/>
      <c r="B120" s="630"/>
      <c r="C120" s="630"/>
      <c r="D120" s="2362"/>
      <c r="E120" s="2225" t="s">
        <v>548</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7" customFormat="1" customHeight="1" ht="15">
      <c r="A121" s="629"/>
      <c r="B121" s="630"/>
      <c r="C121" s="630"/>
      <c r="D121" s="2362"/>
      <c r="E121" s="2225" t="s">
        <v>549</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7" customFormat="1" customHeight="1" ht="24.75">
      <c r="A122" s="1847"/>
      <c r="B122" s="1168"/>
      <c r="C122" s="418"/>
      <c r="D122" s="2362"/>
      <c r="E122" s="2222" t="s">
        <v>594</v>
      </c>
      <c r="F122" s="2222"/>
      <c r="G122" s="2222"/>
      <c r="H122" s="2222"/>
      <c r="I122" s="2222"/>
      <c r="J122" s="2222"/>
      <c r="K122" s="2222"/>
      <c r="L122" s="2222"/>
      <c r="M122" s="2222"/>
      <c r="N122" s="2222"/>
      <c r="O122" s="2222"/>
      <c r="P122" s="2222"/>
      <c r="Q122" s="564">
        <f>SUMIF(T123:T124,"i",Q123:Q124)</f>
        <v>0</v>
      </c>
      <c r="R122" s="1024"/>
      <c r="S122" s="1839" t="s">
        <v>595</v>
      </c>
      <c r="T122" s="723" t="s">
        <v>596</v>
      </c>
      <c r="U122" s="2223">
        <v>1</v>
      </c>
      <c r="V122" s="2223" t="s">
        <v>559</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7"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7" customFormat="1" customHeight="1" ht="11.25">
      <c r="A124" s="1847"/>
      <c r="B124" s="1168"/>
      <c r="C124" s="418"/>
      <c r="D124" s="2362"/>
      <c r="E124" s="655" t="s">
        <v>24</v>
      </c>
      <c r="F124" s="1176" t="s">
        <v>24</v>
      </c>
      <c r="G124" s="1176" t="s">
        <v>1162</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5"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596</v>
      </c>
      <c r="U125" s="2223">
        <v>1</v>
      </c>
      <c r="V125" s="2223" t="s">
        <v>559</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5"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5"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5482" customFormat="1" customHeight="1" ht="11.25">
      <c r="A129" s="1856" t="s">
        <v>1164</v>
      </c>
    </row>
    <row r="131" s="2667" customFormat="1" customHeight="1" ht="45">
      <c r="A131" s="1847"/>
      <c r="B131" s="1168"/>
      <c r="C131" s="418"/>
      <c r="D131" s="74"/>
      <c r="E131" s="2373"/>
      <c r="F131" s="1982" t="s">
        <v>107</v>
      </c>
      <c r="G131" s="2376" t="s">
        <v>24</v>
      </c>
      <c r="H131" s="277"/>
      <c r="I131" s="643" t="s">
        <v>107</v>
      </c>
      <c r="J131" s="1848" t="s">
        <v>1165</v>
      </c>
      <c r="K131" s="644" t="s">
        <v>530</v>
      </c>
      <c r="L131" s="2073" t="s">
        <v>530</v>
      </c>
      <c r="M131" s="2378"/>
      <c r="N131" s="644" t="s">
        <v>530</v>
      </c>
      <c r="O131" s="644" t="s">
        <v>530</v>
      </c>
      <c r="P131" s="644" t="s">
        <v>530</v>
      </c>
      <c r="Q131" s="645">
        <f>SUM(Q132:Q134)</f>
        <v>0</v>
      </c>
      <c r="R131" s="645">
        <f>IF(R128=0,0,(Q128/R128)*100)</f>
        <v>0</v>
      </c>
      <c r="S131" s="2041"/>
      <c r="T131" s="723" t="s">
        <v>596</v>
      </c>
      <c r="U131" s="74"/>
      <c r="V131" s="74"/>
      <c r="AC131" s="74"/>
    </row>
    <row s="2667" customFormat="1" customHeight="1" ht="11.25">
      <c r="A132" s="1847"/>
      <c r="B132" s="1168"/>
      <c r="C132" s="418"/>
      <c r="D132" s="74"/>
      <c r="E132" s="2374"/>
      <c r="F132" s="1982"/>
      <c r="G132" s="2376"/>
      <c r="H132" s="1971"/>
      <c r="I132" s="2356" t="s">
        <v>920</v>
      </c>
      <c r="J132" s="2370"/>
      <c r="K132" s="2371"/>
      <c r="L132" s="646"/>
      <c r="M132" s="647" t="s">
        <v>107</v>
      </c>
      <c r="N132" s="1836"/>
      <c r="O132" s="648"/>
      <c r="P132" s="649"/>
      <c r="Q132" s="648"/>
      <c r="R132" s="650">
        <v>0</v>
      </c>
      <c r="S132" s="2041"/>
      <c r="T132" s="723"/>
      <c r="U132" s="74"/>
      <c r="V132" s="74"/>
      <c r="AC132" s="74"/>
    </row>
    <row s="2667" customFormat="1" customHeight="1" ht="11.25">
      <c r="A133" s="1847"/>
      <c r="B133" s="1168"/>
      <c r="C133" s="418"/>
      <c r="D133" s="74"/>
      <c r="E133" s="2374"/>
      <c r="F133" s="1982"/>
      <c r="G133" s="2376"/>
      <c r="H133" s="1971"/>
      <c r="I133" s="2356"/>
      <c r="J133" s="2370"/>
      <c r="K133" s="2372"/>
      <c r="L133" s="651"/>
      <c r="M133" s="652"/>
      <c r="N133" s="653" t="s">
        <v>1166</v>
      </c>
      <c r="O133" s="653"/>
      <c r="P133" s="653"/>
      <c r="Q133" s="653"/>
      <c r="R133" s="654"/>
      <c r="S133" s="2041"/>
      <c r="T133" s="723"/>
      <c r="U133" s="74"/>
      <c r="V133" s="74"/>
      <c r="AC133" s="74"/>
    </row>
    <row s="2667" customFormat="1" customHeight="1" ht="11.25">
      <c r="A134" s="1847"/>
      <c r="B134" s="1168"/>
      <c r="C134" s="418"/>
      <c r="D134" s="74"/>
      <c r="E134" s="2375"/>
      <c r="F134" s="1982"/>
      <c r="G134" s="2377"/>
      <c r="H134" s="651" t="s">
        <v>24</v>
      </c>
      <c r="I134" s="652"/>
      <c r="J134" s="653" t="s">
        <v>1167</v>
      </c>
      <c r="K134" s="653"/>
      <c r="L134" s="653"/>
      <c r="M134" s="653"/>
      <c r="N134" s="653"/>
      <c r="O134" s="653"/>
      <c r="P134" s="653"/>
      <c r="Q134" s="653"/>
      <c r="R134" s="654"/>
      <c r="S134" s="2041"/>
      <c r="T134" s="723"/>
      <c r="U134" s="74"/>
      <c r="V134" s="74"/>
      <c r="AC134" s="74"/>
    </row>
    <row r="139" s="2667" customFormat="1" customHeight="1" ht="11.25">
      <c r="A139" s="1847"/>
      <c r="B139" s="1168"/>
      <c r="C139" s="418"/>
      <c r="D139" s="74"/>
      <c r="E139" s="1871"/>
      <c r="F139" s="1871"/>
      <c r="G139" s="1871"/>
      <c r="H139" s="1971"/>
      <c r="I139" s="2356" t="s">
        <v>920</v>
      </c>
      <c r="J139" s="2370"/>
      <c r="K139" s="2371"/>
      <c r="L139" s="646"/>
      <c r="M139" s="647" t="s">
        <v>107</v>
      </c>
      <c r="N139" s="1836"/>
      <c r="O139" s="648"/>
      <c r="P139" s="649"/>
      <c r="Q139" s="648"/>
      <c r="R139" s="650">
        <v>0</v>
      </c>
      <c r="S139" s="74"/>
      <c r="T139" s="723"/>
      <c r="U139" s="74"/>
      <c r="V139" s="74"/>
      <c r="AC139" s="74"/>
    </row>
    <row s="2667" customFormat="1" customHeight="1" ht="11.25">
      <c r="A140" s="1847"/>
      <c r="B140" s="1168"/>
      <c r="C140" s="418"/>
      <c r="D140" s="74"/>
      <c r="E140" s="1871"/>
      <c r="F140" s="1871"/>
      <c r="G140" s="1871"/>
      <c r="H140" s="1971"/>
      <c r="I140" s="2356"/>
      <c r="J140" s="2370"/>
      <c r="K140" s="2372"/>
      <c r="L140" s="651"/>
      <c r="M140" s="652"/>
      <c r="N140" s="653" t="s">
        <v>1166</v>
      </c>
      <c r="O140" s="653"/>
      <c r="P140" s="653"/>
      <c r="Q140" s="653"/>
      <c r="R140" s="654"/>
      <c r="S140" s="74"/>
      <c r="T140" s="723"/>
      <c r="U140" s="74"/>
      <c r="V140" s="74"/>
      <c r="AC140" s="74"/>
    </row>
    <row r="142" s="2667" customFormat="1" customHeight="1" ht="11.25">
      <c r="A142" s="1847"/>
      <c r="B142" s="1168"/>
      <c r="C142" s="418"/>
      <c r="D142" s="74"/>
      <c r="E142" s="1878"/>
      <c r="F142" s="1876"/>
      <c r="G142" s="1876"/>
      <c r="H142" s="1879"/>
      <c r="I142" s="1871"/>
      <c r="J142" s="1872"/>
      <c r="K142" s="1872"/>
      <c r="L142" s="646"/>
      <c r="M142" s="647" t="s">
        <v>107</v>
      </c>
      <c r="N142" s="1836"/>
      <c r="O142" s="648"/>
      <c r="P142" s="649"/>
      <c r="Q142" s="648"/>
      <c r="R142" s="650">
        <v>0</v>
      </c>
      <c r="S142" s="74"/>
      <c r="T142" s="723"/>
      <c r="U142" s="74"/>
      <c r="V142" s="74"/>
      <c r="AC142" s="74"/>
    </row>
    <row r="144" s="5482" customFormat="1" customHeight="1" ht="17.25">
      <c r="A144" s="1856" t="s">
        <v>1168</v>
      </c>
    </row>
    <row customHeight="1" ht="17.25">
      <c r="G145" s="1880"/>
      <c r="H145" s="1880"/>
      <c r="I145" s="1880"/>
      <c r="M145" s="1876"/>
    </row>
    <row s="5676" customFormat="1" customHeight="1" ht="17.25">
      <c r="A146" s="1881"/>
      <c r="C146" s="1883"/>
      <c r="D146" s="2353"/>
      <c r="E146" s="1993"/>
      <c r="F146" s="1995"/>
      <c r="G146" s="2359"/>
      <c r="H146" s="2353"/>
      <c r="I146" s="2353">
        <v>1</v>
      </c>
      <c r="J146" s="2389"/>
      <c r="K146" s="2044" t="s">
        <v>60</v>
      </c>
      <c r="L146" s="1982"/>
      <c r="M146" s="1982" t="s">
        <v>107</v>
      </c>
      <c r="N146" s="2387" t="str">
        <f>IF(Z146="","",INDEX(TERRITORY_MR_LIST,MATCH(Z146,TERRITORY_LIST_ID,0)))</f>
        <v/>
      </c>
      <c r="O146" s="2044" t="s">
        <v>60</v>
      </c>
      <c r="P146" s="1982"/>
      <c r="Q146" s="1982" t="s">
        <v>107</v>
      </c>
      <c r="R146" s="2358" t="s">
        <v>24</v>
      </c>
      <c r="S146" s="1981" t="s">
        <v>60</v>
      </c>
      <c r="T146" s="1852"/>
      <c r="U146" s="1852" t="s">
        <v>107</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5676"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404</v>
      </c>
      <c r="W147" s="312"/>
      <c r="Y147" s="1288"/>
      <c r="Z147" s="1288"/>
      <c r="AA147" s="1288"/>
      <c r="AB147" s="1288"/>
      <c r="AC147" s="1288"/>
      <c r="AD147" s="1288"/>
      <c r="AE147" s="1288"/>
      <c r="AF147" s="1288"/>
      <c r="AG147" s="1288"/>
      <c r="AH147" s="1288"/>
      <c r="AI147" s="1288"/>
      <c r="AJ147" s="1288"/>
      <c r="AK147" s="1288"/>
    </row>
    <row s="5676" customFormat="1" customHeight="1" ht="17.25">
      <c r="A148" s="1881"/>
      <c r="C148" s="1886"/>
      <c r="D148" s="2354"/>
      <c r="E148" s="2386"/>
      <c r="F148" s="1996"/>
      <c r="G148" s="2360"/>
      <c r="H148" s="2354"/>
      <c r="I148" s="2354"/>
      <c r="J148" s="2390"/>
      <c r="K148" s="2045"/>
      <c r="L148" s="2354"/>
      <c r="M148" s="2354"/>
      <c r="N148" s="2388"/>
      <c r="O148" s="1986"/>
      <c r="P148" s="310"/>
      <c r="Q148" s="311"/>
      <c r="R148" s="311" t="s">
        <v>214</v>
      </c>
      <c r="S148" s="1887"/>
      <c r="T148" s="1887"/>
      <c r="U148" s="1887"/>
      <c r="V148" s="1887"/>
      <c r="W148" s="312"/>
      <c r="Y148" s="1288"/>
      <c r="Z148" s="1288"/>
      <c r="AA148" s="1288"/>
      <c r="AB148" s="1288"/>
      <c r="AC148" s="1288"/>
      <c r="AD148" s="1288"/>
      <c r="AE148" s="1288"/>
      <c r="AF148" s="1288"/>
      <c r="AG148" s="1288"/>
      <c r="AH148" s="1288"/>
      <c r="AI148" s="1288"/>
      <c r="AJ148" s="1288"/>
      <c r="AK148" s="1288"/>
    </row>
    <row s="5676" customFormat="1" customHeight="1" ht="17.25">
      <c r="A149" s="1881"/>
      <c r="C149" s="1886"/>
      <c r="D149" s="2354"/>
      <c r="E149" s="2386"/>
      <c r="F149" s="1996"/>
      <c r="G149" s="2360"/>
      <c r="H149" s="2354"/>
      <c r="I149" s="2354"/>
      <c r="J149" s="2390"/>
      <c r="K149" s="1986"/>
      <c r="L149" s="310"/>
      <c r="M149" s="311"/>
      <c r="N149" s="311" t="s">
        <v>215</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5676" customFormat="1" customHeight="1" ht="17.25">
      <c r="A150" s="1881"/>
      <c r="C150" s="1886"/>
      <c r="D150" s="2354"/>
      <c r="E150" s="2386"/>
      <c r="F150" s="1997"/>
      <c r="G150" s="2360"/>
      <c r="H150" s="310"/>
      <c r="I150" s="311"/>
      <c r="J150" s="311" t="s">
        <v>216</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5676" customFormat="1" customHeight="1" ht="17.25">
      <c r="A152" s="1881"/>
      <c r="C152" s="1883"/>
      <c r="D152" s="1871"/>
      <c r="E152" s="1888"/>
      <c r="F152" s="1825"/>
      <c r="G152" s="1889"/>
      <c r="H152" s="2353"/>
      <c r="I152" s="2353">
        <v>1</v>
      </c>
      <c r="J152" s="2389"/>
      <c r="K152" s="2044" t="s">
        <v>60</v>
      </c>
      <c r="L152" s="1982"/>
      <c r="M152" s="1982" t="s">
        <v>107</v>
      </c>
      <c r="N152" s="2387" t="str">
        <f>IF(Z152="","",INDEX(TERRITORY_MR_LIST,MATCH(Z152,TERRITORY_LIST_ID,0)))</f>
        <v/>
      </c>
      <c r="O152" s="2044" t="s">
        <v>60</v>
      </c>
      <c r="P152" s="1982"/>
      <c r="Q152" s="1982" t="s">
        <v>107</v>
      </c>
      <c r="R152" s="2358" t="s">
        <v>24</v>
      </c>
      <c r="S152" s="1981" t="s">
        <v>60</v>
      </c>
      <c r="T152" s="1852"/>
      <c r="U152" s="1852" t="s">
        <v>107</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5676"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404</v>
      </c>
      <c r="W153" s="312"/>
      <c r="Y153" s="1288"/>
      <c r="Z153" s="1288"/>
      <c r="AA153" s="1288"/>
      <c r="AB153" s="1288"/>
      <c r="AC153" s="1288"/>
      <c r="AD153" s="1288"/>
      <c r="AE153" s="1288"/>
      <c r="AF153" s="1288"/>
      <c r="AG153" s="1288"/>
      <c r="AH153" s="1288"/>
      <c r="AI153" s="1288"/>
      <c r="AJ153" s="1288"/>
      <c r="AK153" s="1288"/>
    </row>
    <row s="5676" customFormat="1" customHeight="1" ht="17.25">
      <c r="A154" s="1881"/>
      <c r="C154" s="1886"/>
      <c r="D154" s="1871"/>
      <c r="E154" s="1888"/>
      <c r="F154" s="1825"/>
      <c r="G154" s="1889"/>
      <c r="H154" s="2354"/>
      <c r="I154" s="2354"/>
      <c r="J154" s="2390"/>
      <c r="K154" s="2045"/>
      <c r="L154" s="2354"/>
      <c r="M154" s="2354"/>
      <c r="N154" s="2388"/>
      <c r="O154" s="1986"/>
      <c r="P154" s="310"/>
      <c r="Q154" s="311"/>
      <c r="R154" s="311" t="s">
        <v>214</v>
      </c>
      <c r="S154" s="1887"/>
      <c r="T154" s="1887"/>
      <c r="U154" s="1887"/>
      <c r="V154" s="1887"/>
      <c r="W154" s="312"/>
      <c r="Y154" s="1288"/>
      <c r="Z154" s="1288"/>
      <c r="AA154" s="1288"/>
      <c r="AB154" s="1288"/>
      <c r="AC154" s="1288"/>
      <c r="AD154" s="1288"/>
      <c r="AE154" s="1288"/>
      <c r="AF154" s="1288"/>
      <c r="AG154" s="1288"/>
      <c r="AH154" s="1288"/>
      <c r="AI154" s="1288"/>
      <c r="AJ154" s="1288"/>
      <c r="AK154" s="1288"/>
    </row>
    <row s="5676" customFormat="1" customHeight="1" ht="17.25">
      <c r="A155" s="1881"/>
      <c r="C155" s="1886"/>
      <c r="D155" s="1871"/>
      <c r="E155" s="1888"/>
      <c r="F155" s="1825"/>
      <c r="G155" s="1889"/>
      <c r="H155" s="2354"/>
      <c r="I155" s="2354"/>
      <c r="J155" s="2390"/>
      <c r="K155" s="1986"/>
      <c r="L155" s="310"/>
      <c r="M155" s="311"/>
      <c r="N155" s="311" t="s">
        <v>215</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5676" customFormat="1" customHeight="1" ht="17.25">
      <c r="A157" s="1881"/>
      <c r="C157" s="1883"/>
      <c r="D157" s="1871"/>
      <c r="E157" s="1888"/>
      <c r="F157" s="1825"/>
      <c r="G157" s="1889"/>
      <c r="H157" s="1871"/>
      <c r="I157" s="1871"/>
      <c r="J157" s="1890"/>
      <c r="K157" s="1800"/>
      <c r="L157" s="1982"/>
      <c r="M157" s="1982" t="s">
        <v>107</v>
      </c>
      <c r="N157" s="2387" t="str">
        <f>IF(Z157="","",INDEX(TERRITORY_MR_LIST,MATCH(Z157,TERRITORY_LIST_ID,0)))</f>
        <v/>
      </c>
      <c r="O157" s="2044" t="s">
        <v>60</v>
      </c>
      <c r="P157" s="1982"/>
      <c r="Q157" s="1982" t="s">
        <v>107</v>
      </c>
      <c r="R157" s="2358" t="s">
        <v>24</v>
      </c>
      <c r="S157" s="1981" t="s">
        <v>60</v>
      </c>
      <c r="T157" s="1852"/>
      <c r="U157" s="1852" t="s">
        <v>107</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5676"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404</v>
      </c>
      <c r="W158" s="312"/>
      <c r="Y158" s="1288"/>
      <c r="Z158" s="1288"/>
      <c r="AA158" s="1288"/>
      <c r="AB158" s="1288"/>
      <c r="AC158" s="1288"/>
      <c r="AD158" s="1288"/>
      <c r="AE158" s="1288"/>
      <c r="AF158" s="1288"/>
      <c r="AG158" s="1288"/>
      <c r="AH158" s="1288"/>
      <c r="AI158" s="1288"/>
      <c r="AJ158" s="1288"/>
      <c r="AK158" s="1288"/>
    </row>
    <row s="5676" customFormat="1" customHeight="1" ht="17.25">
      <c r="A159" s="1881"/>
      <c r="C159" s="1886"/>
      <c r="D159" s="1871"/>
      <c r="E159" s="1888"/>
      <c r="F159" s="1825"/>
      <c r="G159" s="1889"/>
      <c r="H159" s="1871"/>
      <c r="I159" s="1871"/>
      <c r="J159" s="1890"/>
      <c r="K159" s="1800"/>
      <c r="L159" s="2354"/>
      <c r="M159" s="2354"/>
      <c r="N159" s="2388"/>
      <c r="O159" s="1986"/>
      <c r="P159" s="310"/>
      <c r="Q159" s="311"/>
      <c r="R159" s="311" t="s">
        <v>214</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5676" customFormat="1" customHeight="1" ht="17.25">
      <c r="A161" s="1881"/>
      <c r="C161" s="1883"/>
      <c r="D161" s="1871"/>
      <c r="E161" s="1888"/>
      <c r="F161" s="1825"/>
      <c r="G161" s="1889"/>
      <c r="H161" s="1871"/>
      <c r="I161" s="1871"/>
      <c r="J161" s="1890"/>
      <c r="K161" s="1800"/>
      <c r="L161" s="1796"/>
      <c r="M161" s="1796"/>
      <c r="N161" s="1891"/>
      <c r="O161" s="1828"/>
      <c r="P161" s="1982"/>
      <c r="Q161" s="1982" t="s">
        <v>107</v>
      </c>
      <c r="R161" s="2358" t="s">
        <v>24</v>
      </c>
      <c r="S161" s="1981" t="s">
        <v>60</v>
      </c>
      <c r="T161" s="1852"/>
      <c r="U161" s="1852" t="s">
        <v>107</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5676"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404</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5676"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107</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5482" customFormat="1" customHeight="1" ht="17.25">
      <c r="A166" s="1856" t="s">
        <v>1169</v>
      </c>
    </row>
    <row customHeight="1" ht="17.25">
      <c r="G167" s="1880"/>
      <c r="H167" s="1880"/>
      <c r="I167" s="1880"/>
      <c r="M167" s="1876"/>
    </row>
    <row s="5676" customFormat="1" customHeight="1" ht="17.25">
      <c r="A168" s="1881"/>
      <c r="C168" s="1883"/>
      <c r="D168" s="2353"/>
      <c r="E168" s="1993"/>
      <c r="F168" s="1995"/>
      <c r="G168" s="2359"/>
      <c r="H168" s="2353"/>
      <c r="I168" s="2353">
        <v>1</v>
      </c>
      <c r="J168" s="2389"/>
      <c r="K168" s="2044" t="s">
        <v>60</v>
      </c>
      <c r="L168" s="1982"/>
      <c r="M168" s="1982" t="s">
        <v>107</v>
      </c>
      <c r="N168" s="2387" t="str">
        <f>IF(Z168="","",INDEX(TERRITORY_MR_LIST,MATCH(Z168,TERRITORY_LIST_ID,0)))</f>
        <v/>
      </c>
      <c r="O168" s="2044" t="s">
        <v>60</v>
      </c>
      <c r="P168" s="1982"/>
      <c r="Q168" s="1982" t="s">
        <v>107</v>
      </c>
      <c r="R168" s="2358" t="s">
        <v>24</v>
      </c>
      <c r="S168" s="2240" t="s">
        <v>55</v>
      </c>
      <c r="T168" s="1843"/>
      <c r="U168" s="1843" t="s">
        <v>107</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5676"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5676" customFormat="1" customHeight="1" ht="17.25">
      <c r="A170" s="1881"/>
      <c r="C170" s="1886"/>
      <c r="D170" s="2354"/>
      <c r="E170" s="2386"/>
      <c r="F170" s="1996"/>
      <c r="G170" s="2360"/>
      <c r="H170" s="2354"/>
      <c r="I170" s="2354"/>
      <c r="J170" s="2390"/>
      <c r="K170" s="2045"/>
      <c r="L170" s="2354"/>
      <c r="M170" s="2354"/>
      <c r="N170" s="2388"/>
      <c r="O170" s="1986"/>
      <c r="P170" s="310"/>
      <c r="Q170" s="311"/>
      <c r="R170" s="311" t="s">
        <v>214</v>
      </c>
      <c r="S170" s="1887"/>
      <c r="T170" s="1887"/>
      <c r="U170" s="1887"/>
      <c r="V170" s="1887"/>
      <c r="W170" s="1463"/>
      <c r="Y170" s="1288"/>
      <c r="Z170" s="1288"/>
      <c r="AA170" s="1288"/>
      <c r="AB170" s="1288"/>
      <c r="AC170" s="1288"/>
      <c r="AD170" s="1288"/>
      <c r="AE170" s="1288"/>
      <c r="AF170" s="1288"/>
      <c r="AG170" s="1288"/>
      <c r="AH170" s="1288"/>
      <c r="AI170" s="1288"/>
      <c r="AJ170" s="1288"/>
      <c r="AK170" s="1288"/>
    </row>
    <row s="5676" customFormat="1" customHeight="1" ht="17.25">
      <c r="A171" s="1881"/>
      <c r="C171" s="1886"/>
      <c r="D171" s="2354"/>
      <c r="E171" s="2386"/>
      <c r="F171" s="1996"/>
      <c r="G171" s="2360"/>
      <c r="H171" s="2354"/>
      <c r="I171" s="2354"/>
      <c r="J171" s="2390"/>
      <c r="K171" s="1986"/>
      <c r="L171" s="310"/>
      <c r="M171" s="311"/>
      <c r="N171" s="311" t="s">
        <v>215</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5676" customFormat="1" customHeight="1" ht="17.25">
      <c r="A172" s="1881"/>
      <c r="C172" s="1886"/>
      <c r="D172" s="2354"/>
      <c r="E172" s="2386"/>
      <c r="F172" s="1997"/>
      <c r="G172" s="2360"/>
      <c r="H172" s="310"/>
      <c r="I172" s="311"/>
      <c r="J172" s="311" t="s">
        <v>216</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5676" customFormat="1" customHeight="1" ht="17.25">
      <c r="A174" s="1881"/>
      <c r="C174" s="1883"/>
      <c r="D174" s="1871"/>
      <c r="E174" s="1888"/>
      <c r="F174" s="1825"/>
      <c r="G174" s="1889"/>
      <c r="H174" s="2353"/>
      <c r="I174" s="2353">
        <v>1</v>
      </c>
      <c r="J174" s="2389"/>
      <c r="K174" s="2044" t="s">
        <v>60</v>
      </c>
      <c r="L174" s="1982"/>
      <c r="M174" s="1982" t="s">
        <v>107</v>
      </c>
      <c r="N174" s="2387" t="str">
        <f>IF(Z174="","",INDEX(TERRITORY_MR_LIST,MATCH(Z174,TERRITORY_LIST_ID,0)))</f>
        <v/>
      </c>
      <c r="O174" s="2044" t="s">
        <v>60</v>
      </c>
      <c r="P174" s="1982"/>
      <c r="Q174" s="1982" t="s">
        <v>107</v>
      </c>
      <c r="R174" s="2358" t="s">
        <v>24</v>
      </c>
      <c r="S174" s="2240" t="s">
        <v>55</v>
      </c>
      <c r="T174" s="1843"/>
      <c r="U174" s="1843" t="s">
        <v>107</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5676"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5676" customFormat="1" customHeight="1" ht="17.25">
      <c r="A176" s="1881"/>
      <c r="C176" s="1886"/>
      <c r="D176" s="1871"/>
      <c r="E176" s="1888"/>
      <c r="F176" s="1825"/>
      <c r="G176" s="1889"/>
      <c r="H176" s="2354"/>
      <c r="I176" s="2354"/>
      <c r="J176" s="2390"/>
      <c r="K176" s="2045"/>
      <c r="L176" s="2354"/>
      <c r="M176" s="2354"/>
      <c r="N176" s="2388"/>
      <c r="O176" s="1986"/>
      <c r="P176" s="310"/>
      <c r="Q176" s="311"/>
      <c r="R176" s="311" t="s">
        <v>214</v>
      </c>
      <c r="S176" s="1887"/>
      <c r="T176" s="1887"/>
      <c r="U176" s="1887"/>
      <c r="V176" s="1887"/>
      <c r="W176" s="1463"/>
      <c r="Y176" s="1288"/>
      <c r="Z176" s="1288"/>
      <c r="AA176" s="1288"/>
      <c r="AB176" s="1288"/>
      <c r="AC176" s="1288"/>
      <c r="AD176" s="1288"/>
      <c r="AE176" s="1288"/>
      <c r="AF176" s="1288"/>
      <c r="AG176" s="1288"/>
      <c r="AH176" s="1288"/>
      <c r="AI176" s="1288"/>
      <c r="AJ176" s="1288"/>
      <c r="AK176" s="1288"/>
    </row>
    <row s="5676" customFormat="1" customHeight="1" ht="17.25">
      <c r="A177" s="1881"/>
      <c r="C177" s="1886"/>
      <c r="D177" s="1871"/>
      <c r="E177" s="1888"/>
      <c r="F177" s="1825"/>
      <c r="G177" s="1889"/>
      <c r="H177" s="2354"/>
      <c r="I177" s="2354"/>
      <c r="J177" s="2390"/>
      <c r="K177" s="1986"/>
      <c r="L177" s="310"/>
      <c r="M177" s="311"/>
      <c r="N177" s="311" t="s">
        <v>215</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5676" customFormat="1" customHeight="1" ht="17.25">
      <c r="A179" s="1881"/>
      <c r="C179" s="1883"/>
      <c r="D179" s="1871"/>
      <c r="E179" s="1888"/>
      <c r="F179" s="1825"/>
      <c r="G179" s="1889"/>
      <c r="H179" s="1871"/>
      <c r="I179" s="1871"/>
      <c r="J179" s="1893"/>
      <c r="K179" s="1889"/>
      <c r="L179" s="1982"/>
      <c r="M179" s="1982" t="s">
        <v>107</v>
      </c>
      <c r="N179" s="2387" t="str">
        <f>IF(Z179="","",INDEX(TERRITORY_MR_LIST,MATCH(Z179,TERRITORY_LIST_ID,0)))</f>
        <v/>
      </c>
      <c r="O179" s="2044" t="s">
        <v>60</v>
      </c>
      <c r="P179" s="1982"/>
      <c r="Q179" s="1982" t="s">
        <v>107</v>
      </c>
      <c r="R179" s="2358" t="s">
        <v>24</v>
      </c>
      <c r="S179" s="2240" t="s">
        <v>55</v>
      </c>
      <c r="T179" s="1843"/>
      <c r="U179" s="1843" t="s">
        <v>107</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5676"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5676" customFormat="1" customHeight="1" ht="17.25">
      <c r="A181" s="1881"/>
      <c r="C181" s="1886"/>
      <c r="D181" s="1871"/>
      <c r="E181" s="1888"/>
      <c r="F181" s="1825"/>
      <c r="G181" s="1889"/>
      <c r="H181" s="1871"/>
      <c r="I181" s="1871"/>
      <c r="J181" s="1893"/>
      <c r="K181" s="1889"/>
      <c r="L181" s="2354"/>
      <c r="M181" s="2354"/>
      <c r="N181" s="2388"/>
      <c r="O181" s="1986"/>
      <c r="P181" s="310"/>
      <c r="Q181" s="311"/>
      <c r="R181" s="311" t="s">
        <v>214</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5676" customFormat="1" customHeight="1" ht="17.25">
      <c r="A183" s="1881"/>
      <c r="C183" s="1883"/>
      <c r="D183" s="1871"/>
      <c r="E183" s="1888"/>
      <c r="F183" s="1825"/>
      <c r="G183" s="1889"/>
      <c r="H183" s="1871"/>
      <c r="I183" s="1871"/>
      <c r="J183" s="1893"/>
      <c r="K183" s="1889"/>
      <c r="L183" s="1871"/>
      <c r="M183" s="1871"/>
      <c r="N183" s="1891"/>
      <c r="O183" s="1828"/>
      <c r="P183" s="1982"/>
      <c r="Q183" s="1982" t="s">
        <v>107</v>
      </c>
      <c r="R183" s="2358" t="s">
        <v>24</v>
      </c>
      <c r="S183" s="2240" t="s">
        <v>55</v>
      </c>
      <c r="T183" s="1843"/>
      <c r="U183" s="1843" t="s">
        <v>107</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5676"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5482" customFormat="1" customHeight="1" ht="17.25">
      <c r="A192" s="1856" t="s">
        <v>1170</v>
      </c>
    </row>
    <row customHeight="1" ht="17.25">
      <c r="G193" s="1880"/>
      <c r="H193" s="1880"/>
      <c r="I193" s="1880"/>
      <c r="M193" s="1876"/>
    </row>
    <row s="2667" customFormat="1" customHeight="1" ht="15">
      <c r="D194" s="2416"/>
      <c r="E194" s="2036"/>
      <c r="F194" s="2036"/>
      <c r="G194" s="2044"/>
      <c r="H194" s="1604"/>
      <c r="I194" s="2417">
        <v>1</v>
      </c>
      <c r="J194" s="2389"/>
      <c r="K194" s="1619"/>
      <c r="L194" s="2044" t="s">
        <v>60</v>
      </c>
      <c r="M194" s="2044" t="s">
        <v>60</v>
      </c>
      <c r="N194" s="1604"/>
      <c r="O194" s="1982" t="s">
        <v>107</v>
      </c>
      <c r="P194" s="2411"/>
      <c r="Q194" s="1620"/>
      <c r="R194" s="2044" t="s">
        <v>60</v>
      </c>
      <c r="S194" s="2044" t="s">
        <v>60</v>
      </c>
      <c r="T194" s="1897"/>
      <c r="U194" s="1982" t="s">
        <v>107</v>
      </c>
      <c r="V194" s="2413" t="str">
        <f>IF(AK194="","",INDEX(TERRITORY_MR_LIST,MATCH(AK194,TERRITORY_LIST_ID,0)))</f>
        <v/>
      </c>
      <c r="W194" s="1621"/>
      <c r="X194" s="2044" t="s">
        <v>60</v>
      </c>
      <c r="Y194" s="2044" t="s">
        <v>55</v>
      </c>
      <c r="Z194" s="1604"/>
      <c r="AA194" s="1982" t="s">
        <v>107</v>
      </c>
      <c r="AB194" s="2415"/>
      <c r="AC194" s="1622"/>
      <c r="AD194" s="2044" t="s">
        <v>60</v>
      </c>
      <c r="AE194" s="2044" t="s">
        <v>55</v>
      </c>
      <c r="AF194" s="1602"/>
      <c r="AG194" s="1852" t="s">
        <v>107</v>
      </c>
      <c r="AH194" s="1612"/>
      <c r="AI194" s="1842"/>
    </row>
    <row s="2667"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1171</v>
      </c>
      <c r="AI195" s="2420"/>
    </row>
    <row s="2667"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1172</v>
      </c>
      <c r="AC196" s="2421"/>
      <c r="AD196" s="2421"/>
      <c r="AE196" s="2421"/>
      <c r="AF196" s="2421"/>
      <c r="AG196" s="2421"/>
      <c r="AH196" s="2421"/>
      <c r="AI196" s="2422"/>
    </row>
    <row s="2667"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101</v>
      </c>
      <c r="W197" s="2419"/>
      <c r="X197" s="2419"/>
      <c r="Y197" s="2419"/>
      <c r="Z197" s="2419"/>
      <c r="AA197" s="2419"/>
      <c r="AB197" s="2419"/>
      <c r="AC197" s="2419"/>
      <c r="AD197" s="2419"/>
      <c r="AE197" s="2419"/>
      <c r="AF197" s="2419"/>
      <c r="AG197" s="2419"/>
      <c r="AH197" s="2419"/>
      <c r="AI197" s="2420"/>
    </row>
    <row s="2667" customFormat="1" customHeight="1" ht="11.25">
      <c r="D198" s="2416"/>
      <c r="E198" s="2036"/>
      <c r="F198" s="2036"/>
      <c r="G198" s="2045"/>
      <c r="H198" s="1608"/>
      <c r="I198" s="2417"/>
      <c r="J198" s="2418"/>
      <c r="K198" s="1603"/>
      <c r="L198" s="2045"/>
      <c r="M198" s="2045"/>
      <c r="N198" s="1608"/>
      <c r="O198" s="1609"/>
      <c r="P198" s="2419" t="s">
        <v>1173</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6" customFormat="1" customHeight="1" ht="11.25">
      <c r="D199" s="2416"/>
      <c r="E199" s="2036"/>
      <c r="F199" s="2036"/>
      <c r="G199" s="1986"/>
      <c r="H199" s="1610"/>
      <c r="I199" s="1611"/>
      <c r="J199" s="2419" t="s">
        <v>216</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7"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7"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7"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7"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7"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D572419-4B3F-D684-7162-158D13A0B424}"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5864" width="32.57421875" customWidth="1"/>
    <col min="2" max="2" style="5865" width="11.00390625" customWidth="1"/>
    <col min="3" max="3" style="5865" width="9.140625"/>
    <col min="4" max="4" style="5865" width="26.57421875" customWidth="1"/>
    <col min="5" max="5" style="5779" width="27.7109375" customWidth="1"/>
    <col min="6" max="6" style="5779" width="23.57421875" customWidth="1"/>
    <col min="7" max="7" style="5779" width="31.421875" customWidth="1"/>
    <col min="8" max="8" style="5779" width="40.8515625" customWidth="1"/>
    <col min="9" max="9" style="5779" width="14.57421875" customWidth="1"/>
    <col min="10" max="10" style="5779" width="26.8515625" customWidth="1"/>
    <col min="11" max="11" style="5779" width="50.00390625" customWidth="1"/>
    <col min="12" max="12" style="5779" width="52.421875" customWidth="1"/>
    <col min="13" max="13" style="5779" width="10.7109375" customWidth="1"/>
    <col min="14" max="14" style="5779" width="55.140625" customWidth="1"/>
    <col min="15" max="15" style="5779" width="31.8515625" customWidth="1"/>
    <col min="16" max="16" style="5779" width="23.8515625" customWidth="1"/>
    <col min="17" max="17" style="5779" width="46.57421875" customWidth="1"/>
    <col min="18" max="18" style="5779" width="24.00390625" customWidth="1"/>
    <col min="19" max="19" style="5779" width="20.57421875" customWidth="1"/>
    <col min="20" max="20" style="5779" width="22.00390625" customWidth="1"/>
    <col min="21" max="22" style="5779" width="26.421875" customWidth="1"/>
    <col min="23" max="23" style="5779" width="8.28125" hidden="1" customWidth="1"/>
    <col min="24" max="24" style="5779" width="59.7109375" customWidth="1"/>
    <col min="25" max="25" style="5779" width="49.140625" customWidth="1"/>
    <col min="26" max="26" style="5779" width="11.140625" customWidth="1"/>
    <col min="27" max="30" style="5779" width="29.00390625" customWidth="1"/>
    <col min="31" max="31" style="5779" width="9.140625"/>
    <col min="32" max="32" style="5779" width="34.7109375" customWidth="1"/>
    <col min="33" max="33" style="5779" width="9.140625"/>
    <col min="34" max="35" style="5779" width="34.421875" customWidth="1"/>
    <col min="36" max="36" style="5779" width="9.140625"/>
    <col min="37" max="37" style="5779" width="24.57421875" customWidth="1"/>
    <col min="38" max="38" style="5779" width="9.140625"/>
    <col min="39" max="39" style="5779" width="26.140625" customWidth="1"/>
    <col min="40" max="40" style="5779" width="1.7109375" customWidth="1"/>
    <col min="41" max="41" style="5779" width="9.140625"/>
    <col min="42" max="43" style="5779" width="47.8515625" customWidth="1"/>
    <col min="44" max="44" style="5779" width="1.7109375" customWidth="1"/>
    <col min="45" max="45" style="5779" width="21.421875" customWidth="1"/>
    <col min="46" max="46" style="5779" width="1.7109375" customWidth="1"/>
    <col min="47" max="47" style="5779" width="31.28125" customWidth="1"/>
    <col min="48" max="48" style="5779" width="1.7109375" customWidth="1"/>
    <col min="49" max="50" style="5866" width="9.140625"/>
    <col min="51" max="51" style="5779" width="3.7109375" customWidth="1"/>
    <col min="52" max="52" style="5779" width="55.00390625" customWidth="1"/>
    <col min="53" max="53" style="5779" width="9.140625"/>
    <col min="54" max="54" style="5779" width="35.140625" customWidth="1"/>
    <col min="55" max="55" style="5779" width="9.140625"/>
    <col min="56" max="56" style="5779" width="1.7109375" customWidth="1"/>
    <col min="57" max="57" style="5867" width="12.57421875" customWidth="1"/>
    <col min="58" max="58" style="5867" width="14.28125" customWidth="1"/>
    <col min="59" max="59" style="5779" width="30.7109375" customWidth="1"/>
    <col min="60" max="60" style="5774" width="40.7109375" customWidth="1"/>
    <col min="61" max="61" style="5774" width="15.00390625" customWidth="1"/>
    <col min="62" max="62" style="5774" width="40.7109375" customWidth="1"/>
    <col min="63" max="63" style="5774" width="2.7109375" customWidth="1"/>
    <col min="64" max="64" style="5774" width="44.7109375" customWidth="1"/>
    <col min="65" max="65" style="5774" width="2.7109375" customWidth="1"/>
    <col min="66" max="66" style="5774" width="40.7109375" customWidth="1"/>
    <col min="67" max="68" style="5779" width="9.140625"/>
    <col min="69" max="69" style="5779" width="18.140625" customWidth="1"/>
    <col min="70" max="70" style="5779" width="57.8515625" customWidth="1"/>
    <col min="71" max="71" style="5834" width="1.7109375" customWidth="1"/>
    <col min="72" max="72" style="5779" width="22.57421875" customWidth="1"/>
    <col min="73" max="73" style="5779" width="57.8515625" customWidth="1"/>
    <col min="74" max="74" style="5779" width="1.7109375" customWidth="1"/>
    <col min="75" max="75" style="5779" width="22.57421875" customWidth="1"/>
    <col min="76" max="76" style="5779" width="57.8515625" customWidth="1"/>
    <col min="77" max="77" style="5779" width="1.7109375" customWidth="1"/>
    <col min="78" max="78" style="5779" width="22.57421875" customWidth="1"/>
    <col min="79" max="79" style="5779" width="57.8515625" customWidth="1"/>
    <col min="80" max="81" style="5779" width="9.140625"/>
    <col min="82" max="82" style="5779" width="49.57421875" customWidth="1"/>
  </cols>
  <sheetData>
    <row s="5769" customFormat="1" customHeight="1" ht="11.25">
      <c r="A1" s="1074" t="s">
        <v>1174</v>
      </c>
      <c r="B1" s="1074" t="s">
        <v>1175</v>
      </c>
      <c r="C1" s="1074" t="s">
        <v>1176</v>
      </c>
      <c r="D1" s="1074" t="s">
        <v>1177</v>
      </c>
      <c r="E1" s="1074" t="s">
        <v>1178</v>
      </c>
      <c r="F1" s="1074" t="s">
        <v>1179</v>
      </c>
      <c r="G1" s="1074" t="s">
        <v>1180</v>
      </c>
      <c r="H1" s="1074" t="s">
        <v>1181</v>
      </c>
      <c r="I1" s="1074" t="s">
        <v>1182</v>
      </c>
      <c r="J1" s="1074" t="s">
        <v>1183</v>
      </c>
      <c r="K1" s="1074" t="s">
        <v>1184</v>
      </c>
      <c r="L1" s="1074" t="s">
        <v>1185</v>
      </c>
      <c r="M1" s="1074"/>
      <c r="N1" s="1074" t="s">
        <v>1186</v>
      </c>
      <c r="O1" s="1074" t="s">
        <v>1187</v>
      </c>
      <c r="P1" s="1074" t="s">
        <v>1188</v>
      </c>
      <c r="Q1" s="1074" t="s">
        <v>1189</v>
      </c>
      <c r="R1" s="1074" t="s">
        <v>1190</v>
      </c>
      <c r="S1" s="1074" t="s">
        <v>1191</v>
      </c>
      <c r="T1" s="1074" t="s">
        <v>1192</v>
      </c>
      <c r="U1" s="1074" t="s">
        <v>1193</v>
      </c>
      <c r="V1" s="1074"/>
      <c r="W1" s="803" t="s">
        <v>1194</v>
      </c>
      <c r="X1" s="1074" t="s">
        <v>1195</v>
      </c>
      <c r="Y1" s="1074" t="s">
        <v>1196</v>
      </c>
      <c r="Z1" s="1074"/>
      <c r="AA1" s="1074" t="s">
        <v>1197</v>
      </c>
      <c r="AB1" s="1074"/>
      <c r="AC1" s="1074" t="s">
        <v>1198</v>
      </c>
      <c r="AD1" s="1074"/>
      <c r="AF1" s="1074" t="s">
        <v>1199</v>
      </c>
      <c r="AH1" s="1074" t="s">
        <v>1200</v>
      </c>
      <c r="AI1" s="1074" t="s">
        <v>1201</v>
      </c>
      <c r="AK1" s="1074" t="s">
        <v>1202</v>
      </c>
      <c r="AM1" s="1074" t="s">
        <v>1203</v>
      </c>
      <c r="AP1" s="1074" t="s">
        <v>1204</v>
      </c>
      <c r="AQ1" s="1074" t="s">
        <v>1205</v>
      </c>
      <c r="AS1" s="1074" t="s">
        <v>1206</v>
      </c>
      <c r="AU1" s="1074" t="s">
        <v>1207</v>
      </c>
      <c r="AW1" s="1074" t="s">
        <v>1208</v>
      </c>
      <c r="AX1" s="1074" t="s">
        <v>1209</v>
      </c>
      <c r="AZ1" s="1160" t="s">
        <v>1210</v>
      </c>
      <c r="BB1" s="1074" t="s">
        <v>1211</v>
      </c>
      <c r="BC1" s="1074"/>
      <c r="BE1" s="1074" t="s">
        <v>1212</v>
      </c>
      <c r="BF1" s="1074" t="s">
        <v>1213</v>
      </c>
      <c r="BH1" s="1076" t="s">
        <v>706</v>
      </c>
      <c r="BI1" s="1077"/>
      <c r="BJ1" s="1078" t="s">
        <v>1214</v>
      </c>
      <c r="BK1" s="1077"/>
      <c r="BL1" s="1079" t="s">
        <v>804</v>
      </c>
      <c r="BM1" s="1077"/>
      <c r="BN1" s="1080" t="s">
        <v>1215</v>
      </c>
      <c r="BS1" s="1457"/>
    </row>
    <row customHeight="1" ht="11.25">
      <c r="A2" s="1081" t="s">
        <v>1216</v>
      </c>
      <c r="B2" s="1082">
        <v>2000</v>
      </c>
      <c r="C2" s="1082">
        <v>2022</v>
      </c>
      <c r="D2" s="1082" t="s">
        <v>60</v>
      </c>
      <c r="E2" s="1083" t="s">
        <v>1217</v>
      </c>
      <c r="F2" s="1083" t="s">
        <v>1218</v>
      </c>
      <c r="G2" s="1083" t="s">
        <v>1219</v>
      </c>
      <c r="H2" s="1084" t="s">
        <v>53</v>
      </c>
      <c r="I2" s="1083" t="s">
        <v>107</v>
      </c>
      <c r="J2" s="1083" t="s">
        <v>1220</v>
      </c>
      <c r="K2" s="1085" t="s">
        <v>1221</v>
      </c>
      <c r="L2" s="1086"/>
      <c r="M2" s="1085">
        <v>1</v>
      </c>
      <c r="N2" s="1170" t="s">
        <v>1222</v>
      </c>
      <c r="O2" s="1084" t="s">
        <v>1223</v>
      </c>
      <c r="P2" s="1087" t="s">
        <v>33</v>
      </c>
      <c r="Q2" s="1088" t="s">
        <v>1224</v>
      </c>
      <c r="R2" s="129" t="s">
        <v>1225</v>
      </c>
      <c r="S2" s="129" t="s">
        <v>1226</v>
      </c>
      <c r="T2" s="1089" t="s">
        <v>1227</v>
      </c>
      <c r="U2" s="1086" t="s">
        <v>1228</v>
      </c>
      <c r="V2" s="1090">
        <v>1</v>
      </c>
      <c r="W2" s="1091"/>
      <c r="X2" s="1091" t="s">
        <v>1229</v>
      </c>
      <c r="Y2" s="1082" t="s">
        <v>1230</v>
      </c>
      <c r="Z2" s="1092"/>
      <c r="AA2" s="1082" t="s">
        <v>1231</v>
      </c>
      <c r="AB2" s="1093" t="s">
        <v>1231</v>
      </c>
      <c r="AC2" s="1082" t="s">
        <v>1232</v>
      </c>
      <c r="AD2" s="1093" t="s">
        <v>1232</v>
      </c>
      <c r="AF2" s="1084" t="s">
        <v>1228</v>
      </c>
      <c r="AH2" s="1083" t="s">
        <v>1233</v>
      </c>
      <c r="AI2" s="1083" t="s">
        <v>1233</v>
      </c>
      <c r="AK2" s="1083" t="s">
        <v>1234</v>
      </c>
      <c r="AM2" s="1083" t="s">
        <v>1235</v>
      </c>
      <c r="AP2" s="1094" t="s">
        <v>1229</v>
      </c>
      <c r="AQ2" s="1095" t="s">
        <v>1229</v>
      </c>
      <c r="AS2" s="1082" t="s">
        <v>1236</v>
      </c>
      <c r="AU2" s="1128" t="s">
        <v>1237</v>
      </c>
      <c r="AW2" s="1128" t="s">
        <v>1238</v>
      </c>
      <c r="AX2" s="1128" t="s">
        <v>1238</v>
      </c>
      <c r="AZ2" s="1128" t="s">
        <v>1239</v>
      </c>
      <c r="BB2" s="1128" t="s">
        <v>1240</v>
      </c>
      <c r="BC2" s="1128" t="s">
        <v>1241</v>
      </c>
      <c r="BE2" s="1128">
        <v>2000</v>
      </c>
      <c r="BF2" s="1128" t="s">
        <v>1242</v>
      </c>
    </row>
    <row customHeight="1" ht="11.25">
      <c r="A3" s="1081" t="s">
        <v>1243</v>
      </c>
      <c r="B3" s="1082">
        <v>2001</v>
      </c>
      <c r="C3" s="1082">
        <v>2023</v>
      </c>
      <c r="D3" s="1082" t="s">
        <v>55</v>
      </c>
      <c r="E3" s="1083" t="s">
        <v>1244</v>
      </c>
      <c r="F3" s="1083" t="s">
        <v>1245</v>
      </c>
      <c r="G3" s="1083" t="s">
        <v>1246</v>
      </c>
      <c r="H3" s="1084" t="s">
        <v>1247</v>
      </c>
      <c r="I3" s="1083" t="s">
        <v>108</v>
      </c>
      <c r="J3" s="1083" t="s">
        <v>540</v>
      </c>
      <c r="K3" s="1085" t="s">
        <v>1248</v>
      </c>
      <c r="L3" s="1086">
        <f>_xlfn.IFERROR(MATCH(K3,OFFER_METHOD,0),0)</f>
        <v>0</v>
      </c>
      <c r="M3" s="1085">
        <v>2</v>
      </c>
      <c r="N3" s="1170" t="s">
        <v>1249</v>
      </c>
      <c r="O3" s="1084" t="s">
        <v>1250</v>
      </c>
      <c r="P3" s="1087" t="s">
        <v>1251</v>
      </c>
      <c r="Q3" s="1088" t="s">
        <v>1252</v>
      </c>
      <c r="R3" s="129" t="s">
        <v>1253</v>
      </c>
      <c r="S3" s="129" t="s">
        <v>1254</v>
      </c>
      <c r="T3" s="1089" t="s">
        <v>1255</v>
      </c>
      <c r="U3" s="1086" t="s">
        <v>1256</v>
      </c>
      <c r="V3" s="1090">
        <v>2</v>
      </c>
      <c r="W3" s="1091"/>
      <c r="X3" s="1091" t="s">
        <v>1257</v>
      </c>
      <c r="Y3" s="1082" t="s">
        <v>1230</v>
      </c>
      <c r="Z3" s="1092"/>
      <c r="AA3" s="1082" t="s">
        <v>1258</v>
      </c>
      <c r="AB3" s="1093" t="s">
        <v>1258</v>
      </c>
      <c r="AC3" s="1082" t="s">
        <v>1259</v>
      </c>
      <c r="AD3" s="1093" t="s">
        <v>1259</v>
      </c>
      <c r="AF3" s="1084" t="s">
        <v>1256</v>
      </c>
      <c r="AH3" s="1083" t="s">
        <v>1260</v>
      </c>
      <c r="AI3" s="1083" t="s">
        <v>1261</v>
      </c>
      <c r="AK3" s="1083" t="s">
        <v>1262</v>
      </c>
      <c r="AM3" s="1083" t="s">
        <v>1263</v>
      </c>
      <c r="AP3" s="1094" t="s">
        <v>1264</v>
      </c>
      <c r="AQ3" s="1095" t="s">
        <v>1264</v>
      </c>
      <c r="AS3" s="1082" t="s">
        <v>1265</v>
      </c>
      <c r="AU3" s="1128" t="s">
        <v>1266</v>
      </c>
      <c r="AW3" s="1128" t="s">
        <v>1267</v>
      </c>
      <c r="AX3" s="1128" t="s">
        <v>1267</v>
      </c>
      <c r="AZ3" s="1128" t="s">
        <v>1268</v>
      </c>
      <c r="BB3" s="1128" t="s">
        <v>1269</v>
      </c>
      <c r="BC3" s="1128" t="s">
        <v>1241</v>
      </c>
      <c r="BE3" s="1128">
        <v>2001</v>
      </c>
      <c r="BF3" s="1128" t="s">
        <v>1270</v>
      </c>
      <c r="BH3" s="1074" t="s">
        <v>1271</v>
      </c>
      <c r="BJ3" s="1074" t="s">
        <v>1272</v>
      </c>
      <c r="BL3" s="1074" t="s">
        <v>1273</v>
      </c>
      <c r="BN3" s="1074" t="s">
        <v>1274</v>
      </c>
      <c r="BR3" s="1074" t="s">
        <v>1275</v>
      </c>
      <c r="BS3" s="1458"/>
      <c r="BT3" s="1077"/>
      <c r="BU3" s="1074" t="s">
        <v>1276</v>
      </c>
      <c r="BV3" s="1077"/>
      <c r="BW3" s="1730"/>
      <c r="BX3" s="1732" t="s">
        <v>1277</v>
      </c>
      <c r="CA3" s="1074" t="s">
        <v>1278</v>
      </c>
    </row>
    <row customHeight="1" ht="11.25">
      <c r="A4" s="1081" t="s">
        <v>1279</v>
      </c>
      <c r="B4" s="1082">
        <v>2002</v>
      </c>
      <c r="C4" s="1082">
        <v>2024</v>
      </c>
      <c r="E4" s="1083" t="s">
        <v>1280</v>
      </c>
      <c r="F4" s="1083" t="s">
        <v>1281</v>
      </c>
      <c r="H4" s="1084" t="s">
        <v>1282</v>
      </c>
      <c r="I4" s="1083" t="s">
        <v>88</v>
      </c>
      <c r="J4" s="1083" t="s">
        <v>1283</v>
      </c>
      <c r="K4" s="1085" t="s">
        <v>1284</v>
      </c>
      <c r="L4" s="1086">
        <f>_xlfn.IFERROR(MATCH(K4,OFFER_METHOD,0),0)</f>
        <v>0</v>
      </c>
      <c r="M4" s="1085">
        <v>3</v>
      </c>
      <c r="N4" s="1170" t="s">
        <v>1285</v>
      </c>
      <c r="O4" s="1083" t="s">
        <v>1286</v>
      </c>
      <c r="Q4" s="1088" t="s">
        <v>1287</v>
      </c>
      <c r="R4" s="129" t="s">
        <v>1288</v>
      </c>
      <c r="S4" s="129" t="s">
        <v>1289</v>
      </c>
      <c r="T4" s="1089" t="s">
        <v>1290</v>
      </c>
      <c r="U4" s="1086" t="s">
        <v>1291</v>
      </c>
      <c r="V4" s="1090">
        <v>3</v>
      </c>
      <c r="W4" s="1091"/>
      <c r="X4" s="1091" t="s">
        <v>1292</v>
      </c>
      <c r="Y4" s="1082" t="s">
        <v>1230</v>
      </c>
      <c r="Z4" s="1098"/>
      <c r="AC4" s="1082" t="s">
        <v>1293</v>
      </c>
      <c r="AD4" s="1093" t="s">
        <v>1293</v>
      </c>
      <c r="AF4" s="1084" t="s">
        <v>1291</v>
      </c>
      <c r="AH4" s="1084" t="s">
        <v>1294</v>
      </c>
      <c r="AK4" s="1083" t="s">
        <v>1295</v>
      </c>
      <c r="AM4" s="1083" t="s">
        <v>1296</v>
      </c>
      <c r="AP4" s="1094" t="s">
        <v>1257</v>
      </c>
      <c r="AQ4" s="1095" t="s">
        <v>1257</v>
      </c>
      <c r="AS4" s="1082" t="s">
        <v>1297</v>
      </c>
      <c r="AU4" s="1128" t="s">
        <v>1298</v>
      </c>
      <c r="AW4" s="1128" t="s">
        <v>1299</v>
      </c>
      <c r="AX4" s="1128" t="s">
        <v>1299</v>
      </c>
      <c r="AZ4" s="1128" t="s">
        <v>1300</v>
      </c>
      <c r="BB4" s="1128" t="s">
        <v>1301</v>
      </c>
      <c r="BC4" s="1128" t="s">
        <v>1302</v>
      </c>
      <c r="BE4" s="1128">
        <v>2002</v>
      </c>
      <c r="BF4" s="1128" t="s">
        <v>1303</v>
      </c>
      <c r="BH4" s="1075" t="s">
        <v>1304</v>
      </c>
      <c r="BJ4" s="1075" t="s">
        <v>1304</v>
      </c>
      <c r="BL4" s="1075" t="s">
        <v>1304</v>
      </c>
      <c r="BN4" s="1075" t="s">
        <v>1304</v>
      </c>
      <c r="BQ4" s="1462" t="s">
        <v>1305</v>
      </c>
      <c r="BR4" s="1167" t="s">
        <v>1306</v>
      </c>
      <c r="BS4" s="260"/>
      <c r="BT4" s="1462" t="s">
        <v>1307</v>
      </c>
      <c r="BU4" s="1167" t="s">
        <v>1308</v>
      </c>
      <c r="BV4" s="1077"/>
      <c r="BW4" s="1737" t="s">
        <v>1309</v>
      </c>
      <c r="BX4" s="1731" t="s">
        <v>1310</v>
      </c>
      <c r="BZ4" s="1462" t="s">
        <v>1311</v>
      </c>
      <c r="CA4" s="1167" t="s">
        <v>1312</v>
      </c>
    </row>
    <row customHeight="1" ht="11.25">
      <c r="A5" s="1081" t="s">
        <v>1313</v>
      </c>
      <c r="B5" s="1082">
        <v>2003</v>
      </c>
      <c r="C5" s="1082">
        <v>2025</v>
      </c>
      <c r="E5" s="1083" t="s">
        <v>1314</v>
      </c>
      <c r="F5" s="1083" t="s">
        <v>1315</v>
      </c>
      <c r="H5" s="1084" t="s">
        <v>1316</v>
      </c>
      <c r="I5" s="1083" t="s">
        <v>89</v>
      </c>
      <c r="K5" s="1085" t="s">
        <v>1317</v>
      </c>
      <c r="L5" s="1086">
        <f>_xlfn.IFERROR(MATCH(K5,OFFER_METHOD,0),0)</f>
        <v>0</v>
      </c>
      <c r="M5" s="1085">
        <v>4</v>
      </c>
      <c r="N5" s="1099" t="s">
        <v>1318</v>
      </c>
      <c r="O5" s="1083" t="s">
        <v>1319</v>
      </c>
      <c r="Q5" s="1088" t="s">
        <v>1320</v>
      </c>
      <c r="R5" s="129" t="s">
        <v>484</v>
      </c>
      <c r="T5" s="1084" t="s">
        <v>1321</v>
      </c>
      <c r="U5" s="1086" t="s">
        <v>1322</v>
      </c>
      <c r="V5" s="1090">
        <v>4</v>
      </c>
      <c r="W5" s="1091"/>
      <c r="X5" s="1091" t="s">
        <v>164</v>
      </c>
      <c r="Y5" s="1082" t="s">
        <v>1323</v>
      </c>
      <c r="Z5" s="1098">
        <v>1</v>
      </c>
      <c r="AF5" s="1084" t="s">
        <v>1324</v>
      </c>
      <c r="AH5" s="1083" t="s">
        <v>1325</v>
      </c>
      <c r="AK5" s="1083" t="s">
        <v>1326</v>
      </c>
      <c r="AM5" s="1083" t="s">
        <v>1327</v>
      </c>
      <c r="AP5" s="1094" t="s">
        <v>164</v>
      </c>
      <c r="AQ5" s="1095" t="s">
        <v>164</v>
      </c>
      <c r="AU5" s="1128" t="s">
        <v>1328</v>
      </c>
      <c r="AW5" s="1128" t="s">
        <v>1329</v>
      </c>
      <c r="AX5" s="1128" t="s">
        <v>1329</v>
      </c>
      <c r="AZ5" s="1128" t="s">
        <v>1330</v>
      </c>
      <c r="BB5" s="1128" t="s">
        <v>1331</v>
      </c>
      <c r="BC5" s="1128" t="s">
        <v>1332</v>
      </c>
      <c r="BE5" s="1128">
        <v>2003</v>
      </c>
      <c r="BF5" s="1128" t="s">
        <v>1333</v>
      </c>
      <c r="BH5" s="1075" t="s">
        <v>1334</v>
      </c>
      <c r="BJ5" s="1075" t="s">
        <v>1334</v>
      </c>
      <c r="BL5" s="1075" t="s">
        <v>1334</v>
      </c>
      <c r="BN5" s="1075" t="s">
        <v>1335</v>
      </c>
      <c r="BQ5" s="1311">
        <v>4213775</v>
      </c>
      <c r="BR5" s="1075" t="s">
        <v>1229</v>
      </c>
      <c r="BS5" s="1459"/>
      <c r="BT5" s="1311">
        <v>64236871</v>
      </c>
      <c r="BU5" s="1075" t="s">
        <v>217</v>
      </c>
      <c r="BV5" s="1077"/>
      <c r="BW5" s="1735">
        <v>4213767</v>
      </c>
      <c r="BX5" s="1733" t="s">
        <v>1336</v>
      </c>
      <c r="BZ5" s="1311">
        <v>64237509</v>
      </c>
      <c r="CA5" s="1325" t="s">
        <v>1337</v>
      </c>
    </row>
    <row customHeight="1" ht="11.25">
      <c r="A6" s="1081" t="s">
        <v>1338</v>
      </c>
      <c r="B6" s="1082">
        <v>2004</v>
      </c>
      <c r="C6" s="1082">
        <v>2026</v>
      </c>
      <c r="E6" s="1083" t="s">
        <v>1339</v>
      </c>
      <c r="F6" s="1100"/>
      <c r="H6" s="1084" t="s">
        <v>1340</v>
      </c>
      <c r="I6" s="1083" t="s">
        <v>109</v>
      </c>
      <c r="J6" s="1074" t="s">
        <v>1341</v>
      </c>
      <c r="L6" s="1086">
        <f>SUM(kind_of_control_method_filter)</f>
        <v>0</v>
      </c>
      <c r="N6" s="1099" t="s">
        <v>1342</v>
      </c>
      <c r="O6" s="1083" t="s">
        <v>1343</v>
      </c>
      <c r="R6" s="129" t="s">
        <v>1224</v>
      </c>
      <c r="T6" s="1084" t="s">
        <v>1344</v>
      </c>
      <c r="U6" s="1086" t="s">
        <v>1324</v>
      </c>
      <c r="V6" s="1090">
        <v>5</v>
      </c>
      <c r="W6" s="1091"/>
      <c r="X6" s="1082" t="s">
        <v>170</v>
      </c>
      <c r="Y6" s="1082" t="s">
        <v>1345</v>
      </c>
      <c r="Z6" s="1098"/>
      <c r="AA6" s="1101"/>
      <c r="AH6" s="1083" t="s">
        <v>1346</v>
      </c>
      <c r="AK6" s="1083" t="s">
        <v>1347</v>
      </c>
      <c r="AM6" s="1083" t="s">
        <v>1348</v>
      </c>
      <c r="AP6" s="1094" t="s">
        <v>170</v>
      </c>
      <c r="AQ6" s="1095" t="s">
        <v>170</v>
      </c>
      <c r="AU6" s="1128" t="s">
        <v>1349</v>
      </c>
      <c r="AW6" s="1128" t="s">
        <v>1350</v>
      </c>
      <c r="AX6" s="1128" t="s">
        <v>1350</v>
      </c>
      <c r="BB6" s="1128" t="s">
        <v>1351</v>
      </c>
      <c r="BC6" s="1128" t="s">
        <v>1332</v>
      </c>
      <c r="BE6" s="1128">
        <v>2004</v>
      </c>
      <c r="BF6" s="1128" t="s">
        <v>1352</v>
      </c>
      <c r="BH6" s="1075" t="s">
        <v>1353</v>
      </c>
      <c r="BJ6" s="1075" t="s">
        <v>1354</v>
      </c>
      <c r="BL6" s="1075" t="s">
        <v>1354</v>
      </c>
      <c r="BN6" s="1075" t="s">
        <v>1355</v>
      </c>
      <c r="BQ6" s="1311">
        <v>4213784</v>
      </c>
      <c r="BR6" s="1325" t="s">
        <v>1264</v>
      </c>
      <c r="BS6" s="1460"/>
      <c r="BT6" s="1311">
        <v>64236872</v>
      </c>
      <c r="BU6" s="1075" t="s">
        <v>222</v>
      </c>
      <c r="BV6" s="1077"/>
      <c r="BW6" s="1735">
        <v>4213768</v>
      </c>
      <c r="BX6" s="1733" t="s">
        <v>242</v>
      </c>
      <c r="BZ6" s="1311">
        <v>64237510</v>
      </c>
      <c r="CA6" s="1075" t="s">
        <v>1356</v>
      </c>
    </row>
    <row customHeight="1" ht="11.25">
      <c r="A7" s="1081" t="s">
        <v>1357</v>
      </c>
      <c r="B7" s="1082">
        <v>2005</v>
      </c>
      <c r="E7" s="1083" t="s">
        <v>1358</v>
      </c>
      <c r="F7" s="1100"/>
      <c r="H7" s="1084" t="s">
        <v>1359</v>
      </c>
      <c r="I7" s="1083" t="s">
        <v>90</v>
      </c>
      <c r="J7" s="1083" t="s">
        <v>1360</v>
      </c>
      <c r="N7" s="1103" t="s">
        <v>1361</v>
      </c>
      <c r="O7" s="1083" t="s">
        <v>1362</v>
      </c>
      <c r="U7" s="1086" t="s">
        <v>55</v>
      </c>
      <c r="V7" s="370" t="s">
        <v>90</v>
      </c>
      <c r="W7" s="1091"/>
      <c r="X7" s="1082" t="s">
        <v>176</v>
      </c>
      <c r="Y7" s="1082" t="s">
        <v>1323</v>
      </c>
      <c r="Z7" s="1098"/>
      <c r="AA7" s="1101"/>
      <c r="AH7" s="1083" t="s">
        <v>1363</v>
      </c>
      <c r="AK7" s="1083" t="s">
        <v>1364</v>
      </c>
      <c r="AM7" s="1083" t="s">
        <v>1365</v>
      </c>
      <c r="AP7" s="1094" t="s">
        <v>176</v>
      </c>
      <c r="AQ7" s="1095" t="s">
        <v>176</v>
      </c>
      <c r="AU7" s="1128" t="s">
        <v>1366</v>
      </c>
      <c r="AW7" s="1128" t="s">
        <v>1367</v>
      </c>
      <c r="AX7" s="1128" t="s">
        <v>1367</v>
      </c>
      <c r="AZ7" s="1074" t="s">
        <v>1368</v>
      </c>
      <c r="BB7" s="1128" t="s">
        <v>1369</v>
      </c>
      <c r="BC7" s="1128" t="s">
        <v>1332</v>
      </c>
      <c r="BE7" s="1128">
        <v>2005</v>
      </c>
      <c r="BF7" s="1128" t="s">
        <v>1370</v>
      </c>
      <c r="BH7" s="1075" t="s">
        <v>1371</v>
      </c>
      <c r="BJ7" s="1075" t="s">
        <v>1353</v>
      </c>
      <c r="BL7" s="1075" t="s">
        <v>1353</v>
      </c>
      <c r="BN7" s="1075" t="s">
        <v>1372</v>
      </c>
      <c r="BQ7" s="1311">
        <v>4213781</v>
      </c>
      <c r="BR7" s="1075" t="s">
        <v>1257</v>
      </c>
      <c r="BS7" s="1459"/>
      <c r="BT7" s="1311">
        <v>64236873</v>
      </c>
      <c r="BU7" s="1075" t="s">
        <v>227</v>
      </c>
      <c r="BV7" s="1077"/>
      <c r="BW7" s="1735">
        <v>4213769</v>
      </c>
      <c r="BX7" s="1733" t="s">
        <v>1373</v>
      </c>
      <c r="BZ7" s="1311">
        <v>64237511</v>
      </c>
      <c r="CA7" s="1075" t="s">
        <v>257</v>
      </c>
    </row>
    <row customHeight="1" ht="11.25">
      <c r="A8" s="1081" t="s">
        <v>1374</v>
      </c>
      <c r="B8" s="1082">
        <v>2006</v>
      </c>
      <c r="E8" s="1083" t="s">
        <v>1375</v>
      </c>
      <c r="F8" s="1100"/>
      <c r="I8" s="1083" t="s">
        <v>91</v>
      </c>
      <c r="J8" s="1083" t="s">
        <v>1376</v>
      </c>
      <c r="N8" s="1171" t="s">
        <v>1377</v>
      </c>
      <c r="O8" s="1083" t="s">
        <v>1378</v>
      </c>
      <c r="V8" s="370" t="s">
        <v>91</v>
      </c>
      <c r="W8" s="1091"/>
      <c r="X8" s="1082" t="s">
        <v>182</v>
      </c>
      <c r="Y8" s="1082" t="s">
        <v>1323</v>
      </c>
      <c r="Z8" s="1098"/>
      <c r="AA8" s="1101"/>
      <c r="AK8" s="1083" t="s">
        <v>1379</v>
      </c>
      <c r="AP8" s="1094" t="s">
        <v>182</v>
      </c>
      <c r="AQ8" s="1095" t="s">
        <v>182</v>
      </c>
      <c r="AU8" s="1128" t="s">
        <v>1380</v>
      </c>
      <c r="AW8" s="1128" t="s">
        <v>1381</v>
      </c>
      <c r="AX8" s="1128" t="s">
        <v>1381</v>
      </c>
      <c r="AZ8" s="1128" t="s">
        <v>1382</v>
      </c>
      <c r="BB8" s="1128" t="s">
        <v>1383</v>
      </c>
      <c r="BC8" s="1128" t="s">
        <v>1332</v>
      </c>
      <c r="BE8" s="1128">
        <v>2006</v>
      </c>
      <c r="BF8" s="1128" t="s">
        <v>1384</v>
      </c>
      <c r="BH8" s="1075" t="s">
        <v>1385</v>
      </c>
      <c r="BJ8" s="1075" t="s">
        <v>1386</v>
      </c>
      <c r="BL8" s="1075" t="s">
        <v>1386</v>
      </c>
      <c r="BN8" s="1075" t="s">
        <v>1387</v>
      </c>
      <c r="BQ8" s="1311">
        <v>4213776</v>
      </c>
      <c r="BR8" s="1075" t="s">
        <v>164</v>
      </c>
      <c r="BS8" s="1459"/>
      <c r="BT8" s="1311">
        <v>64236874</v>
      </c>
      <c r="BU8" s="1325" t="s">
        <v>1388</v>
      </c>
      <c r="BV8" s="1077"/>
      <c r="BW8" s="1735">
        <v>4213770</v>
      </c>
      <c r="BX8" s="1736" t="s">
        <v>1389</v>
      </c>
      <c r="BZ8" s="1311">
        <v>64237512</v>
      </c>
      <c r="CA8" s="1075" t="s">
        <v>252</v>
      </c>
    </row>
    <row customHeight="1" ht="11.25">
      <c r="A9" s="1081" t="s">
        <v>1390</v>
      </c>
      <c r="B9" s="1082">
        <v>2007</v>
      </c>
      <c r="E9" s="1083" t="s">
        <v>1391</v>
      </c>
      <c r="F9" s="1100"/>
      <c r="G9" s="1074" t="s">
        <v>1392</v>
      </c>
      <c r="H9" s="1074" t="s">
        <v>1393</v>
      </c>
      <c r="I9" s="1083" t="s">
        <v>110</v>
      </c>
      <c r="O9" s="1083" t="s">
        <v>1394</v>
      </c>
      <c r="V9" s="370" t="s">
        <v>110</v>
      </c>
      <c r="W9" s="1091"/>
      <c r="X9" s="1082" t="s">
        <v>188</v>
      </c>
      <c r="Y9" s="1082" t="s">
        <v>1230</v>
      </c>
      <c r="Z9" s="1098">
        <v>1</v>
      </c>
      <c r="AA9" s="1101"/>
      <c r="AK9" s="1083" t="s">
        <v>1395</v>
      </c>
      <c r="AP9" s="1094" t="s">
        <v>1396</v>
      </c>
      <c r="AQ9" s="1095" t="s">
        <v>1396</v>
      </c>
      <c r="AW9" s="1128" t="s">
        <v>1397</v>
      </c>
      <c r="AX9" s="1128" t="s">
        <v>1397</v>
      </c>
      <c r="AZ9" s="1128" t="s">
        <v>1398</v>
      </c>
      <c r="BB9" s="1128" t="s">
        <v>1399</v>
      </c>
      <c r="BC9" s="1128" t="s">
        <v>1332</v>
      </c>
      <c r="BE9" s="1128">
        <v>2007</v>
      </c>
      <c r="BF9" s="1128" t="s">
        <v>1400</v>
      </c>
      <c r="BH9" s="1075" t="s">
        <v>1401</v>
      </c>
      <c r="BJ9" s="1075" t="s">
        <v>1402</v>
      </c>
      <c r="BL9" s="1075" t="s">
        <v>1402</v>
      </c>
      <c r="BN9" s="1075" t="s">
        <v>1403</v>
      </c>
      <c r="BQ9" s="1311">
        <v>4213777</v>
      </c>
      <c r="BR9" s="1075" t="s">
        <v>170</v>
      </c>
      <c r="BS9" s="1459"/>
      <c r="BT9" s="1311">
        <v>64236875</v>
      </c>
      <c r="BU9" s="1075" t="s">
        <v>232</v>
      </c>
      <c r="BV9" s="1077"/>
      <c r="BW9" s="1730"/>
      <c r="BX9" s="1730"/>
    </row>
    <row customHeight="1" ht="11.25">
      <c r="A10" s="1081" t="s">
        <v>1404</v>
      </c>
      <c r="B10" s="1082">
        <v>2008</v>
      </c>
      <c r="E10" s="1083" t="s">
        <v>1405</v>
      </c>
      <c r="F10" s="1100"/>
      <c r="G10" s="1083" t="s">
        <v>1406</v>
      </c>
      <c r="H10" s="1083" t="s">
        <v>1407</v>
      </c>
      <c r="I10" s="1083" t="s">
        <v>146</v>
      </c>
      <c r="J10" s="1074" t="s">
        <v>1408</v>
      </c>
      <c r="K10" s="1074" t="s">
        <v>1409</v>
      </c>
      <c r="O10" s="1083" t="s">
        <v>1410</v>
      </c>
      <c r="V10" s="371" t="s">
        <v>146</v>
      </c>
      <c r="W10" s="1104"/>
      <c r="X10" s="1104" t="s">
        <v>1411</v>
      </c>
      <c r="Y10" s="1105" t="s">
        <v>1412</v>
      </c>
      <c r="Z10" s="1098"/>
      <c r="AP10" s="1094" t="s">
        <v>1411</v>
      </c>
      <c r="AQ10" s="1095" t="s">
        <v>1411</v>
      </c>
      <c r="AW10" s="1128" t="s">
        <v>1413</v>
      </c>
      <c r="AX10" s="1128" t="s">
        <v>1413</v>
      </c>
      <c r="AZ10" s="1128" t="s">
        <v>1414</v>
      </c>
      <c r="BB10" s="1128" t="s">
        <v>1415</v>
      </c>
      <c r="BC10" s="1128" t="s">
        <v>1332</v>
      </c>
      <c r="BE10" s="1128">
        <v>2008</v>
      </c>
      <c r="BF10" s="1128" t="s">
        <v>1416</v>
      </c>
      <c r="BH10" s="1075" t="s">
        <v>1417</v>
      </c>
      <c r="BJ10" s="1075" t="s">
        <v>1418</v>
      </c>
      <c r="BL10" s="1075" t="s">
        <v>1418</v>
      </c>
      <c r="BN10" s="1075" t="s">
        <v>1419</v>
      </c>
      <c r="BQ10" s="1311">
        <v>4213778</v>
      </c>
      <c r="BR10" s="1075" t="s">
        <v>176</v>
      </c>
      <c r="BS10" s="1459"/>
      <c r="BT10" s="1311">
        <v>64236876</v>
      </c>
      <c r="BU10" s="1075" t="s">
        <v>208</v>
      </c>
      <c r="BV10" s="1077"/>
      <c r="BW10" s="1730"/>
      <c r="BX10" s="1730"/>
    </row>
    <row customHeight="1" ht="11.25">
      <c r="A11" s="1081" t="s">
        <v>1420</v>
      </c>
      <c r="B11" s="1082">
        <v>2009</v>
      </c>
      <c r="E11" s="1083" t="s">
        <v>1421</v>
      </c>
      <c r="F11" s="1100"/>
      <c r="G11" s="1083" t="s">
        <v>1422</v>
      </c>
      <c r="H11" s="1083" t="s">
        <v>1423</v>
      </c>
      <c r="I11" s="1083" t="s">
        <v>147</v>
      </c>
      <c r="J11" s="1084" t="s">
        <v>1424</v>
      </c>
      <c r="K11" s="1106" t="s">
        <v>1425</v>
      </c>
      <c r="O11" s="1084" t="s">
        <v>1426</v>
      </c>
      <c r="V11" s="370" t="s">
        <v>147</v>
      </c>
      <c r="W11" s="261"/>
      <c r="X11" s="1091" t="s">
        <v>1396</v>
      </c>
      <c r="Y11" s="1082" t="s">
        <v>1427</v>
      </c>
      <c r="Z11" s="1098"/>
      <c r="AP11" s="1094" t="s">
        <v>188</v>
      </c>
      <c r="AQ11" s="1096" t="s">
        <v>188</v>
      </c>
      <c r="AW11" s="1128" t="s">
        <v>1428</v>
      </c>
      <c r="AX11" s="1128" t="s">
        <v>1428</v>
      </c>
      <c r="AZ11" s="1128" t="s">
        <v>1429</v>
      </c>
      <c r="BB11" s="1128" t="s">
        <v>1430</v>
      </c>
      <c r="BC11" s="1128" t="s">
        <v>1332</v>
      </c>
      <c r="BE11" s="1128">
        <v>2009</v>
      </c>
      <c r="BF11" s="1128" t="s">
        <v>1431</v>
      </c>
      <c r="BH11" s="1075" t="s">
        <v>1432</v>
      </c>
      <c r="BJ11" s="1075" t="s">
        <v>1401</v>
      </c>
      <c r="BL11" s="1075" t="s">
        <v>1401</v>
      </c>
      <c r="BN11" s="1075" t="s">
        <v>1433</v>
      </c>
      <c r="BQ11" s="1311">
        <v>4213780</v>
      </c>
      <c r="BR11" s="1075" t="s">
        <v>182</v>
      </c>
      <c r="BS11" s="1459"/>
      <c r="BW11" s="1730"/>
      <c r="BX11" s="1730"/>
    </row>
    <row customHeight="1" ht="11.25">
      <c r="A12" s="1081" t="s">
        <v>1434</v>
      </c>
      <c r="B12" s="1082">
        <v>2010</v>
      </c>
      <c r="E12" s="1083" t="s">
        <v>1435</v>
      </c>
      <c r="F12" s="1100"/>
      <c r="G12" s="1083" t="s">
        <v>1423</v>
      </c>
      <c r="I12" s="1083" t="s">
        <v>148</v>
      </c>
      <c r="J12" s="1084" t="s">
        <v>1436</v>
      </c>
      <c r="K12" s="1106" t="s">
        <v>1437</v>
      </c>
      <c r="O12" s="1084" t="s">
        <v>1224</v>
      </c>
      <c r="V12" s="370" t="s">
        <v>148</v>
      </c>
      <c r="W12" s="1096"/>
      <c r="X12" s="1091" t="s">
        <v>1438</v>
      </c>
      <c r="Y12" s="1082" t="s">
        <v>1230</v>
      </c>
      <c r="AP12" s="1094"/>
      <c r="AW12" s="1128" t="s">
        <v>147</v>
      </c>
      <c r="AX12" s="1128" t="s">
        <v>147</v>
      </c>
      <c r="AZ12" s="1128" t="s">
        <v>1439</v>
      </c>
      <c r="BB12" s="1128" t="s">
        <v>1440</v>
      </c>
      <c r="BC12" s="1128" t="s">
        <v>1332</v>
      </c>
      <c r="BE12" s="1128">
        <v>2010</v>
      </c>
      <c r="BF12" s="1128" t="s">
        <v>1441</v>
      </c>
      <c r="BH12" s="1075" t="s">
        <v>1442</v>
      </c>
      <c r="BJ12" s="1075" t="s">
        <v>1443</v>
      </c>
      <c r="BL12" s="1075" t="s">
        <v>1443</v>
      </c>
      <c r="BN12" s="1075" t="s">
        <v>1444</v>
      </c>
      <c r="BQ12" s="1311">
        <v>4213779</v>
      </c>
      <c r="BR12" s="1075" t="s">
        <v>1396</v>
      </c>
      <c r="BS12" s="1459"/>
      <c r="BT12" s="1077"/>
      <c r="BU12" s="1077"/>
      <c r="BV12" s="1077"/>
      <c r="BW12" s="1730"/>
      <c r="BX12" s="1730"/>
    </row>
    <row customHeight="1" ht="11.25">
      <c r="A13" s="1081" t="s">
        <v>1445</v>
      </c>
      <c r="B13" s="1082">
        <v>2011</v>
      </c>
      <c r="E13" s="1083" t="s">
        <v>1446</v>
      </c>
      <c r="F13" s="1100"/>
      <c r="I13" s="1083" t="s">
        <v>149</v>
      </c>
      <c r="K13" s="1106" t="s">
        <v>1395</v>
      </c>
      <c r="V13" s="370" t="s">
        <v>149</v>
      </c>
      <c r="W13" s="1096"/>
      <c r="X13" s="1096"/>
      <c r="Y13" s="1096"/>
      <c r="AW13" s="1128" t="s">
        <v>148</v>
      </c>
      <c r="AX13" s="1128" t="s">
        <v>148</v>
      </c>
      <c r="BB13" s="1128" t="s">
        <v>1447</v>
      </c>
      <c r="BC13" s="1128" t="s">
        <v>1448</v>
      </c>
      <c r="BE13" s="1128">
        <v>2011</v>
      </c>
      <c r="BF13" s="1128" t="s">
        <v>1449</v>
      </c>
      <c r="BH13" s="1075" t="s">
        <v>1450</v>
      </c>
      <c r="BJ13" s="1075" t="s">
        <v>1432</v>
      </c>
      <c r="BL13" s="1075" t="s">
        <v>1432</v>
      </c>
      <c r="BN13" s="1075" t="s">
        <v>1451</v>
      </c>
      <c r="BQ13" s="1311">
        <v>4213783</v>
      </c>
      <c r="BR13" s="1075" t="s">
        <v>1411</v>
      </c>
      <c r="BS13" s="1459"/>
      <c r="BT13" s="1077"/>
      <c r="BU13" s="1077"/>
      <c r="BV13" s="1077"/>
      <c r="BW13" s="1734"/>
      <c r="BX13" s="1730"/>
    </row>
    <row customHeight="1" ht="11.25">
      <c r="A14" s="1081" t="s">
        <v>1452</v>
      </c>
      <c r="B14" s="1082">
        <v>2012</v>
      </c>
      <c r="I14" s="1083" t="s">
        <v>150</v>
      </c>
      <c r="J14" s="1074" t="s">
        <v>1453</v>
      </c>
      <c r="N14" s="1074" t="s">
        <v>1454</v>
      </c>
      <c r="V14" s="1090">
        <v>13</v>
      </c>
      <c r="W14" s="1091"/>
      <c r="X14" s="1091" t="s">
        <v>1264</v>
      </c>
      <c r="Y14" s="1082" t="s">
        <v>1230</v>
      </c>
      <c r="AW14" s="1128" t="s">
        <v>149</v>
      </c>
      <c r="AX14" s="1128" t="s">
        <v>149</v>
      </c>
      <c r="AZ14" s="1074" t="s">
        <v>1455</v>
      </c>
      <c r="BB14" s="1128" t="s">
        <v>1456</v>
      </c>
      <c r="BC14" s="1128" t="s">
        <v>1448</v>
      </c>
      <c r="BE14" s="1128">
        <v>2012</v>
      </c>
      <c r="BH14" s="1075" t="s">
        <v>1372</v>
      </c>
      <c r="BJ14" s="1229" t="s">
        <v>1457</v>
      </c>
      <c r="BL14" s="1229" t="s">
        <v>1457</v>
      </c>
      <c r="BN14" s="1075" t="s">
        <v>1458</v>
      </c>
      <c r="BQ14" s="1311">
        <v>4213782</v>
      </c>
      <c r="BR14" s="1075" t="s">
        <v>188</v>
      </c>
      <c r="BS14" s="1459"/>
      <c r="BT14" s="1077"/>
      <c r="BU14" s="1077"/>
      <c r="BV14" s="1077"/>
      <c r="BW14" s="1734"/>
      <c r="BX14" s="1730"/>
    </row>
    <row customHeight="1" ht="19.5">
      <c r="A15" s="1081" t="s">
        <v>1459</v>
      </c>
      <c r="B15" s="1082">
        <v>2013</v>
      </c>
      <c r="E15" s="1738" t="s">
        <v>1460</v>
      </c>
      <c r="G15" s="1074" t="s">
        <v>1461</v>
      </c>
      <c r="H15" s="1074" t="s">
        <v>1462</v>
      </c>
      <c r="I15" s="1085" t="s">
        <v>151</v>
      </c>
      <c r="J15" s="1096" t="s">
        <v>567</v>
      </c>
      <c r="N15" s="1166" t="s">
        <v>1463</v>
      </c>
      <c r="X15" s="1094"/>
      <c r="AW15" s="1128" t="s">
        <v>150</v>
      </c>
      <c r="AX15" s="1128" t="s">
        <v>150</v>
      </c>
      <c r="AZ15" s="1128" t="s">
        <v>1382</v>
      </c>
      <c r="BB15" s="1128" t="s">
        <v>1464</v>
      </c>
      <c r="BC15" s="1128" t="s">
        <v>1448</v>
      </c>
      <c r="BE15" s="1128">
        <v>2013</v>
      </c>
      <c r="BH15" s="1075" t="s">
        <v>1387</v>
      </c>
      <c r="BJ15" s="1229" t="s">
        <v>1465</v>
      </c>
      <c r="BL15" s="1229" t="s">
        <v>1465</v>
      </c>
      <c r="BN15" s="1075" t="s">
        <v>1466</v>
      </c>
      <c r="BR15" s="1077"/>
      <c r="BS15" s="1461"/>
      <c r="BT15" s="1077"/>
      <c r="BU15" s="1077"/>
      <c r="BV15" s="1077"/>
      <c r="BW15" s="1734"/>
      <c r="BX15" s="1730"/>
    </row>
    <row customHeight="1" ht="21">
      <c r="A16" s="1913" t="s">
        <v>1467</v>
      </c>
      <c r="B16" s="1082">
        <v>2014</v>
      </c>
      <c r="E16" s="1739" t="s">
        <v>1468</v>
      </c>
      <c r="G16" s="1083" t="s">
        <v>1469</v>
      </c>
      <c r="H16" s="1083" t="s">
        <v>1470</v>
      </c>
      <c r="I16" s="1085" t="s">
        <v>1471</v>
      </c>
      <c r="J16" s="1096" t="s">
        <v>540</v>
      </c>
      <c r="N16" s="1166" t="s">
        <v>1472</v>
      </c>
      <c r="AW16" s="1128" t="s">
        <v>151</v>
      </c>
      <c r="AX16" s="1128" t="s">
        <v>151</v>
      </c>
      <c r="AZ16" s="1128" t="s">
        <v>1398</v>
      </c>
      <c r="BB16" s="1128" t="s">
        <v>1473</v>
      </c>
      <c r="BC16" s="1128" t="s">
        <v>1448</v>
      </c>
      <c r="BE16" s="1128">
        <v>2014</v>
      </c>
      <c r="BH16" s="1075" t="s">
        <v>1403</v>
      </c>
      <c r="BJ16" s="1229" t="s">
        <v>1474</v>
      </c>
      <c r="BL16" s="1229" t="s">
        <v>1474</v>
      </c>
      <c r="BN16" s="1075" t="s">
        <v>1475</v>
      </c>
      <c r="BR16" s="1077"/>
      <c r="BS16" s="1461"/>
      <c r="BT16" s="1077"/>
      <c r="BU16" s="1077"/>
      <c r="BV16" s="1077"/>
      <c r="BW16" s="1734"/>
      <c r="BX16" s="1730"/>
    </row>
    <row customHeight="1" ht="21">
      <c r="A17" s="1081" t="s">
        <v>1476</v>
      </c>
      <c r="B17" s="1082">
        <v>2015</v>
      </c>
      <c r="G17" s="1083" t="s">
        <v>1423</v>
      </c>
      <c r="H17" s="1083" t="s">
        <v>1423</v>
      </c>
      <c r="I17" s="1083" t="s">
        <v>1477</v>
      </c>
      <c r="N17" s="1166" t="s">
        <v>1478</v>
      </c>
      <c r="X17" s="1094"/>
      <c r="AW17" s="1128" t="s">
        <v>1471</v>
      </c>
      <c r="AX17" s="1128" t="s">
        <v>1471</v>
      </c>
      <c r="AZ17" s="1128" t="s">
        <v>1479</v>
      </c>
      <c r="BB17" s="1128" t="s">
        <v>1480</v>
      </c>
      <c r="BC17" s="1128" t="s">
        <v>1332</v>
      </c>
      <c r="BE17" s="1128">
        <v>2015</v>
      </c>
      <c r="BH17" s="1075" t="s">
        <v>1419</v>
      </c>
      <c r="BJ17" s="1229" t="s">
        <v>1481</v>
      </c>
      <c r="BL17" s="1229" t="s">
        <v>1481</v>
      </c>
      <c r="BN17" s="1075" t="s">
        <v>1482</v>
      </c>
      <c r="BR17" s="1074" t="s">
        <v>1275</v>
      </c>
      <c r="BS17" s="1458"/>
      <c r="BU17" s="1074" t="s">
        <v>1483</v>
      </c>
      <c r="BV17" s="1077"/>
      <c r="BW17" s="1730"/>
      <c r="BX17" s="1732" t="s">
        <v>1484</v>
      </c>
      <c r="CA17" s="1074" t="s">
        <v>1485</v>
      </c>
      <c r="CD17" s="1074" t="s">
        <v>1486</v>
      </c>
    </row>
    <row customHeight="1" ht="21">
      <c r="A18" s="1081" t="s">
        <v>1487</v>
      </c>
      <c r="B18" s="1082">
        <v>2016</v>
      </c>
      <c r="I18" s="1083" t="s">
        <v>1488</v>
      </c>
      <c r="N18" s="1166" t="s">
        <v>1489</v>
      </c>
      <c r="X18" s="1094"/>
      <c r="AW18" s="1128" t="s">
        <v>1477</v>
      </c>
      <c r="AX18" s="1128" t="s">
        <v>1477</v>
      </c>
      <c r="BB18" s="1128" t="s">
        <v>1490</v>
      </c>
      <c r="BC18" s="1128" t="s">
        <v>1332</v>
      </c>
      <c r="BE18" s="1128">
        <v>2016</v>
      </c>
      <c r="BH18" s="1075" t="s">
        <v>1433</v>
      </c>
      <c r="BJ18" s="1229" t="s">
        <v>1491</v>
      </c>
      <c r="BL18" s="1229" t="s">
        <v>1491</v>
      </c>
      <c r="BN18" s="1075" t="s">
        <v>1492</v>
      </c>
      <c r="BQ18" s="1462" t="s">
        <v>1305</v>
      </c>
      <c r="BR18" s="1167" t="s">
        <v>1306</v>
      </c>
      <c r="BS18" s="260"/>
      <c r="BT18" s="1462" t="s">
        <v>1493</v>
      </c>
      <c r="BU18" s="1167" t="s">
        <v>1494</v>
      </c>
      <c r="BV18" s="1077"/>
      <c r="BW18" s="1737" t="s">
        <v>1495</v>
      </c>
      <c r="BX18" s="1731" t="s">
        <v>1496</v>
      </c>
      <c r="BZ18" s="1462" t="s">
        <v>1497</v>
      </c>
      <c r="CA18" s="1167" t="s">
        <v>1498</v>
      </c>
      <c r="CC18" s="1462" t="s">
        <v>1499</v>
      </c>
      <c r="CD18" s="1167" t="s">
        <v>1500</v>
      </c>
    </row>
    <row customHeight="1" ht="21">
      <c r="A19" s="1913" t="s">
        <v>1501</v>
      </c>
      <c r="B19" s="1082">
        <v>2017</v>
      </c>
      <c r="I19" s="1083" t="s">
        <v>1502</v>
      </c>
      <c r="N19" s="1166" t="s">
        <v>1503</v>
      </c>
      <c r="X19" s="1094"/>
      <c r="AW19" s="1128" t="s">
        <v>1488</v>
      </c>
      <c r="AX19" s="1128" t="s">
        <v>1488</v>
      </c>
      <c r="AZ19" s="1074" t="s">
        <v>1504</v>
      </c>
      <c r="BB19" s="1128" t="s">
        <v>1505</v>
      </c>
      <c r="BC19" s="1128" t="s">
        <v>1332</v>
      </c>
      <c r="BE19" s="1128">
        <v>2017</v>
      </c>
      <c r="BH19" s="1075" t="s">
        <v>1506</v>
      </c>
      <c r="BJ19" s="1229" t="s">
        <v>1507</v>
      </c>
      <c r="BL19" s="1229" t="s">
        <v>1507</v>
      </c>
      <c r="BQ19" s="1311">
        <v>4190064</v>
      </c>
      <c r="BR19" s="1075" t="s">
        <v>1508</v>
      </c>
      <c r="BS19" s="1459"/>
      <c r="BT19" s="1311">
        <v>4189671</v>
      </c>
      <c r="BU19" s="1075" t="s">
        <v>1509</v>
      </c>
      <c r="BV19" s="1077"/>
      <c r="BW19" s="1735">
        <v>4189706</v>
      </c>
      <c r="BX19" s="1733" t="s">
        <v>1510</v>
      </c>
      <c r="BZ19" s="1311">
        <v>4189714</v>
      </c>
      <c r="CA19" s="1075" t="s">
        <v>1511</v>
      </c>
      <c r="CC19" s="1311">
        <v>4189708</v>
      </c>
      <c r="CD19" s="1075" t="s">
        <v>1512</v>
      </c>
    </row>
    <row customHeight="1" ht="21">
      <c r="A20" s="1081" t="s">
        <v>1513</v>
      </c>
      <c r="B20" s="1082">
        <v>2018</v>
      </c>
      <c r="I20" s="1083" t="s">
        <v>1514</v>
      </c>
      <c r="N20" s="1166" t="s">
        <v>1515</v>
      </c>
      <c r="AW20" s="1128" t="s">
        <v>1502</v>
      </c>
      <c r="AX20" s="1128" t="s">
        <v>1502</v>
      </c>
      <c r="AZ20" s="1128" t="s">
        <v>1516</v>
      </c>
      <c r="BB20" s="1128" t="s">
        <v>1517</v>
      </c>
      <c r="BC20" s="1128" t="s">
        <v>1448</v>
      </c>
      <c r="BE20" s="1128">
        <v>2018</v>
      </c>
      <c r="BH20" s="1075" t="s">
        <v>1444</v>
      </c>
      <c r="BJ20" s="1075" t="s">
        <v>1372</v>
      </c>
      <c r="BL20" s="1075" t="s">
        <v>1372</v>
      </c>
      <c r="BQ20" s="1311">
        <v>4190065</v>
      </c>
      <c r="BR20" s="1075" t="s">
        <v>1518</v>
      </c>
      <c r="BS20" s="1459"/>
      <c r="BT20" s="1311">
        <v>4189672</v>
      </c>
      <c r="BU20" s="1075" t="s">
        <v>1519</v>
      </c>
      <c r="BV20" s="1077"/>
      <c r="BW20" s="1735">
        <v>4189705</v>
      </c>
      <c r="BX20" s="1733" t="s">
        <v>1520</v>
      </c>
      <c r="BZ20" s="1311">
        <v>4189713</v>
      </c>
      <c r="CA20" s="1075" t="s">
        <v>1520</v>
      </c>
      <c r="CC20" s="1311">
        <v>4189709</v>
      </c>
      <c r="CD20" s="1075" t="s">
        <v>1521</v>
      </c>
    </row>
    <row customHeight="1" ht="21">
      <c r="A21" s="1081" t="s">
        <v>1522</v>
      </c>
      <c r="B21" s="1082">
        <v>2019</v>
      </c>
      <c r="I21" s="1083" t="s">
        <v>1523</v>
      </c>
      <c r="N21" s="1166" t="s">
        <v>1524</v>
      </c>
      <c r="AW21" s="1128" t="s">
        <v>1514</v>
      </c>
      <c r="AX21" s="1128" t="s">
        <v>1514</v>
      </c>
      <c r="AZ21" s="1128" t="s">
        <v>1525</v>
      </c>
      <c r="BB21" s="1128" t="s">
        <v>1526</v>
      </c>
      <c r="BC21" s="1128" t="s">
        <v>1332</v>
      </c>
      <c r="BE21" s="1128">
        <v>2019</v>
      </c>
      <c r="BH21" s="1075" t="s">
        <v>1451</v>
      </c>
      <c r="BJ21" s="1075" t="s">
        <v>1387</v>
      </c>
      <c r="BL21" s="1075" t="s">
        <v>1387</v>
      </c>
      <c r="BQ21" s="1311">
        <v>4190066</v>
      </c>
      <c r="BR21" s="1075" t="s">
        <v>1527</v>
      </c>
      <c r="BS21" s="1459"/>
      <c r="BT21" s="1311">
        <v>4189673</v>
      </c>
      <c r="BU21" s="1075" t="s">
        <v>1528</v>
      </c>
      <c r="BV21" s="1077"/>
      <c r="BW21" s="1735">
        <v>4189707</v>
      </c>
      <c r="BX21" s="1733" t="s">
        <v>1529</v>
      </c>
      <c r="BZ21" s="1311">
        <v>4189712</v>
      </c>
      <c r="CA21" s="1075" t="s">
        <v>1530</v>
      </c>
      <c r="CC21" s="1311">
        <v>4189710</v>
      </c>
      <c r="CD21" s="1075" t="s">
        <v>1531</v>
      </c>
    </row>
    <row customHeight="1" ht="21">
      <c r="A22" s="1081" t="s">
        <v>1532</v>
      </c>
      <c r="B22" s="1082">
        <v>2020</v>
      </c>
      <c r="N22" s="1166" t="s">
        <v>1533</v>
      </c>
      <c r="AW22" s="1128" t="s">
        <v>1523</v>
      </c>
      <c r="AX22" s="1128" t="s">
        <v>1523</v>
      </c>
      <c r="AZ22" s="1128" t="s">
        <v>1534</v>
      </c>
      <c r="BB22" s="1128" t="s">
        <v>1535</v>
      </c>
      <c r="BC22" s="1128" t="s">
        <v>1332</v>
      </c>
      <c r="BE22" s="1128">
        <v>2020</v>
      </c>
      <c r="BH22" s="1075" t="s">
        <v>1458</v>
      </c>
      <c r="BJ22" s="1075" t="s">
        <v>1403</v>
      </c>
      <c r="BL22" s="1075" t="s">
        <v>1403</v>
      </c>
      <c r="BQ22" s="1311">
        <v>4190067</v>
      </c>
      <c r="BR22" s="1075" t="s">
        <v>1536</v>
      </c>
      <c r="BS22" s="1459"/>
      <c r="BT22" s="1311">
        <v>4189674</v>
      </c>
      <c r="BU22" s="1075" t="s">
        <v>1537</v>
      </c>
      <c r="BV22" s="1077"/>
      <c r="BW22" s="1077"/>
      <c r="CC22" s="1311">
        <v>4189711</v>
      </c>
      <c r="CD22" s="1075" t="s">
        <v>281</v>
      </c>
    </row>
    <row customHeight="1" ht="21">
      <c r="A23" s="1081" t="s">
        <v>1538</v>
      </c>
      <c r="B23" s="1082">
        <v>2021</v>
      </c>
      <c r="AW23" s="1128" t="s">
        <v>1539</v>
      </c>
      <c r="AX23" s="1128" t="s">
        <v>1539</v>
      </c>
      <c r="AZ23" s="1128" t="s">
        <v>1540</v>
      </c>
      <c r="BB23" s="1128" t="s">
        <v>1541</v>
      </c>
      <c r="BC23" s="1128" t="s">
        <v>1241</v>
      </c>
      <c r="BE23" s="1128">
        <v>2021</v>
      </c>
      <c r="BH23" s="1075" t="s">
        <v>1466</v>
      </c>
      <c r="BJ23" s="1075" t="s">
        <v>1419</v>
      </c>
      <c r="BL23" s="1075" t="s">
        <v>1419</v>
      </c>
      <c r="BQ23" s="1311">
        <v>4190068</v>
      </c>
      <c r="BR23" s="1075" t="s">
        <v>1542</v>
      </c>
      <c r="BS23" s="1459"/>
      <c r="BT23" s="1311">
        <v>4189675</v>
      </c>
      <c r="BU23" s="1075" t="s">
        <v>1543</v>
      </c>
      <c r="BV23" s="1077"/>
      <c r="BW23" s="1077"/>
      <c r="CC23" s="1311">
        <v>5110778</v>
      </c>
      <c r="CD23" s="1075" t="s">
        <v>1544</v>
      </c>
    </row>
    <row customHeight="1" ht="21">
      <c r="A24" s="1081" t="s">
        <v>1545</v>
      </c>
      <c r="B24" s="1082">
        <v>2022</v>
      </c>
      <c r="AW24" s="1128" t="s">
        <v>1546</v>
      </c>
      <c r="AX24" s="1128" t="s">
        <v>1546</v>
      </c>
      <c r="AZ24" s="1128" t="s">
        <v>1547</v>
      </c>
      <c r="BB24" s="1128" t="s">
        <v>1548</v>
      </c>
      <c r="BC24" s="1128" t="s">
        <v>1549</v>
      </c>
      <c r="BE24" s="1128">
        <v>2022</v>
      </c>
      <c r="BH24" s="1075" t="s">
        <v>1475</v>
      </c>
      <c r="BJ24" s="1075" t="s">
        <v>1433</v>
      </c>
      <c r="BL24" s="1075" t="s">
        <v>1433</v>
      </c>
      <c r="BQ24" s="1311">
        <v>4190069</v>
      </c>
      <c r="BR24" s="1075" t="s">
        <v>1550</v>
      </c>
      <c r="BS24" s="1459"/>
      <c r="BT24" s="1311">
        <v>4189676</v>
      </c>
      <c r="BU24" s="1075" t="s">
        <v>1551</v>
      </c>
      <c r="BV24" s="1077"/>
      <c r="BW24" s="1077"/>
      <c r="CC24" s="1311">
        <v>25575374</v>
      </c>
      <c r="CD24" s="1075" t="s">
        <v>1552</v>
      </c>
    </row>
    <row customHeight="1" ht="11.25">
      <c r="A25" s="1081" t="s">
        <v>1553</v>
      </c>
      <c r="B25" s="1082">
        <v>2023</v>
      </c>
      <c r="AW25" s="1128" t="s">
        <v>1554</v>
      </c>
      <c r="AX25" s="1128" t="s">
        <v>1554</v>
      </c>
      <c r="AZ25" s="1128" t="s">
        <v>1555</v>
      </c>
      <c r="BB25" s="1128" t="s">
        <v>1556</v>
      </c>
      <c r="BC25" s="1128" t="s">
        <v>1549</v>
      </c>
      <c r="BE25" s="1128">
        <v>2023</v>
      </c>
      <c r="BH25" s="1075" t="s">
        <v>1482</v>
      </c>
      <c r="BJ25" s="1075" t="s">
        <v>1506</v>
      </c>
      <c r="BL25" s="1075" t="s">
        <v>1506</v>
      </c>
      <c r="BQ25" s="1311">
        <v>4190070</v>
      </c>
      <c r="BR25" s="1075" t="s">
        <v>1557</v>
      </c>
      <c r="BS25" s="1459"/>
      <c r="BT25" s="1311">
        <v>4189677</v>
      </c>
      <c r="BU25" s="1075" t="s">
        <v>1558</v>
      </c>
      <c r="BV25" s="1077"/>
      <c r="BW25" s="1077"/>
    </row>
    <row customHeight="1" ht="11.25">
      <c r="A26" s="1081" t="s">
        <v>1559</v>
      </c>
      <c r="B26" s="1082">
        <v>2024</v>
      </c>
      <c r="J26" s="1771" t="s">
        <v>1560</v>
      </c>
      <c r="AX26" s="1128" t="s">
        <v>1561</v>
      </c>
      <c r="AZ26" s="1128" t="s">
        <v>1426</v>
      </c>
      <c r="BB26" s="1128" t="s">
        <v>1562</v>
      </c>
      <c r="BC26" s="1128" t="s">
        <v>1549</v>
      </c>
      <c r="BE26" s="1128">
        <v>2024</v>
      </c>
      <c r="BH26" s="1075" t="s">
        <v>1492</v>
      </c>
      <c r="BJ26" s="1075" t="s">
        <v>1444</v>
      </c>
      <c r="BL26" s="1075" t="s">
        <v>1444</v>
      </c>
      <c r="BQ26" s="1311">
        <v>4190071</v>
      </c>
      <c r="BR26" s="1075" t="s">
        <v>1563</v>
      </c>
      <c r="BS26" s="1459"/>
      <c r="BV26" s="1077"/>
      <c r="BW26" s="1077"/>
    </row>
    <row customHeight="1" ht="11.25">
      <c r="A27" s="1081" t="s">
        <v>1564</v>
      </c>
      <c r="B27" s="1082">
        <v>2025</v>
      </c>
      <c r="J27" s="162" t="s">
        <v>476</v>
      </c>
      <c r="AX27" s="1128" t="s">
        <v>1565</v>
      </c>
      <c r="BB27" s="1128" t="s">
        <v>1566</v>
      </c>
      <c r="BC27" s="1128" t="s">
        <v>1549</v>
      </c>
      <c r="BE27" s="1128">
        <v>2025</v>
      </c>
      <c r="BH27" s="1077" t="s">
        <v>24</v>
      </c>
      <c r="BJ27" s="1075" t="s">
        <v>1451</v>
      </c>
      <c r="BL27" s="1075" t="s">
        <v>1451</v>
      </c>
      <c r="BN27" s="1077" t="s">
        <v>24</v>
      </c>
      <c r="BQ27" s="1311">
        <v>4190072</v>
      </c>
      <c r="BR27" s="1075" t="s">
        <v>1567</v>
      </c>
      <c r="BS27" s="1459"/>
      <c r="BV27" s="1077"/>
      <c r="BW27" s="1077"/>
    </row>
    <row customHeight="1" ht="11.25">
      <c r="A28" s="1081" t="s">
        <v>1568</v>
      </c>
      <c r="D28" s="1108"/>
      <c r="E28" s="1109"/>
      <c r="F28" s="1109"/>
      <c r="H28" s="1110" t="s">
        <v>1569</v>
      </c>
      <c r="AX28" s="1128" t="s">
        <v>1570</v>
      </c>
      <c r="AZ28" s="1074" t="s">
        <v>1571</v>
      </c>
      <c r="BB28" s="1128" t="s">
        <v>1572</v>
      </c>
      <c r="BC28" s="1128" t="s">
        <v>1573</v>
      </c>
      <c r="BE28" s="1128">
        <v>2026</v>
      </c>
      <c r="BH28" s="1077" t="s">
        <v>24</v>
      </c>
      <c r="BJ28" s="1075" t="s">
        <v>1458</v>
      </c>
      <c r="BL28" s="1075" t="s">
        <v>1458</v>
      </c>
      <c r="BN28" s="1077" t="s">
        <v>24</v>
      </c>
      <c r="BQ28" s="1311">
        <v>4190073</v>
      </c>
      <c r="BR28" s="1075" t="s">
        <v>1574</v>
      </c>
      <c r="BS28" s="1459"/>
      <c r="BV28" s="1077"/>
      <c r="BW28" s="1077"/>
    </row>
    <row customHeight="1" ht="11.25">
      <c r="A29" s="1081" t="s">
        <v>1575</v>
      </c>
      <c r="D29" s="1111" t="s">
        <v>1576</v>
      </c>
      <c r="E29" s="1112" t="str">
        <f>IF(TEMPLATE_GROUP="","",INDEX(StartDateList,MATCH(TEMPLATE_GROUP,CodeTemplateList,0),1))</f>
        <v>45292.382789351854</v>
      </c>
      <c r="F29" s="1112" t="str">
        <f>IF(TEMPLATE_GROUP="","",INDEX(EndDateList,MATCH(TEMPLATE_GROUP,CodeTemplateList,0),1))</f>
        <v>49309.38287037037</v>
      </c>
      <c r="H29" s="1113" t="s">
        <v>1577</v>
      </c>
      <c r="AX29" s="1128" t="s">
        <v>1578</v>
      </c>
      <c r="AZ29" s="1128" t="s">
        <v>1225</v>
      </c>
      <c r="BB29" s="1128" t="s">
        <v>1426</v>
      </c>
      <c r="BC29" s="1098"/>
      <c r="BE29" s="1128">
        <v>2027</v>
      </c>
      <c r="BJ29" s="1075" t="s">
        <v>1466</v>
      </c>
      <c r="BL29" s="1075" t="s">
        <v>1466</v>
      </c>
    </row>
    <row customHeight="1" ht="11.25">
      <c r="A30" s="1081" t="s">
        <v>1579</v>
      </c>
      <c r="D30" s="1114"/>
      <c r="E30" s="1115"/>
      <c r="F30" s="1115"/>
      <c r="AX30" s="1128" t="s">
        <v>1580</v>
      </c>
      <c r="AZ30" s="1128" t="s">
        <v>1253</v>
      </c>
      <c r="BE30" s="1128">
        <v>2028</v>
      </c>
      <c r="BJ30" s="1075" t="s">
        <v>1581</v>
      </c>
      <c r="BL30" s="1075" t="s">
        <v>1581</v>
      </c>
    </row>
    <row customHeight="1" ht="12.75">
      <c r="A31" s="1081" t="s">
        <v>1582</v>
      </c>
      <c r="D31" s="1108"/>
      <c r="E31" s="1109"/>
      <c r="F31" s="1109"/>
      <c r="H31" s="1116"/>
      <c r="AX31" s="1128" t="s">
        <v>1583</v>
      </c>
      <c r="AZ31" s="1128" t="s">
        <v>486</v>
      </c>
      <c r="BE31" s="1128">
        <v>2029</v>
      </c>
      <c r="BJ31" s="1075" t="s">
        <v>1584</v>
      </c>
      <c r="BL31" s="1075" t="s">
        <v>1584</v>
      </c>
    </row>
    <row customHeight="1" ht="11.25">
      <c r="A32" s="1081" t="s">
        <v>1585</v>
      </c>
      <c r="D32" s="1111" t="s">
        <v>1586</v>
      </c>
      <c r="E32" s="1112" t="str">
        <f>IF(TEMPLATE_GROUP="","",INDEX(StartDateList,MATCH(TEMPLATE_GROUP,CodeTemplateList,0),1))</f>
        <v>45292.382789351854</v>
      </c>
      <c r="F32" s="1112" t="str">
        <f>IF(TEMPLATE_GROUP="","",INDEX(EndDateList,MATCH(TEMPLATE_GROUP,CodeTemplateList,0),1))</f>
        <v>49309.38287037037</v>
      </c>
      <c r="H32" s="1117" t="s">
        <v>1587</v>
      </c>
      <c r="O32" s="1081" t="s">
        <v>1223</v>
      </c>
      <c r="AX32" s="1128" t="s">
        <v>1588</v>
      </c>
      <c r="AZ32" s="1128" t="s">
        <v>484</v>
      </c>
      <c r="BE32" s="1128">
        <v>2030</v>
      </c>
      <c r="BJ32" s="1075" t="s">
        <v>1475</v>
      </c>
      <c r="BL32" s="1075" t="s">
        <v>1475</v>
      </c>
    </row>
    <row customHeight="1" ht="11.25">
      <c r="A33" s="1081" t="s">
        <v>1589</v>
      </c>
      <c r="O33" s="1081" t="s">
        <v>1250</v>
      </c>
      <c r="AX33" s="1128" t="s">
        <v>1590</v>
      </c>
      <c r="AZ33" s="1128" t="s">
        <v>1224</v>
      </c>
      <c r="BE33" s="1128">
        <v>2031</v>
      </c>
      <c r="BJ33" s="1075" t="s">
        <v>1482</v>
      </c>
      <c r="BL33" s="1075" t="s">
        <v>1482</v>
      </c>
    </row>
    <row customHeight="1" ht="11.25">
      <c r="A34" s="1081" t="s">
        <v>1591</v>
      </c>
      <c r="O34" s="1081" t="s">
        <v>1286</v>
      </c>
      <c r="AX34" s="1128" t="s">
        <v>1592</v>
      </c>
      <c r="BE34" s="1128">
        <v>2032</v>
      </c>
      <c r="BJ34" s="1075" t="s">
        <v>1492</v>
      </c>
      <c r="BL34" s="1075" t="s">
        <v>1492</v>
      </c>
    </row>
    <row customHeight="1" ht="11.25">
      <c r="A35" s="1081" t="s">
        <v>1593</v>
      </c>
      <c r="O35" s="1081" t="s">
        <v>1319</v>
      </c>
      <c r="AX35" s="1128" t="s">
        <v>1594</v>
      </c>
      <c r="AZ35" s="1074" t="s">
        <v>1595</v>
      </c>
      <c r="BE35" s="1128">
        <v>2033</v>
      </c>
      <c r="BL35" s="1075" t="s">
        <v>1596</v>
      </c>
    </row>
    <row customHeight="1" ht="11.25">
      <c r="A36" s="1913" t="s">
        <v>1597</v>
      </c>
      <c r="D36" s="1118" t="s">
        <v>1598</v>
      </c>
      <c r="E36" s="1119" t="s">
        <v>752</v>
      </c>
      <c r="F36" s="1120" t="str">
        <f>INDEX(E37:E41,MATCH(TEMPLATE_SPHERE,F37:F41,0))</f>
        <v>холодного водоснабжения</v>
      </c>
      <c r="G36" s="1120" t="str">
        <f>INDEX(G37:G41,MATCH(TEMPLATE_SPHERE,F37:F41,0))</f>
        <v>холодное водоснабжение</v>
      </c>
      <c r="O36" s="1081" t="s">
        <v>1343</v>
      </c>
      <c r="AX36" s="1128" t="s">
        <v>1599</v>
      </c>
      <c r="AZ36" s="1128" t="s">
        <v>1224</v>
      </c>
      <c r="BE36" s="1128">
        <v>2034</v>
      </c>
      <c r="BL36" s="1075" t="s">
        <v>1600</v>
      </c>
    </row>
    <row customHeight="1" ht="11.25">
      <c r="A37" s="1081" t="s">
        <v>1601</v>
      </c>
      <c r="E37" s="413" t="s">
        <v>1602</v>
      </c>
      <c r="F37" s="1121" t="s">
        <v>706</v>
      </c>
      <c r="G37" s="413" t="s">
        <v>1603</v>
      </c>
      <c r="O37" s="1081" t="s">
        <v>1362</v>
      </c>
      <c r="AX37" s="1128" t="s">
        <v>1604</v>
      </c>
      <c r="AZ37" s="1128" t="s">
        <v>1252</v>
      </c>
      <c r="BE37" s="1128">
        <v>2035</v>
      </c>
    </row>
    <row customHeight="1" ht="11.25">
      <c r="A38" s="1081" t="s">
        <v>1605</v>
      </c>
      <c r="E38" s="413" t="s">
        <v>1606</v>
      </c>
      <c r="F38" s="1122" t="s">
        <v>752</v>
      </c>
      <c r="G38" s="413" t="s">
        <v>1607</v>
      </c>
      <c r="O38" s="1081" t="s">
        <v>1378</v>
      </c>
      <c r="AX38" s="1128" t="s">
        <v>1608</v>
      </c>
      <c r="AZ38" s="1128" t="s">
        <v>1287</v>
      </c>
      <c r="BE38" s="1128">
        <v>2036</v>
      </c>
      <c r="BH38" s="1074" t="s">
        <v>1609</v>
      </c>
      <c r="BJ38" s="1074" t="s">
        <v>1610</v>
      </c>
      <c r="BL38" s="1074" t="s">
        <v>1611</v>
      </c>
      <c r="BN38" s="1074" t="s">
        <v>1612</v>
      </c>
    </row>
    <row customHeight="1" ht="11.25">
      <c r="A39" s="1081" t="s">
        <v>1613</v>
      </c>
      <c r="E39" s="413" t="s">
        <v>1614</v>
      </c>
      <c r="F39" s="1122" t="s">
        <v>804</v>
      </c>
      <c r="G39" s="413" t="s">
        <v>1615</v>
      </c>
      <c r="O39" s="1081" t="s">
        <v>1394</v>
      </c>
      <c r="AX39" s="1128" t="s">
        <v>1616</v>
      </c>
      <c r="AZ39" s="1128" t="s">
        <v>1320</v>
      </c>
      <c r="BE39" s="1128">
        <v>2037</v>
      </c>
      <c r="BH39" s="1075" t="s">
        <v>1617</v>
      </c>
      <c r="BJ39" s="1229" t="s">
        <v>1617</v>
      </c>
      <c r="BL39" s="1229" t="s">
        <v>1617</v>
      </c>
      <c r="BN39" s="1075" t="s">
        <v>1618</v>
      </c>
    </row>
    <row customHeight="1" ht="11.25">
      <c r="A40" s="1081" t="s">
        <v>1619</v>
      </c>
      <c r="E40" s="413" t="s">
        <v>1620</v>
      </c>
      <c r="F40" s="1122" t="s">
        <v>790</v>
      </c>
      <c r="G40" s="413" t="s">
        <v>1621</v>
      </c>
      <c r="O40" s="1081" t="s">
        <v>1410</v>
      </c>
      <c r="AX40" s="1128" t="s">
        <v>1622</v>
      </c>
      <c r="BE40" s="1128">
        <v>2038</v>
      </c>
      <c r="BH40" s="1075" t="s">
        <v>1623</v>
      </c>
      <c r="BJ40" s="1229" t="s">
        <v>925</v>
      </c>
      <c r="BL40" s="1229" t="s">
        <v>925</v>
      </c>
      <c r="BN40" s="1075" t="s">
        <v>959</v>
      </c>
    </row>
    <row customHeight="1" ht="11.25">
      <c r="A41" s="1081" t="s">
        <v>1624</v>
      </c>
      <c r="E41" s="413" t="s">
        <v>1625</v>
      </c>
      <c r="F41" s="1122" t="s">
        <v>1626</v>
      </c>
      <c r="G41" s="413" t="s">
        <v>1625</v>
      </c>
      <c r="O41" s="1081" t="s">
        <v>1426</v>
      </c>
      <c r="AX41" s="1128" t="s">
        <v>1627</v>
      </c>
      <c r="AZ41" s="1074" t="s">
        <v>1628</v>
      </c>
      <c r="BE41" s="1128">
        <v>2039</v>
      </c>
      <c r="BH41" s="1075" t="s">
        <v>1629</v>
      </c>
      <c r="BJ41" s="1229" t="s">
        <v>921</v>
      </c>
      <c r="BL41" s="1229" t="s">
        <v>921</v>
      </c>
      <c r="BN41" s="1075" t="s">
        <v>946</v>
      </c>
    </row>
    <row customHeight="1" ht="11.25">
      <c r="A42" s="1081" t="s">
        <v>1630</v>
      </c>
      <c r="AX42" s="1128" t="s">
        <v>1631</v>
      </c>
      <c r="AZ42" s="1128" t="s">
        <v>1223</v>
      </c>
      <c r="BE42" s="1128">
        <v>2040</v>
      </c>
      <c r="BH42" s="1075" t="s">
        <v>943</v>
      </c>
      <c r="BJ42" s="1229" t="s">
        <v>923</v>
      </c>
      <c r="BL42" s="1229" t="s">
        <v>923</v>
      </c>
      <c r="BN42" s="1075" t="s">
        <v>1632</v>
      </c>
    </row>
    <row customHeight="1" ht="11.25">
      <c r="A43" s="1081" t="s">
        <v>1633</v>
      </c>
      <c r="AX43" s="1128" t="s">
        <v>1634</v>
      </c>
      <c r="AZ43" s="1128" t="s">
        <v>1250</v>
      </c>
      <c r="BE43" s="1128">
        <v>2041</v>
      </c>
      <c r="BH43" s="1075" t="s">
        <v>1635</v>
      </c>
      <c r="BJ43" s="1229" t="s">
        <v>1629</v>
      </c>
      <c r="BL43" s="1229" t="s">
        <v>1629</v>
      </c>
      <c r="BN43" s="1075" t="s">
        <v>1636</v>
      </c>
    </row>
    <row customHeight="1" ht="11.25">
      <c r="A44" s="1081" t="s">
        <v>1637</v>
      </c>
      <c r="I44" s="805" t="s">
        <v>1638</v>
      </c>
      <c r="J44" s="1096" t="s">
        <v>1639</v>
      </c>
      <c r="K44" s="1096" t="s">
        <v>1640</v>
      </c>
      <c r="AX44" s="1128" t="s">
        <v>1641</v>
      </c>
      <c r="AZ44" s="1128" t="s">
        <v>1286</v>
      </c>
      <c r="BE44" s="1128">
        <v>2042</v>
      </c>
      <c r="BH44" s="1075" t="s">
        <v>1642</v>
      </c>
      <c r="BJ44" s="1229" t="s">
        <v>943</v>
      </c>
      <c r="BL44" s="1229" t="s">
        <v>943</v>
      </c>
      <c r="BN44" s="1075" t="s">
        <v>1643</v>
      </c>
    </row>
    <row customHeight="1" ht="11.25">
      <c r="A45" s="1081" t="s">
        <v>1644</v>
      </c>
      <c r="D45" s="1118" t="s">
        <v>1645</v>
      </c>
      <c r="E45" s="1119" t="s">
        <v>1646</v>
      </c>
      <c r="F45" s="803" t="s">
        <v>1647</v>
      </c>
      <c r="G45" s="802" t="s">
        <v>1648</v>
      </c>
      <c r="H45" s="805" t="s">
        <v>1649</v>
      </c>
      <c r="I45" s="1781">
        <f>INDEX(PeriodIsEmptyList,MATCH(TEMPLATE_GROUP,CodeTemplateList,0),1)</f>
        <v>0</v>
      </c>
      <c r="J45" s="1784" t="str">
        <f>INDEX(NameTemplatesInTitleList,MATCH(TEMPLATE_GROUP,CodeTemplateList,0),1)</f>
        <v>Показатели, подлежащие раскрытию в сфере холодного водоснабжения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1650</v>
      </c>
      <c r="AZ45" s="1128" t="s">
        <v>1319</v>
      </c>
      <c r="BE45" s="1128">
        <v>2043</v>
      </c>
      <c r="BH45" s="1075" t="s">
        <v>1651</v>
      </c>
      <c r="BJ45" s="1229" t="s">
        <v>937</v>
      </c>
      <c r="BL45" s="1229" t="s">
        <v>937</v>
      </c>
      <c r="BN45" s="1075" t="s">
        <v>1652</v>
      </c>
    </row>
    <row customHeight="1" ht="11.25">
      <c r="A46" s="1081" t="s">
        <v>1653</v>
      </c>
      <c r="E46" s="413" t="s">
        <v>22</v>
      </c>
      <c r="F46" s="1121" t="s">
        <v>1654</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(холодного водоснабжения)</v>
      </c>
      <c r="K46" s="1786"/>
      <c r="AX46" s="1128" t="s">
        <v>1655</v>
      </c>
      <c r="AZ46" s="1128" t="s">
        <v>1343</v>
      </c>
      <c r="BE46" s="1128">
        <v>2044</v>
      </c>
      <c r="BH46" s="1075" t="s">
        <v>946</v>
      </c>
      <c r="BJ46" s="1229" t="s">
        <v>927</v>
      </c>
      <c r="BL46" s="1229" t="s">
        <v>927</v>
      </c>
      <c r="BN46" s="1075" t="s">
        <v>1656</v>
      </c>
    </row>
    <row customHeight="1" ht="11.25">
      <c r="A47" s="1081" t="s">
        <v>1657</v>
      </c>
      <c r="E47" s="413" t="s">
        <v>29</v>
      </c>
      <c r="F47" s="1122" t="s">
        <v>1658</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86"/>
      <c r="AX47" s="1128" t="s">
        <v>1659</v>
      </c>
      <c r="AZ47" s="1128" t="s">
        <v>1362</v>
      </c>
      <c r="BE47" s="1128">
        <v>2045</v>
      </c>
      <c r="BH47" s="1075" t="s">
        <v>1632</v>
      </c>
      <c r="BJ47" s="1229" t="s">
        <v>929</v>
      </c>
      <c r="BL47" s="1229" t="s">
        <v>929</v>
      </c>
      <c r="BN47" s="1075" t="s">
        <v>1660</v>
      </c>
    </row>
    <row customHeight="1" ht="11.25">
      <c r="A48" s="1081" t="s">
        <v>1661</v>
      </c>
      <c r="E48" s="413" t="s">
        <v>1662</v>
      </c>
      <c r="F48" s="1122" t="s">
        <v>1663</v>
      </c>
      <c r="G48" s="1124" t="str">
        <f>IF(f_year="","","01.01."&amp;f_year)</f>
        <v/>
      </c>
      <c r="H48" s="1124" t="str">
        <f>IF(f_year="","","31.12."&amp;f_year)</f>
        <v/>
      </c>
      <c r="I48" s="1782">
        <f>IF(f_year="",TRUE,FALSE)</f>
        <v>1</v>
      </c>
      <c r="J48" s="1785" t="s">
        <v>1664</v>
      </c>
      <c r="K48" s="1786"/>
      <c r="AX48" s="1128" t="s">
        <v>1665</v>
      </c>
      <c r="AZ48" s="1128" t="s">
        <v>1378</v>
      </c>
      <c r="BE48" s="1128">
        <v>2046</v>
      </c>
      <c r="BH48" s="1075" t="s">
        <v>1636</v>
      </c>
      <c r="BJ48" s="1229" t="s">
        <v>931</v>
      </c>
      <c r="BL48" s="1229" t="s">
        <v>931</v>
      </c>
      <c r="BN48" s="1075" t="s">
        <v>1666</v>
      </c>
    </row>
    <row customHeight="1" ht="11.25">
      <c r="A49" s="1081" t="s">
        <v>1667</v>
      </c>
      <c r="E49" s="413" t="s">
        <v>1668</v>
      </c>
      <c r="F49" s="1122" t="s">
        <v>1669</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86"/>
      <c r="AX49" s="1128" t="s">
        <v>1670</v>
      </c>
      <c r="AZ49" s="1128" t="s">
        <v>1394</v>
      </c>
      <c r="BE49" s="1128">
        <v>2047</v>
      </c>
      <c r="BH49" s="1075" t="s">
        <v>947</v>
      </c>
      <c r="BJ49" s="1229" t="s">
        <v>933</v>
      </c>
      <c r="BL49" s="1229" t="s">
        <v>933</v>
      </c>
    </row>
    <row customHeight="1" ht="11.25">
      <c r="A50" s="1081" t="s">
        <v>1671</v>
      </c>
      <c r="E50" s="413" t="s">
        <v>1672</v>
      </c>
      <c r="F50" s="1122" t="s">
        <v>917</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86"/>
      <c r="AX50" s="1128" t="s">
        <v>1673</v>
      </c>
      <c r="AZ50" s="1128" t="s">
        <v>1410</v>
      </c>
      <c r="BE50" s="1128">
        <v>2048</v>
      </c>
      <c r="BH50" s="1075" t="s">
        <v>1643</v>
      </c>
      <c r="BJ50" s="1229" t="s">
        <v>935</v>
      </c>
      <c r="BL50" s="1229" t="s">
        <v>935</v>
      </c>
    </row>
    <row customHeight="1" ht="11.25">
      <c r="A51" s="1081" t="s">
        <v>1674</v>
      </c>
      <c r="E51" s="413" t="s">
        <v>1675</v>
      </c>
      <c r="F51" s="1122" t="s">
        <v>1676</v>
      </c>
      <c r="G51" s="1124" t="str">
        <f>IF(TITLE_PERIOD_START="","",TITLE_PERIOD_START)</f>
        <v>45292.382789351854</v>
      </c>
      <c r="H51" s="1124" t="str">
        <f>IF(TITLE_PERIOD_END="","",TITLE_PERIOD_END)</f>
        <v>49309.38287037037</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1677</v>
      </c>
      <c r="AZ51" s="1128" t="s">
        <v>1426</v>
      </c>
      <c r="BE51" s="1128">
        <v>2049</v>
      </c>
      <c r="BH51" s="1075" t="s">
        <v>1652</v>
      </c>
      <c r="BJ51" s="1229" t="s">
        <v>1678</v>
      </c>
      <c r="BL51" s="1229" t="s">
        <v>1678</v>
      </c>
    </row>
    <row customHeight="1" ht="11.25">
      <c r="A52" s="1081" t="s">
        <v>1679</v>
      </c>
      <c r="E52" s="413" t="s">
        <v>1680</v>
      </c>
      <c r="F52" s="1122" t="s">
        <v>1646</v>
      </c>
      <c r="G52" s="1124" t="str">
        <f>IF(TITLE_PERIOD_START="","",TITLE_PERIOD_START)</f>
        <v>45292.382789351854</v>
      </c>
      <c r="H52" s="1124" t="str">
        <f>IF(TITLE_PERIOD_END="","",TITLE_PERIOD_END)</f>
        <v>49309.38287037037</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86"/>
      <c r="AX52" s="1128" t="s">
        <v>1681</v>
      </c>
      <c r="AZ52" s="1128" t="s">
        <v>1224</v>
      </c>
      <c r="BE52" s="1128">
        <v>2050</v>
      </c>
      <c r="BH52" s="1075" t="s">
        <v>1656</v>
      </c>
      <c r="BJ52" s="1229" t="s">
        <v>946</v>
      </c>
      <c r="BL52" s="1229" t="s">
        <v>946</v>
      </c>
    </row>
    <row customHeight="1" ht="11.25">
      <c r="A53" s="1081" t="s">
        <v>1682</v>
      </c>
      <c r="E53" s="413" t="s">
        <v>1683</v>
      </c>
      <c r="F53" s="1122" t="s">
        <v>1683</v>
      </c>
      <c r="G53" s="1124" t="str">
        <f>IF(f_year="","","01.01."&amp;f_year)</f>
        <v/>
      </c>
      <c r="H53" s="1124" t="str">
        <f>IF(f_year="","","31.12."&amp;f_year)</f>
        <v/>
      </c>
      <c r="I53" s="1782">
        <f>IF(AND(f_year="",TITLE_DATE_FIL=""),TRUE,FALSE)</f>
        <v>1</v>
      </c>
      <c r="J53" s="1785" t="s">
        <v>1684</v>
      </c>
      <c r="K53" s="1786"/>
      <c r="AX53" s="1128" t="s">
        <v>1685</v>
      </c>
      <c r="BE53" s="1128">
        <v>2051</v>
      </c>
      <c r="BH53" s="1075" t="s">
        <v>1660</v>
      </c>
      <c r="BJ53" s="1229" t="s">
        <v>1632</v>
      </c>
      <c r="BL53" s="1229" t="s">
        <v>1632</v>
      </c>
    </row>
    <row customHeight="1" ht="11.25">
      <c r="A54" s="1081" t="s">
        <v>1686</v>
      </c>
      <c r="AX54" s="1128" t="s">
        <v>1687</v>
      </c>
      <c r="AZ54" s="1074" t="s">
        <v>1688</v>
      </c>
      <c r="BE54" s="1128">
        <v>2052</v>
      </c>
      <c r="BH54" s="1075" t="s">
        <v>1666</v>
      </c>
      <c r="BJ54" s="1229" t="s">
        <v>1636</v>
      </c>
      <c r="BL54" s="1229" t="s">
        <v>1636</v>
      </c>
    </row>
    <row customHeight="1" ht="11.25">
      <c r="A55" s="1081" t="s">
        <v>1689</v>
      </c>
      <c r="AX55" s="1128" t="s">
        <v>1690</v>
      </c>
      <c r="AZ55" s="1128" t="s">
        <v>1226</v>
      </c>
      <c r="BE55" s="1128">
        <v>2053</v>
      </c>
      <c r="BH55" s="1077" t="s">
        <v>24</v>
      </c>
      <c r="BJ55" s="1229" t="s">
        <v>947</v>
      </c>
      <c r="BL55" s="1229" t="s">
        <v>947</v>
      </c>
    </row>
    <row customHeight="1" ht="11.25">
      <c r="A56" s="1081" t="s">
        <v>1691</v>
      </c>
      <c r="D56" s="1126" t="s">
        <v>1692</v>
      </c>
      <c r="E56" s="1102">
        <v>55</v>
      </c>
      <c r="F56" s="1081" t="s">
        <v>1693</v>
      </c>
      <c r="AX56" s="1128" t="s">
        <v>1694</v>
      </c>
      <c r="AZ56" s="1128" t="s">
        <v>1254</v>
      </c>
      <c r="BE56" s="1128">
        <v>2054</v>
      </c>
      <c r="BH56" s="1077" t="s">
        <v>24</v>
      </c>
      <c r="BJ56" s="1229" t="s">
        <v>1643</v>
      </c>
      <c r="BL56" s="1229" t="s">
        <v>1643</v>
      </c>
    </row>
    <row customHeight="1" ht="11.25">
      <c r="A57" s="1081" t="s">
        <v>1695</v>
      </c>
      <c r="D57" s="1126" t="s">
        <v>1696</v>
      </c>
      <c r="E57" s="1102">
        <v>66</v>
      </c>
      <c r="F57" s="1081" t="s">
        <v>1693</v>
      </c>
      <c r="AX57" s="1128" t="s">
        <v>1697</v>
      </c>
      <c r="AZ57" s="1128" t="s">
        <v>1289</v>
      </c>
      <c r="BE57" s="1128">
        <v>2055</v>
      </c>
      <c r="BJ57" s="1229" t="s">
        <v>1652</v>
      </c>
      <c r="BL57" s="1229" t="s">
        <v>1652</v>
      </c>
    </row>
    <row customHeight="1" ht="11.25">
      <c r="A58" s="1081" t="s">
        <v>1698</v>
      </c>
      <c r="D58" s="1126" t="s">
        <v>1699</v>
      </c>
      <c r="E58" s="1102">
        <v>44</v>
      </c>
      <c r="F58" s="1081" t="s">
        <v>1693</v>
      </c>
      <c r="AX58" s="1128" t="s">
        <v>1700</v>
      </c>
      <c r="BE58" s="1128">
        <v>2056</v>
      </c>
      <c r="BJ58" s="1229" t="s">
        <v>1656</v>
      </c>
      <c r="BL58" s="1229" t="s">
        <v>1656</v>
      </c>
    </row>
    <row customHeight="1" ht="11.25">
      <c r="A59" s="1081" t="s">
        <v>1701</v>
      </c>
      <c r="D59" s="1126" t="s">
        <v>129</v>
      </c>
      <c r="E59" s="1102" t="s">
        <v>1523</v>
      </c>
      <c r="F59" s="1081" t="s">
        <v>1702</v>
      </c>
      <c r="AX59" s="1128" t="s">
        <v>1703</v>
      </c>
      <c r="AZ59" s="1074" t="s">
        <v>1704</v>
      </c>
      <c r="BE59" s="1128">
        <v>2057</v>
      </c>
      <c r="BJ59" s="1229" t="s">
        <v>1660</v>
      </c>
      <c r="BL59" s="1229" t="s">
        <v>1660</v>
      </c>
    </row>
    <row customHeight="1" ht="11.25">
      <c r="A60" s="1081" t="s">
        <v>1705</v>
      </c>
      <c r="D60" s="1126" t="s">
        <v>1706</v>
      </c>
      <c r="E60" s="1102" t="s">
        <v>1523</v>
      </c>
      <c r="F60" s="1081" t="s">
        <v>1702</v>
      </c>
      <c r="AX60" s="1128" t="s">
        <v>1707</v>
      </c>
      <c r="AZ60" s="1128" t="s">
        <v>1227</v>
      </c>
      <c r="BE60" s="1128">
        <v>2058</v>
      </c>
      <c r="BJ60" s="1229" t="s">
        <v>1666</v>
      </c>
      <c r="BL60" s="1229" t="s">
        <v>1666</v>
      </c>
    </row>
    <row customHeight="1" ht="11.25">
      <c r="A61" s="1081" t="s">
        <v>1708</v>
      </c>
      <c r="D61" s="1126" t="s">
        <v>1709</v>
      </c>
      <c r="E61" s="1102">
        <v>26</v>
      </c>
      <c r="F61" s="1081" t="s">
        <v>1702</v>
      </c>
      <c r="AX61" s="1128" t="s">
        <v>1710</v>
      </c>
      <c r="AZ61" s="1128" t="s">
        <v>1255</v>
      </c>
      <c r="BE61" s="1128">
        <v>2059</v>
      </c>
      <c r="BL61" s="1229" t="s">
        <v>939</v>
      </c>
    </row>
    <row customHeight="1" ht="11.25">
      <c r="A62" s="1081" t="s">
        <v>1711</v>
      </c>
      <c r="D62" s="1126" t="s">
        <v>128</v>
      </c>
      <c r="E62" s="1102">
        <v>30</v>
      </c>
      <c r="F62" s="1081" t="s">
        <v>1702</v>
      </c>
      <c r="AZ62" s="1128" t="s">
        <v>1290</v>
      </c>
      <c r="BE62" s="1128">
        <v>2060</v>
      </c>
      <c r="BL62" s="1229" t="s">
        <v>941</v>
      </c>
    </row>
    <row customHeight="1" ht="11.25">
      <c r="A63" s="1081" t="s">
        <v>1712</v>
      </c>
      <c r="D63" s="1126" t="s">
        <v>1713</v>
      </c>
      <c r="E63" s="1102">
        <v>30</v>
      </c>
      <c r="F63" s="1081" t="s">
        <v>1702</v>
      </c>
      <c r="AZ63" s="1128" t="s">
        <v>1321</v>
      </c>
      <c r="BE63" s="1128">
        <v>2061</v>
      </c>
    </row>
    <row customHeight="1" ht="11.25">
      <c r="A64" s="1081" t="s">
        <v>1714</v>
      </c>
      <c r="D64" s="1126" t="s">
        <v>1715</v>
      </c>
      <c r="E64" s="1102">
        <v>30</v>
      </c>
      <c r="F64" s="1081" t="s">
        <v>1702</v>
      </c>
      <c r="AZ64" s="1128" t="s">
        <v>1344</v>
      </c>
      <c r="BE64" s="1128">
        <v>2062</v>
      </c>
    </row>
    <row customHeight="1" ht="11.25">
      <c r="A65" s="1081" t="s">
        <v>1716</v>
      </c>
      <c r="D65" s="1081"/>
      <c r="BE65" s="1128">
        <v>2063</v>
      </c>
    </row>
    <row customHeight="1" ht="11.25">
      <c r="A66" s="1081" t="s">
        <v>1717</v>
      </c>
      <c r="AZ66" s="1074" t="s">
        <v>1718</v>
      </c>
      <c r="BE66" s="1128">
        <v>2064</v>
      </c>
    </row>
    <row customHeight="1" ht="11.25">
      <c r="A67" s="1081" t="s">
        <v>1719</v>
      </c>
      <c r="AZ67" s="1128" t="s">
        <v>1228</v>
      </c>
      <c r="BE67" s="1128">
        <v>2065</v>
      </c>
    </row>
    <row customHeight="1" ht="11.25">
      <c r="A68" s="1081" t="s">
        <v>1720</v>
      </c>
      <c r="AZ68" s="1128" t="s">
        <v>1256</v>
      </c>
      <c r="BE68" s="1128">
        <v>2066</v>
      </c>
      <c r="BH68" s="1074" t="s">
        <v>1721</v>
      </c>
      <c r="BJ68" s="1074" t="s">
        <v>1722</v>
      </c>
      <c r="BL68" s="1074" t="s">
        <v>1723</v>
      </c>
      <c r="BN68" s="1074" t="s">
        <v>1724</v>
      </c>
    </row>
    <row customHeight="1" ht="11.25">
      <c r="A69" s="1081" t="s">
        <v>1725</v>
      </c>
      <c r="AZ69" s="1128" t="s">
        <v>1291</v>
      </c>
      <c r="BE69" s="1128">
        <v>2067</v>
      </c>
      <c r="BH69" s="1075" t="s">
        <v>1726</v>
      </c>
      <c r="BI69" s="1125" t="s">
        <v>107</v>
      </c>
      <c r="BJ69" s="1075" t="s">
        <v>1727</v>
      </c>
      <c r="BK69" s="1125" t="s">
        <v>107</v>
      </c>
      <c r="BL69" s="1075" t="s">
        <v>1728</v>
      </c>
      <c r="BN69" s="1075" t="s">
        <v>1729</v>
      </c>
    </row>
    <row customHeight="1" ht="11.25">
      <c r="A70" s="1081" t="s">
        <v>1730</v>
      </c>
      <c r="AZ70" s="1128" t="s">
        <v>1322</v>
      </c>
      <c r="BE70" s="1128">
        <v>2068</v>
      </c>
      <c r="BH70" s="1075" t="s">
        <v>1731</v>
      </c>
      <c r="BJ70" s="1075" t="s">
        <v>1732</v>
      </c>
      <c r="BL70" s="1075" t="s">
        <v>1733</v>
      </c>
      <c r="BN70" s="1075" t="s">
        <v>1734</v>
      </c>
    </row>
    <row customHeight="1" ht="11.25">
      <c r="A71" s="1081" t="s">
        <v>1735</v>
      </c>
      <c r="AZ71" s="1128" t="s">
        <v>1324</v>
      </c>
      <c r="BE71" s="1128">
        <v>2069</v>
      </c>
      <c r="BH71" s="1075" t="s">
        <v>1736</v>
      </c>
      <c r="BI71" s="1125" t="s">
        <v>88</v>
      </c>
      <c r="BJ71" s="1075" t="s">
        <v>1737</v>
      </c>
      <c r="BK71" s="1125" t="s">
        <v>88</v>
      </c>
      <c r="BL71" s="1075" t="s">
        <v>1738</v>
      </c>
      <c r="BN71" s="1075" t="s">
        <v>1739</v>
      </c>
    </row>
    <row customHeight="1" ht="11.25">
      <c r="A72" s="1081" t="s">
        <v>1740</v>
      </c>
      <c r="AZ72" s="1128" t="s">
        <v>55</v>
      </c>
      <c r="BE72" s="1128">
        <v>2070</v>
      </c>
      <c r="BH72" s="1075" t="s">
        <v>1741</v>
      </c>
      <c r="BJ72" s="1075" t="s">
        <v>1741</v>
      </c>
      <c r="BL72" s="1075" t="s">
        <v>1741</v>
      </c>
      <c r="BN72" s="1075" t="s">
        <v>1742</v>
      </c>
    </row>
    <row customHeight="1" ht="11.25">
      <c r="A73" s="1081" t="s">
        <v>1743</v>
      </c>
      <c r="BH73" s="1075" t="s">
        <v>1744</v>
      </c>
      <c r="BI73" s="1125" t="s">
        <v>109</v>
      </c>
      <c r="BJ73" s="1075" t="s">
        <v>1745</v>
      </c>
      <c r="BK73" s="1125" t="s">
        <v>109</v>
      </c>
      <c r="BL73" s="1075" t="s">
        <v>1746</v>
      </c>
      <c r="BN73" s="1075" t="s">
        <v>1747</v>
      </c>
    </row>
    <row customHeight="1" ht="11.25">
      <c r="A74" s="1081" t="s">
        <v>1748</v>
      </c>
      <c r="BH74" s="1075" t="s">
        <v>1749</v>
      </c>
      <c r="BJ74" s="1075" t="s">
        <v>1750</v>
      </c>
      <c r="BL74" s="1075" t="s">
        <v>1751</v>
      </c>
      <c r="BN74" s="1075" t="s">
        <v>1752</v>
      </c>
    </row>
    <row customHeight="1" ht="11.25">
      <c r="A75" s="1081" t="s">
        <v>1753</v>
      </c>
      <c r="AZ75" s="1074" t="s">
        <v>1754</v>
      </c>
      <c r="BH75" s="1075" t="s">
        <v>1755</v>
      </c>
      <c r="BJ75" s="1075" t="s">
        <v>1755</v>
      </c>
      <c r="BL75" s="1075" t="s">
        <v>1755</v>
      </c>
    </row>
    <row customHeight="1" ht="11.25">
      <c r="A76" s="1081" t="s">
        <v>1756</v>
      </c>
      <c r="AZ76" s="1128" t="s">
        <v>1237</v>
      </c>
      <c r="BH76" s="1075" t="s">
        <v>1757</v>
      </c>
      <c r="BJ76" s="1075" t="s">
        <v>1758</v>
      </c>
      <c r="BL76" s="1075" t="s">
        <v>1759</v>
      </c>
    </row>
    <row customHeight="1" ht="11.25">
      <c r="A77" s="1081" t="s">
        <v>1760</v>
      </c>
      <c r="AZ77" s="1128" t="s">
        <v>1266</v>
      </c>
    </row>
    <row customHeight="1" ht="11.25">
      <c r="A78" s="1081" t="s">
        <v>1761</v>
      </c>
      <c r="AZ78" s="1128" t="s">
        <v>1298</v>
      </c>
    </row>
    <row customHeight="1" ht="11.25">
      <c r="A79" s="1081" t="s">
        <v>1762</v>
      </c>
      <c r="AZ79" s="1128" t="s">
        <v>1328</v>
      </c>
      <c r="BH79" s="1074" t="s">
        <v>1763</v>
      </c>
      <c r="BJ79" s="1074" t="s">
        <v>1764</v>
      </c>
      <c r="BL79" s="1074" t="s">
        <v>1765</v>
      </c>
    </row>
    <row customHeight="1" ht="11.25">
      <c r="A80" s="1081" t="s">
        <v>1766</v>
      </c>
      <c r="AZ80" s="1128" t="s">
        <v>1349</v>
      </c>
      <c r="BH80" s="1075" t="s">
        <v>1767</v>
      </c>
      <c r="BJ80" s="1075" t="s">
        <v>1768</v>
      </c>
      <c r="BL80" s="1075" t="s">
        <v>1769</v>
      </c>
    </row>
    <row customHeight="1" ht="11.25">
      <c r="A81" s="1081" t="s">
        <v>14</v>
      </c>
      <c r="AZ81" s="1128" t="s">
        <v>1366</v>
      </c>
      <c r="BH81" s="1075" t="s">
        <v>1770</v>
      </c>
      <c r="BJ81" s="1075" t="s">
        <v>1771</v>
      </c>
      <c r="BL81" s="1075" t="s">
        <v>1772</v>
      </c>
    </row>
    <row customHeight="1" ht="11.25">
      <c r="A82" s="1081" t="s">
        <v>1773</v>
      </c>
      <c r="AZ82" s="1128" t="s">
        <v>1380</v>
      </c>
      <c r="BH82" s="1075" t="s">
        <v>1774</v>
      </c>
      <c r="BJ82" s="1075" t="s">
        <v>1775</v>
      </c>
      <c r="BL82" s="1075" t="s">
        <v>1776</v>
      </c>
    </row>
    <row customHeight="1" ht="11.25">
      <c r="A83" s="1081" t="s">
        <v>1777</v>
      </c>
      <c r="BH83" s="1075" t="s">
        <v>1778</v>
      </c>
      <c r="BJ83" s="1075" t="s">
        <v>1779</v>
      </c>
      <c r="BL83" s="1075" t="s">
        <v>1780</v>
      </c>
    </row>
    <row customHeight="1" ht="11.25">
      <c r="A84" s="1081" t="s">
        <v>1781</v>
      </c>
      <c r="AZ84" s="1074" t="s">
        <v>1782</v>
      </c>
    </row>
    <row customHeight="1" ht="11.25">
      <c r="A85" s="1913" t="s">
        <v>1783</v>
      </c>
      <c r="AZ85" s="1128" t="s">
        <v>1784</v>
      </c>
    </row>
    <row customHeight="1" ht="11.25">
      <c r="A86" s="1081" t="s">
        <v>1785</v>
      </c>
      <c r="AZ86" s="1128" t="s">
        <v>1786</v>
      </c>
      <c r="BH86" s="1074" t="s">
        <v>1787</v>
      </c>
      <c r="BJ86" s="1074" t="s">
        <v>1788</v>
      </c>
      <c r="BL86" s="1074" t="s">
        <v>1789</v>
      </c>
    </row>
    <row customHeight="1" ht="11.25">
      <c r="A87" s="1081" t="s">
        <v>1790</v>
      </c>
      <c r="AZ87" s="1128" t="s">
        <v>1791</v>
      </c>
      <c r="BH87" s="1075" t="s">
        <v>1792</v>
      </c>
      <c r="BJ87" s="1075" t="s">
        <v>1793</v>
      </c>
      <c r="BL87" s="1075" t="s">
        <v>1794</v>
      </c>
    </row>
    <row customHeight="1" ht="11.25">
      <c r="A88" s="1081" t="s">
        <v>1795</v>
      </c>
      <c r="AZ88" s="1646"/>
      <c r="BH88" s="1075" t="s">
        <v>1796</v>
      </c>
      <c r="BJ88" s="1075" t="s">
        <v>1797</v>
      </c>
      <c r="BL88" s="1075" t="s">
        <v>1798</v>
      </c>
    </row>
    <row customHeight="1" ht="11.25">
      <c r="A89" s="1081" t="s">
        <v>1799</v>
      </c>
      <c r="AZ89" s="1074" t="s">
        <v>1800</v>
      </c>
    </row>
    <row customHeight="1" ht="11.25">
      <c r="A90" s="1081" t="s">
        <v>1801</v>
      </c>
      <c r="AZ90" s="1128" t="s">
        <v>917</v>
      </c>
    </row>
    <row customHeight="1" ht="11.25">
      <c r="A91" s="1081" t="s">
        <v>1802</v>
      </c>
      <c r="AZ91" s="1128" t="s">
        <v>953</v>
      </c>
      <c r="BH91" s="1074" t="s">
        <v>1803</v>
      </c>
      <c r="BJ91" s="1074" t="s">
        <v>1804</v>
      </c>
      <c r="BL91" s="1074" t="s">
        <v>1805</v>
      </c>
    </row>
    <row customHeight="1" ht="11.25">
      <c r="AZ92" s="1128" t="s">
        <v>1806</v>
      </c>
      <c r="BH92" s="1075" t="s">
        <v>1807</v>
      </c>
      <c r="BJ92" s="1075" t="s">
        <v>1808</v>
      </c>
      <c r="BL92" s="1075" t="s">
        <v>1809</v>
      </c>
    </row>
    <row customHeight="1" ht="11.25">
      <c r="AZ93" s="1128" t="s">
        <v>1810</v>
      </c>
      <c r="BH93" s="1075" t="s">
        <v>1811</v>
      </c>
      <c r="BJ93" s="1075" t="s">
        <v>1812</v>
      </c>
      <c r="BL93" s="1075" t="s">
        <v>1813</v>
      </c>
    </row>
    <row customHeight="1" ht="11.25">
      <c r="AZ94" s="1128" t="s">
        <v>1814</v>
      </c>
    </row>
    <row r="96" customHeight="1" ht="11.25">
      <c r="AZ96" s="1074" t="s">
        <v>1815</v>
      </c>
      <c r="BH96" s="1074" t="s">
        <v>1816</v>
      </c>
      <c r="BJ96" s="1074" t="s">
        <v>1817</v>
      </c>
      <c r="BL96" s="1074" t="s">
        <v>1818</v>
      </c>
      <c r="BN96" s="1074" t="s">
        <v>1819</v>
      </c>
    </row>
    <row customHeight="1" ht="11.25">
      <c r="AZ97" s="1128" t="s">
        <v>1820</v>
      </c>
      <c r="BH97" s="1075" t="s">
        <v>1821</v>
      </c>
      <c r="BJ97" s="1075" t="s">
        <v>1822</v>
      </c>
      <c r="BL97" s="1075" t="s">
        <v>1823</v>
      </c>
      <c r="BN97" s="1075" t="s">
        <v>1824</v>
      </c>
    </row>
    <row customHeight="1" ht="11.25">
      <c r="AZ98" s="1128" t="s">
        <v>1825</v>
      </c>
      <c r="BH98" s="1075" t="s">
        <v>1826</v>
      </c>
      <c r="BJ98" s="1075" t="s">
        <v>1827</v>
      </c>
      <c r="BL98" s="1075" t="s">
        <v>1828</v>
      </c>
      <c r="BN98" s="1075" t="s">
        <v>1829</v>
      </c>
    </row>
    <row customHeight="1" ht="11.25">
      <c r="AZ99" s="1128" t="s">
        <v>1830</v>
      </c>
      <c r="BH99" s="1075" t="s">
        <v>1831</v>
      </c>
      <c r="BJ99" s="1075" t="s">
        <v>1832</v>
      </c>
      <c r="BL99" s="1075" t="s">
        <v>1833</v>
      </c>
      <c r="BN99" s="1075" t="s">
        <v>1834</v>
      </c>
    </row>
    <row customHeight="1" ht="11.25">
      <c r="BJ100" s="1075" t="s">
        <v>1426</v>
      </c>
      <c r="BL100" s="1075" t="s">
        <v>1426</v>
      </c>
      <c r="BN100" s="1075" t="s">
        <v>1835</v>
      </c>
    </row>
    <row customHeight="1" ht="11.25">
      <c r="AZ101" s="1732" t="s">
        <v>1836</v>
      </c>
      <c r="BN101" s="1075" t="s">
        <v>1837</v>
      </c>
    </row>
    <row customHeight="1" ht="11.25">
      <c r="AZ102" s="1128" t="s">
        <v>1838</v>
      </c>
      <c r="BN102" s="1075" t="s">
        <v>1839</v>
      </c>
    </row>
    <row customHeight="1" ht="11.25">
      <c r="AZ103" s="1128" t="s">
        <v>1840</v>
      </c>
      <c r="BN103" s="1075" t="s">
        <v>1841</v>
      </c>
    </row>
    <row customHeight="1" ht="11.25">
      <c r="AZ104" s="1128" t="s">
        <v>555</v>
      </c>
      <c r="BN104" s="1075" t="s">
        <v>1842</v>
      </c>
    </row>
    <row r="107" customHeight="1" ht="11.25">
      <c r="BH107" s="1074" t="s">
        <v>1843</v>
      </c>
      <c r="BJ107" s="1074" t="s">
        <v>1844</v>
      </c>
      <c r="BL107" s="1074" t="s">
        <v>1845</v>
      </c>
      <c r="BN107" s="1074" t="s">
        <v>1846</v>
      </c>
    </row>
    <row customHeight="1" ht="11.25">
      <c r="BH108" s="1075" t="s">
        <v>1847</v>
      </c>
      <c r="BJ108" s="1075" t="s">
        <v>1848</v>
      </c>
      <c r="BL108" s="1075" t="s">
        <v>1511</v>
      </c>
      <c r="BN108" s="1075" t="s">
        <v>1849</v>
      </c>
    </row>
    <row customHeight="1" ht="11.25">
      <c r="BH109" s="1075" t="s">
        <v>1850</v>
      </c>
    </row>
    <row customHeight="1" ht="11.25">
      <c r="BH110" s="1075" t="s">
        <v>1850</v>
      </c>
    </row>
    <row r="114" customHeight="1" ht="11.25">
      <c r="BH114" s="1074" t="s">
        <v>1851</v>
      </c>
    </row>
    <row customHeight="1" ht="11.25">
      <c r="BH115" s="1075" t="s">
        <v>1224</v>
      </c>
    </row>
    <row customHeight="1" ht="11.25">
      <c r="BH116" s="1075" t="s">
        <v>1252</v>
      </c>
    </row>
    <row customHeight="1" ht="11.25">
      <c r="BH117" s="1075" t="s">
        <v>1287</v>
      </c>
    </row>
    <row customHeight="1" ht="11.25">
      <c r="BH118" s="1075" t="s">
        <v>1320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2D02CF-EAEA-661C-91AD-BB1148F5C3F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876" width="43.140625"/>
    <col min="2" max="2" style="5876" width="43.140625" hidden="1"/>
    <col min="3" max="3" style="5876" width="43.140625"/>
    <col min="4" max="5" style="5876" width="36.421875" customWidth="1"/>
    <col min="6" max="8" style="5877" width="36.421875" customWidth="1"/>
  </cols>
  <sheetData>
    <row customHeight="1" ht="9">
      <c r="A1" s="852" t="s">
        <v>1852</v>
      </c>
      <c r="B1" s="852"/>
      <c r="C1" s="989" t="s">
        <v>1853</v>
      </c>
      <c r="D1" s="987" t="s">
        <v>706</v>
      </c>
      <c r="E1" s="987" t="s">
        <v>752</v>
      </c>
      <c r="F1" s="987" t="s">
        <v>804</v>
      </c>
      <c r="G1" s="987" t="s">
        <v>790</v>
      </c>
      <c r="H1" s="987" t="s">
        <v>1626</v>
      </c>
    </row>
    <row customHeight="1" ht="9">
      <c r="A2" s="990" t="s">
        <v>1854</v>
      </c>
      <c r="B2" s="990"/>
      <c r="C2" s="991" t="str">
        <f>INDEX(TEMPLATE_NUMBER_FORM_LIST,MATCH(TEMPLATE_SPHERE,TEMPLATE_SPHERE_LIST,0))</f>
        <v>10</v>
      </c>
      <c r="D2" s="990" t="s">
        <v>1477</v>
      </c>
      <c r="E2" s="990" t="s">
        <v>147</v>
      </c>
      <c r="F2" s="992" t="s">
        <v>147</v>
      </c>
      <c r="G2" s="990" t="s">
        <v>147</v>
      </c>
      <c r="H2" s="993"/>
    </row>
    <row customHeight="1" ht="63">
      <c r="A3" s="852"/>
      <c r="B3" s="852" t="s">
        <v>107</v>
      </c>
      <c r="C3" s="99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1" t="s">
        <v>1855</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2"/>
      <c r="G3" s="993"/>
      <c r="H3" s="852"/>
    </row>
    <row customHeight="1" ht="243">
      <c r="A4" s="852" t="s">
        <v>1856</v>
      </c>
      <c r="B4" s="852" t="s">
        <v>108</v>
      </c>
      <c r="C4" s="991" t="str">
        <f>IF(TEMPLATE_SPHERE="HEAT",D4,IF(TEMPLATE_SPHERE="TKO",H4,E4))</f>
        <v>Форма 1. Информация об организации, осуществляющей холодное водоснабжение (общая информация)</v>
      </c>
      <c r="D4" s="990" t="s">
        <v>1857</v>
      </c>
      <c r="E4" s="99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90"/>
      <c r="G4" s="990"/>
      <c r="H4" s="852" t="s">
        <v>1858</v>
      </c>
    </row>
    <row customHeight="1" ht="117">
      <c r="A5" s="852" t="s">
        <v>1859</v>
      </c>
      <c r="B5" s="852" t="s">
        <v>88</v>
      </c>
      <c r="C5" s="99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2" t="s">
        <v>1860</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3"/>
      <c r="G5" s="993"/>
      <c r="H5" s="852" t="s">
        <v>1861</v>
      </c>
    </row>
    <row customHeight="1" ht="45">
      <c r="A6" s="852" t="s">
        <v>1862</v>
      </c>
      <c r="B6" s="852" t="s">
        <v>89</v>
      </c>
      <c r="C6" s="991"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2" t="s">
        <v>1863</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2"/>
      <c r="G6" s="852"/>
      <c r="H6" s="993"/>
    </row>
    <row customHeight="1" ht="45">
      <c r="A7" s="852" t="s">
        <v>1864</v>
      </c>
      <c r="B7" s="852" t="s">
        <v>109</v>
      </c>
      <c r="C7" s="99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2" t="s">
        <v>1865</v>
      </c>
      <c r="E7" s="852" t="s">
        <v>1866</v>
      </c>
      <c r="F7" s="993"/>
      <c r="G7" s="993"/>
      <c r="H7" s="993"/>
    </row>
    <row customHeight="1" ht="108">
      <c r="A8" s="852" t="s">
        <v>1867</v>
      </c>
      <c r="B8" s="852" t="s">
        <v>90</v>
      </c>
      <c r="C8" s="99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2" t="s">
        <v>1868</v>
      </c>
      <c r="E8" s="852" t="s">
        <v>1869</v>
      </c>
      <c r="F8" s="993"/>
      <c r="G8" s="993"/>
      <c r="H8" s="993"/>
    </row>
    <row customHeight="1" ht="99">
      <c r="A9" s="852" t="s">
        <v>1870</v>
      </c>
      <c r="B9" s="852"/>
      <c r="C9" s="852" t="s">
        <v>1871</v>
      </c>
      <c r="D9" s="852"/>
      <c r="E9" s="852"/>
      <c r="F9" s="993"/>
      <c r="G9" s="993"/>
      <c r="H9" s="993"/>
    </row>
    <row customHeight="1" ht="126">
      <c r="A10" s="852" t="s">
        <v>1872</v>
      </c>
      <c r="B10" s="852"/>
      <c r="C10" s="852" t="s">
        <v>1873</v>
      </c>
      <c r="D10" s="852"/>
      <c r="E10" s="852"/>
      <c r="F10" s="993"/>
      <c r="G10" s="993"/>
      <c r="H10" s="993"/>
    </row>
    <row customHeight="1" ht="108">
      <c r="A11" s="852" t="s">
        <v>1874</v>
      </c>
      <c r="B11" s="852"/>
      <c r="C11" s="852" t="s">
        <v>1875</v>
      </c>
      <c r="D11" s="852"/>
      <c r="E11" s="852"/>
      <c r="F11" s="993"/>
      <c r="G11" s="993"/>
      <c r="H11" s="993"/>
    </row>
    <row customHeight="1" ht="54">
      <c r="A12" s="852" t="s">
        <v>1876</v>
      </c>
      <c r="B12" s="852"/>
      <c r="C12" s="852" t="s">
        <v>1877</v>
      </c>
      <c r="D12" s="852"/>
      <c r="E12" s="852"/>
      <c r="F12" s="993"/>
      <c r="G12" s="993"/>
      <c r="H12" s="993"/>
    </row>
    <row customHeight="1" ht="45">
      <c r="A13" s="852" t="s">
        <v>1878</v>
      </c>
      <c r="B13" s="852"/>
      <c r="C13" s="852" t="s">
        <v>1879</v>
      </c>
      <c r="D13" s="852"/>
      <c r="E13" s="852"/>
      <c r="F13" s="993"/>
      <c r="G13" s="993"/>
      <c r="H13" s="993"/>
    </row>
    <row customHeight="1" ht="117">
      <c r="A14" s="852" t="s">
        <v>1880</v>
      </c>
      <c r="B14" s="852"/>
      <c r="C14" s="852" t="s">
        <v>1881</v>
      </c>
      <c r="D14" s="852"/>
      <c r="E14" s="852"/>
      <c r="F14" s="993"/>
      <c r="G14" s="993"/>
      <c r="H14" s="993"/>
    </row>
    <row customHeight="1" ht="117">
      <c r="A15" s="852" t="s">
        <v>1882</v>
      </c>
      <c r="B15" s="852"/>
      <c r="C15" s="852" t="s">
        <v>1883</v>
      </c>
      <c r="D15" s="852"/>
      <c r="E15" s="852"/>
      <c r="F15" s="993"/>
      <c r="G15" s="993"/>
      <c r="H15" s="993"/>
    </row>
    <row customHeight="1" ht="63">
      <c r="A16" s="852" t="s">
        <v>1884</v>
      </c>
      <c r="B16" s="852"/>
      <c r="C16" s="852" t="s">
        <v>1885</v>
      </c>
      <c r="D16" s="852"/>
      <c r="E16" s="852"/>
      <c r="F16" s="993"/>
      <c r="G16" s="993"/>
      <c r="H16" s="993"/>
    </row>
    <row customHeight="1" ht="54">
      <c r="A17" s="852" t="s">
        <v>1886</v>
      </c>
      <c r="B17" s="852"/>
      <c r="C17" s="991" t="s">
        <v>1887</v>
      </c>
      <c r="D17" s="852"/>
      <c r="E17" s="852"/>
      <c r="F17" s="993"/>
      <c r="G17" s="993"/>
      <c r="H17" s="993"/>
    </row>
    <row customHeight="1" ht="27">
      <c r="A18" s="852" t="s">
        <v>1888</v>
      </c>
      <c r="B18" s="852"/>
      <c r="C18" s="991" t="s">
        <v>1889</v>
      </c>
      <c r="D18" s="852"/>
      <c r="E18" s="852"/>
      <c r="F18" s="993"/>
      <c r="G18" s="993"/>
      <c r="H18" s="993"/>
    </row>
    <row customHeight="1" ht="54">
      <c r="A19" s="852" t="s">
        <v>1890</v>
      </c>
      <c r="B19" s="852"/>
      <c r="C19" s="991" t="s">
        <v>1891</v>
      </c>
      <c r="D19" s="852"/>
      <c r="E19" s="852"/>
      <c r="F19" s="993"/>
      <c r="G19" s="993"/>
      <c r="H19" s="993"/>
    </row>
    <row customHeight="1" ht="36">
      <c r="A20" s="852" t="s">
        <v>1892</v>
      </c>
      <c r="B20" s="852"/>
      <c r="C20" s="991" t="s">
        <v>1893</v>
      </c>
      <c r="D20" s="852"/>
      <c r="E20" s="852"/>
      <c r="F20" s="993"/>
      <c r="G20" s="993"/>
      <c r="H20" s="993"/>
    </row>
    <row customHeight="1" ht="36">
      <c r="A21" s="852" t="s">
        <v>1894</v>
      </c>
      <c r="B21" s="852"/>
      <c r="C21" s="991" t="s">
        <v>1895</v>
      </c>
      <c r="D21" s="852"/>
      <c r="E21" s="852"/>
      <c r="F21" s="993"/>
      <c r="G21" s="993"/>
      <c r="H21" s="993"/>
    </row>
    <row customHeight="1" ht="27">
      <c r="A22" s="852" t="s">
        <v>1896</v>
      </c>
      <c r="B22" s="852"/>
      <c r="C22" s="991" t="s">
        <v>1897</v>
      </c>
      <c r="D22" s="852"/>
      <c r="E22" s="852"/>
      <c r="F22" s="993"/>
      <c r="G22" s="993"/>
      <c r="H22" s="993"/>
    </row>
    <row customHeight="1" ht="36">
      <c r="A23" s="852" t="s">
        <v>1898</v>
      </c>
      <c r="B23" s="852"/>
      <c r="C23" s="991" t="s">
        <v>1899</v>
      </c>
      <c r="D23" s="852"/>
      <c r="E23" s="852"/>
      <c r="F23" s="993"/>
      <c r="G23" s="993"/>
      <c r="H23" s="993"/>
    </row>
    <row customHeight="1" ht="28.5">
      <c r="A24" s="852" t="s">
        <v>1900</v>
      </c>
      <c r="B24" s="852"/>
      <c r="C24" s="991" t="s">
        <v>1901</v>
      </c>
      <c r="D24" s="852"/>
      <c r="E24" s="852"/>
      <c r="F24" s="993"/>
      <c r="G24" s="993"/>
      <c r="H24" s="993"/>
    </row>
    <row customHeight="1" ht="36">
      <c r="A25" s="852" t="s">
        <v>1902</v>
      </c>
      <c r="B25" s="852"/>
      <c r="C25" s="991" t="s">
        <v>1903</v>
      </c>
      <c r="D25" s="852"/>
      <c r="E25" s="852"/>
      <c r="F25" s="993"/>
      <c r="G25" s="993"/>
      <c r="H25" s="993"/>
    </row>
    <row customHeight="1" ht="27">
      <c r="A26" s="852" t="s">
        <v>1904</v>
      </c>
      <c r="B26" s="852"/>
      <c r="C26" s="991" t="s">
        <v>1905</v>
      </c>
      <c r="D26" s="852"/>
      <c r="E26" s="852"/>
      <c r="F26" s="993"/>
      <c r="G26" s="993"/>
      <c r="H26" s="993"/>
    </row>
    <row customHeight="1" ht="36">
      <c r="A27" s="852" t="s">
        <v>1906</v>
      </c>
      <c r="B27" s="852"/>
      <c r="C27" s="991" t="s">
        <v>1907</v>
      </c>
      <c r="D27" s="852"/>
      <c r="E27" s="852"/>
      <c r="F27" s="993"/>
      <c r="G27" s="993"/>
      <c r="H27" s="993"/>
    </row>
    <row customHeight="1" ht="28.5">
      <c r="A28" s="852" t="s">
        <v>1908</v>
      </c>
      <c r="B28" s="852"/>
      <c r="C28" s="991" t="s">
        <v>1909</v>
      </c>
      <c r="D28" s="852"/>
      <c r="E28" s="852"/>
      <c r="F28" s="993"/>
      <c r="G28" s="993"/>
      <c r="H28" s="993"/>
    </row>
    <row customHeight="1" ht="126">
      <c r="A29" s="852" t="s">
        <v>1910</v>
      </c>
      <c r="B29" s="852" t="s">
        <v>1578</v>
      </c>
      <c r="C29" s="991"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2" t="s">
        <v>1911</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3"/>
      <c r="G29" s="993"/>
      <c r="H29" s="852" t="s">
        <v>1912</v>
      </c>
    </row>
    <row customHeight="1" ht="36">
      <c r="A30" s="852" t="s">
        <v>1913</v>
      </c>
      <c r="B30" s="852"/>
      <c r="C30" s="99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2" t="s">
        <v>1914</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3"/>
      <c r="G30" s="993"/>
      <c r="H30" s="993"/>
    </row>
    <row customHeight="1" ht="54">
      <c r="A31" s="852" t="s">
        <v>1915</v>
      </c>
      <c r="B31" s="852"/>
      <c r="C31" s="991" t="str">
        <f>IF(TEMPLATE_SPHERE="HEAT",D31,IF(TEMPLATE_SPHERE="TKO",H31,E31))</f>
        <v>Форма 1. Информация об организации, осуществляющей холодное водоснабжение (общая информация)</v>
      </c>
      <c r="D31" s="852" t="s">
        <v>1916</v>
      </c>
      <c r="E31" s="85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3"/>
      <c r="G31" s="993"/>
      <c r="H31" s="993"/>
    </row>
    <row customHeight="1" ht="198">
      <c r="A32" s="852" t="s">
        <v>1917</v>
      </c>
      <c r="B32" s="852"/>
      <c r="C32" s="991"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2" t="s">
        <v>1918</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3"/>
      <c r="G32" s="993"/>
      <c r="H32" s="852" t="s">
        <v>1919</v>
      </c>
    </row>
    <row customHeight="1" ht="9">
      <c r="A33" s="852"/>
      <c r="B33" s="852"/>
      <c r="C33" s="991"/>
      <c r="D33" s="852"/>
      <c r="E33" s="852"/>
      <c r="F33" s="993"/>
      <c r="G33" s="993"/>
      <c r="H33" s="993"/>
    </row>
    <row customHeight="1" ht="9">
      <c r="A34" s="852"/>
      <c r="B34" s="852" t="s">
        <v>1514</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1BDE42B-1A49-610A-787F-500E2DD6A04F}"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5876" width="9.140625"/>
    <col min="3" max="7" style="5920" width="8.00390625" customWidth="1"/>
    <col min="8" max="12" style="5920" width="8.57421875" customWidth="1"/>
    <col min="13" max="14" style="5920" width="27.7109375" customWidth="1"/>
    <col min="15" max="19" style="5920" width="5.140625" customWidth="1"/>
    <col min="20" max="24" style="5920" width="27.7109375" customWidth="1"/>
    <col min="25" max="25" style="5921" width="1.8515625" customWidth="1"/>
    <col min="26" max="26" style="5876" width="27.7109375" customWidth="1"/>
    <col min="27" max="27" style="5922" width="27.7109375" customWidth="1"/>
    <col min="28" max="29" style="5876" width="27.7109375" customWidth="1"/>
    <col min="30" max="30" style="5876" width="3.8515625" customWidth="1"/>
    <col min="31" max="34" style="5876" width="9.140625"/>
  </cols>
  <sheetData>
    <row s="5878" customFormat="1" customHeight="1" ht="18">
      <c r="A1" s="904"/>
      <c r="B1" s="904"/>
      <c r="C1" s="904" t="s">
        <v>1920</v>
      </c>
      <c r="D1" s="904"/>
      <c r="E1" s="904"/>
      <c r="F1" s="904"/>
      <c r="G1" s="904"/>
      <c r="H1" s="904" t="s">
        <v>1921</v>
      </c>
      <c r="I1" s="904"/>
      <c r="J1" s="904"/>
      <c r="K1" s="904"/>
      <c r="L1" s="904"/>
      <c r="M1" s="904" t="s">
        <v>1922</v>
      </c>
      <c r="N1" s="904" t="s">
        <v>1923</v>
      </c>
      <c r="O1" s="2424" t="s">
        <v>1924</v>
      </c>
      <c r="P1" s="2424"/>
      <c r="Q1" s="2424"/>
      <c r="R1" s="2424"/>
      <c r="S1" s="2424"/>
      <c r="T1" s="2424" t="s">
        <v>1922</v>
      </c>
      <c r="U1" s="2424"/>
      <c r="V1" s="2424"/>
      <c r="W1" s="2424"/>
      <c r="X1" s="2424"/>
      <c r="Y1" s="1006"/>
      <c r="Z1" s="2424" t="s">
        <v>1925</v>
      </c>
      <c r="AA1" s="2424"/>
      <c r="AB1" s="2424"/>
      <c r="AC1" s="2424"/>
      <c r="AD1" s="2424"/>
    </row>
    <row customHeight="1" ht="18">
      <c r="A2" s="852"/>
      <c r="B2" s="852"/>
      <c r="C2" s="847" t="s">
        <v>706</v>
      </c>
      <c r="D2" s="847" t="s">
        <v>752</v>
      </c>
      <c r="E2" s="847" t="s">
        <v>804</v>
      </c>
      <c r="F2" s="847" t="s">
        <v>790</v>
      </c>
      <c r="G2" s="847" t="s">
        <v>1626</v>
      </c>
      <c r="H2" s="849"/>
      <c r="I2" s="849"/>
      <c r="J2" s="849"/>
      <c r="K2" s="849"/>
      <c r="L2" s="849"/>
      <c r="M2" s="849"/>
      <c r="N2" s="849"/>
      <c r="O2" s="847" t="s">
        <v>706</v>
      </c>
      <c r="P2" s="847" t="s">
        <v>752</v>
      </c>
      <c r="Q2" s="847" t="s">
        <v>790</v>
      </c>
      <c r="R2" s="847" t="s">
        <v>804</v>
      </c>
      <c r="S2" s="847" t="s">
        <v>1626</v>
      </c>
      <c r="T2" s="847" t="s">
        <v>706</v>
      </c>
      <c r="U2" s="847" t="s">
        <v>752</v>
      </c>
      <c r="V2" s="847" t="s">
        <v>790</v>
      </c>
      <c r="W2" s="847" t="s">
        <v>804</v>
      </c>
      <c r="X2" s="847" t="s">
        <v>1626</v>
      </c>
      <c r="Y2" s="847"/>
      <c r="Z2" s="847" t="s">
        <v>706</v>
      </c>
      <c r="AA2" s="856" t="s">
        <v>752</v>
      </c>
      <c r="AB2" s="847" t="s">
        <v>790</v>
      </c>
      <c r="AC2" s="847" t="s">
        <v>804</v>
      </c>
      <c r="AD2" s="847" t="s">
        <v>1626</v>
      </c>
    </row>
    <row customHeight="1" ht="162">
      <c r="A3" s="851" t="s">
        <v>22</v>
      </c>
      <c r="B3" s="851"/>
      <c r="C3" s="2428" t="s">
        <v>1926</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9"/>
      <c r="P3" s="849"/>
      <c r="Q3" s="849"/>
      <c r="R3" s="849"/>
      <c r="S3" s="849"/>
      <c r="T3" s="849"/>
      <c r="U3" s="849"/>
      <c r="V3" s="849"/>
      <c r="W3" s="849"/>
      <c r="X3" s="849"/>
      <c r="Y3" s="1007"/>
      <c r="Z3" s="852" t="s">
        <v>1927</v>
      </c>
      <c r="AA3" s="849" t="s">
        <v>1928</v>
      </c>
      <c r="AB3" s="852" t="s">
        <v>1929</v>
      </c>
      <c r="AC3" s="852" t="s">
        <v>1930</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1565</v>
      </c>
      <c r="D11" s="2431" t="s">
        <v>1561</v>
      </c>
      <c r="E11" s="2431" t="s">
        <v>1659</v>
      </c>
      <c r="F11" s="2431" t="s">
        <v>1931</v>
      </c>
      <c r="G11" s="2431"/>
      <c r="H11" s="904" t="s">
        <v>1932</v>
      </c>
      <c r="I11" s="904"/>
      <c r="J11" s="904"/>
      <c r="K11" s="904"/>
      <c r="L11" s="904"/>
      <c r="M11" s="850" t="str">
        <f>IF(TEMPLATE_SPHERE="HEAT",T11,U11)</f>
        <v>Количество поданных заявлений </v>
      </c>
      <c r="N11" s="85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9"/>
      <c r="P11" s="849"/>
      <c r="Q11" s="849"/>
      <c r="R11" s="849"/>
      <c r="S11" s="849"/>
      <c r="T11" s="849" t="s">
        <v>1933</v>
      </c>
      <c r="U11" s="849" t="s">
        <v>1934</v>
      </c>
      <c r="V11" s="849"/>
      <c r="W11" s="849"/>
      <c r="X11" s="849"/>
      <c r="Y11" s="1007"/>
      <c r="Z11" s="852" t="s">
        <v>1935</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2"/>
      <c r="AC11" s="852"/>
      <c r="AD11" s="852"/>
    </row>
    <row customHeight="1" ht="45">
      <c r="A12" s="2425"/>
      <c r="B12" s="905">
        <v>2</v>
      </c>
      <c r="C12" s="2432"/>
      <c r="D12" s="2432"/>
      <c r="E12" s="2432"/>
      <c r="F12" s="2432"/>
      <c r="G12" s="2432"/>
      <c r="H12" s="904" t="s">
        <v>1936</v>
      </c>
      <c r="I12" s="904"/>
      <c r="J12" s="904"/>
      <c r="K12" s="904"/>
      <c r="L12" s="904"/>
      <c r="M12" s="850" t="str">
        <f>IF(TEMPLATE_SPHERE="HEAT",T12,U12)</f>
        <v>Количество исполненных заявлений </v>
      </c>
      <c r="N12" s="85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9"/>
      <c r="P12" s="849"/>
      <c r="Q12" s="849"/>
      <c r="R12" s="849"/>
      <c r="S12" s="849"/>
      <c r="T12" s="849" t="s">
        <v>1937</v>
      </c>
      <c r="U12" s="849" t="s">
        <v>1938</v>
      </c>
      <c r="V12" s="849"/>
      <c r="W12" s="849"/>
      <c r="X12" s="849"/>
      <c r="Y12" s="1007"/>
      <c r="Z12" s="852" t="s">
        <v>1939</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2"/>
      <c r="AC12" s="852"/>
      <c r="AD12" s="852"/>
    </row>
    <row customHeight="1" ht="72">
      <c r="A13" s="2425"/>
      <c r="B13" s="905">
        <v>3</v>
      </c>
      <c r="C13" s="2432"/>
      <c r="D13" s="2432"/>
      <c r="E13" s="2432"/>
      <c r="F13" s="2432"/>
      <c r="G13" s="2432"/>
      <c r="H13" s="2424" t="s">
        <v>1940</v>
      </c>
      <c r="I13" s="904"/>
      <c r="J13" s="904"/>
      <c r="K13" s="904"/>
      <c r="L13" s="904"/>
      <c r="M13" s="850" t="str">
        <f>IF(TEMPLATE_SPHERE="HEAT",T13,U13)</f>
        <v>Количество заявлений о заключении договоров о подключении (технологическом присоединении)</v>
      </c>
      <c r="N13" s="85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9"/>
      <c r="P13" s="850"/>
      <c r="Q13" s="850"/>
      <c r="R13" s="850"/>
      <c r="S13" s="849"/>
      <c r="T13" s="849" t="s">
        <v>1941</v>
      </c>
      <c r="U13" s="850" t="s">
        <v>1942</v>
      </c>
      <c r="V13" s="850"/>
      <c r="W13" s="850"/>
      <c r="X13" s="849"/>
      <c r="Y13" s="1007"/>
      <c r="Z13" s="852" t="s">
        <v>1943</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1944</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0"/>
      <c r="W14" s="850"/>
      <c r="X14" s="849"/>
      <c r="Y14" s="1007"/>
      <c r="Z14" s="852" t="s">
        <v>1945</v>
      </c>
      <c r="AA14" s="855" t="s">
        <v>1945</v>
      </c>
      <c r="AB14" s="852"/>
      <c r="AC14" s="852"/>
      <c r="AD14" s="852"/>
    </row>
    <row customHeight="1" ht="108">
      <c r="A15" s="2425"/>
      <c r="B15" s="905">
        <v>5</v>
      </c>
      <c r="C15" s="2432"/>
      <c r="D15" s="2432"/>
      <c r="E15" s="2432"/>
      <c r="F15" s="2432"/>
      <c r="G15" s="2432"/>
      <c r="H15" s="2426" t="s">
        <v>1946</v>
      </c>
      <c r="I15" s="906"/>
      <c r="J15" s="906"/>
      <c r="K15" s="906"/>
      <c r="L15" s="906"/>
      <c r="M15" s="85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9"/>
      <c r="P15" s="850"/>
      <c r="Q15" s="850"/>
      <c r="R15" s="850"/>
      <c r="S15" s="849"/>
      <c r="T15" s="849" t="s">
        <v>1947</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0"/>
      <c r="W15" s="850"/>
      <c r="X15" s="849"/>
      <c r="Y15" s="1007"/>
      <c r="Z15" s="852" t="s">
        <v>1948</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9"/>
      <c r="P16" s="850"/>
      <c r="Q16" s="850"/>
      <c r="R16" s="850"/>
      <c r="S16" s="849"/>
      <c r="T16" s="849"/>
      <c r="U16" s="850"/>
      <c r="V16" s="850"/>
      <c r="W16" s="850"/>
      <c r="X16" s="849"/>
      <c r="Y16" s="1007"/>
      <c r="Z16" s="852" t="s">
        <v>1948</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1662</v>
      </c>
      <c r="B18" s="905">
        <v>1</v>
      </c>
      <c r="C18" s="849" t="s">
        <v>1932</v>
      </c>
      <c r="D18" s="974" t="s">
        <v>1932</v>
      </c>
      <c r="E18" s="849" t="s">
        <v>1932</v>
      </c>
      <c r="F18" s="849" t="s">
        <v>1932</v>
      </c>
      <c r="G18" s="849"/>
      <c r="H18" s="1009"/>
      <c r="I18" s="1012">
        <f>INDEX(TEMPLATE_NUMBER_POINT_FHD,B18,MATCH(TEMPLATE_SPHERE,TEMPLATE_SPHERE_LIST_FOR_NOTE,0))</f>
        <v>1</v>
      </c>
      <c r="J18" s="1012" t="str">
        <f>INDEX(TEMPLATE_DATA_POINT_FHD,B18,MATCH(TEMPLATE_SPHERE,TEMPLATE_SPHERE_LIST_FOR_NOTE,0))</f>
        <v>Выручка от регулируемых видов деятельности в сфере холодного водоснабжения</v>
      </c>
      <c r="K18" s="1012" t="str">
        <f>INDEX(TEMPLATE_NOTE_POINT_FHD,B18,MATCH(TEMPLATE_SPHERE,TEMPLATE_SPHERE_LIST_FOR_NOTE,0))</f>
        <v>Указывается выручка с распределением по видам деятельности.</v>
      </c>
      <c r="L18" s="850">
        <f>IF(I18=0,"",I18)</f>
        <v>1</v>
      </c>
      <c r="M18" s="850" t="str">
        <f>IF(J18=0,"",J18)</f>
        <v>Выручка от регулируемых видов деятельности в сфере холодного водоснабжения</v>
      </c>
      <c r="N18" s="850" t="str">
        <f>IF(K18=0,"",K18)</f>
        <v>Указывается выручка с распределением по видам деятельности.</v>
      </c>
      <c r="O18" s="964">
        <v>1</v>
      </c>
      <c r="P18" s="964">
        <v>1</v>
      </c>
      <c r="Q18" s="964">
        <v>1</v>
      </c>
      <c r="R18" s="964">
        <v>1</v>
      </c>
      <c r="S18" s="964"/>
      <c r="T18" s="971" t="s">
        <v>1949</v>
      </c>
      <c r="U18" s="852" t="s">
        <v>1950</v>
      </c>
      <c r="V18" s="852" t="s">
        <v>1951</v>
      </c>
      <c r="W18" s="852" t="s">
        <v>1952</v>
      </c>
      <c r="X18" s="849"/>
      <c r="Y18" s="1007"/>
      <c r="Z18" s="852" t="s">
        <v>1953</v>
      </c>
      <c r="AA18" s="855" t="s">
        <v>1954</v>
      </c>
      <c r="AB18" s="855" t="s">
        <v>1954</v>
      </c>
      <c r="AC18" s="855" t="s">
        <v>1954</v>
      </c>
      <c r="AD18" s="852"/>
    </row>
    <row customHeight="1" ht="36">
      <c r="A19" s="851"/>
      <c r="B19" s="905">
        <v>2</v>
      </c>
      <c r="C19" s="849" t="s">
        <v>1936</v>
      </c>
      <c r="D19" s="974" t="s">
        <v>1936</v>
      </c>
      <c r="E19" s="849" t="s">
        <v>1936</v>
      </c>
      <c r="F19" s="849" t="s">
        <v>1936</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регулируемым видам деятельности в сфере холодного водоснабжения, включая:</v>
      </c>
      <c r="N19" s="850" t="str">
        <f>IF(K19=0,"",K19)</f>
        <v>Указывается суммарная себестоимость производимых товаров.</v>
      </c>
      <c r="O19" s="964">
        <v>2</v>
      </c>
      <c r="P19" s="964">
        <v>2</v>
      </c>
      <c r="Q19" s="964">
        <v>2</v>
      </c>
      <c r="R19" s="964">
        <v>2</v>
      </c>
      <c r="S19" s="964"/>
      <c r="T19" s="971" t="s">
        <v>1955</v>
      </c>
      <c r="U19" s="852" t="s">
        <v>1956</v>
      </c>
      <c r="V19" s="852" t="s">
        <v>1957</v>
      </c>
      <c r="W19" s="852" t="s">
        <v>1958</v>
      </c>
      <c r="X19" s="849"/>
      <c r="Y19" s="1007"/>
      <c r="Z19" s="852" t="s">
        <v>1959</v>
      </c>
      <c r="AA19" s="855" t="s">
        <v>1959</v>
      </c>
      <c r="AB19" s="855" t="s">
        <v>1959</v>
      </c>
      <c r="AC19" s="855" t="s">
        <v>1959</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2">
        <f>INDEX(TEMPLATE_NOTE_POINT_FHD,B20,MATCH(TEMPLATE_SPHERE,TEMPLATE_SPHERE_LIST_FOR_NOTE,0))</f>
        <v>0</v>
      </c>
      <c r="L20" s="850" t="str">
        <f>IF(I20=0,"",I20)</f>
        <v>2.1</v>
      </c>
      <c r="M20" s="850" t="str">
        <f>IF(J20=0,"",J20)</f>
        <v>Расходы на оплату холодной воды, приобретаемой у других организаций для последующей подачи потребителям</v>
      </c>
      <c r="N20" s="850" t="str">
        <f>IF(K20=0,"",K20)</f>
        <v/>
      </c>
      <c r="O20" s="964" t="s">
        <v>606</v>
      </c>
      <c r="P20" s="964" t="s">
        <v>606</v>
      </c>
      <c r="Q20" s="964" t="s">
        <v>606</v>
      </c>
      <c r="R20" s="964" t="s">
        <v>606</v>
      </c>
      <c r="S20" s="964"/>
      <c r="T20" s="971" t="s">
        <v>1960</v>
      </c>
      <c r="U20" s="852" t="s">
        <v>1961</v>
      </c>
      <c r="V20" s="852" t="s">
        <v>1962</v>
      </c>
      <c r="W20" s="852" t="s">
        <v>1963</v>
      </c>
      <c r="X20" s="849"/>
      <c r="Y20" s="1007"/>
      <c r="Z20" s="852"/>
      <c r="AA20" s="855"/>
      <c r="AB20" s="852"/>
      <c r="AC20" s="852"/>
      <c r="AD20" s="852"/>
    </row>
    <row customHeight="1" ht="36">
      <c r="A21" s="851"/>
      <c r="B21" s="905">
        <v>4</v>
      </c>
      <c r="C21" s="849">
        <v>2</v>
      </c>
      <c r="D21" s="974"/>
      <c r="E21" s="849"/>
      <c r="F21" s="849"/>
      <c r="G21" s="849"/>
      <c r="H21" s="1009"/>
      <c r="I21" s="1012">
        <f>INDEX(TEMPLATE_NUMBER_POINT_FHD,B21,MATCH(TEMPLATE_SPHERE,TEMPLATE_SPHERE_LIST_FOR_NOTE,0))</f>
        <v>0</v>
      </c>
      <c r="J21" s="1012">
        <f>INDEX(TEMPLATE_DATA_POINT_FHD,B21,MATCH(TEMPLATE_SPHERE,TEMPLATE_SPHERE_LIST_FOR_NOTE,0))</f>
        <v>0</v>
      </c>
      <c r="K21" s="1012">
        <f>INDEX(TEMPLATE_NOTE_POINT_FHD,B21,MATCH(TEMPLATE_SPHERE,TEMPLATE_SPHERE_LIST_FOR_NOTE,0))</f>
        <v>0</v>
      </c>
      <c r="L21" s="850" t="str">
        <f>IF(I21=0,"",I21)</f>
        <v/>
      </c>
      <c r="M21" s="850" t="str">
        <f>IF(J21=0,"",J21)</f>
        <v/>
      </c>
      <c r="N21" s="850" t="str">
        <f>IF(K21=0,"",K21)</f>
        <v/>
      </c>
      <c r="O21" s="964" t="s">
        <v>295</v>
      </c>
      <c r="P21" s="964"/>
      <c r="Q21" s="964"/>
      <c r="R21" s="964"/>
      <c r="S21" s="964"/>
      <c r="T21" s="971" t="s">
        <v>1964</v>
      </c>
      <c r="U21" s="852"/>
      <c r="V21" s="852"/>
      <c r="W21" s="852"/>
      <c r="X21" s="849"/>
      <c r="Y21" s="1007"/>
      <c r="Z21" s="852" t="s">
        <v>1965</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295</v>
      </c>
      <c r="R22" s="964"/>
      <c r="S22" s="964"/>
      <c r="T22" s="971"/>
      <c r="U22" s="852"/>
      <c r="V22" s="852" t="s">
        <v>1966</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298</v>
      </c>
      <c r="R23" s="964"/>
      <c r="S23" s="964"/>
      <c r="T23" s="971"/>
      <c r="U23" s="852"/>
      <c r="V23" s="852" t="s">
        <v>1967</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626</v>
      </c>
      <c r="R24" s="964"/>
      <c r="S24" s="964"/>
      <c r="T24" s="971"/>
      <c r="U24" s="852"/>
      <c r="V24" s="852" t="s">
        <v>1968</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2.2</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2.2</v>
      </c>
      <c r="M25" s="850" t="str">
        <f>IF(J25=0,"",J25)</f>
        <v>Расходы на приобретаемую электрическую энергию (мощность), используемую в технологическом процессе</v>
      </c>
      <c r="N25" s="850" t="str">
        <f>IF(K25=0,"",K25)</f>
        <v/>
      </c>
      <c r="O25" s="964" t="s">
        <v>298</v>
      </c>
      <c r="P25" s="964" t="s">
        <v>295</v>
      </c>
      <c r="Q25" s="964" t="s">
        <v>633</v>
      </c>
      <c r="R25" s="964" t="s">
        <v>295</v>
      </c>
      <c r="S25" s="964"/>
      <c r="T25" s="971" t="s">
        <v>1969</v>
      </c>
      <c r="U25" s="852" t="s">
        <v>1969</v>
      </c>
      <c r="V25" s="852" t="s">
        <v>1969</v>
      </c>
      <c r="W25" s="852" t="s">
        <v>1969</v>
      </c>
      <c r="X25" s="849"/>
      <c r="Y25" s="1007"/>
      <c r="Z25" s="852"/>
      <c r="AA25" s="855"/>
      <c r="AB25" s="852"/>
      <c r="AC25" s="852"/>
      <c r="AD25" s="852"/>
    </row>
    <row customHeight="1" ht="18">
      <c r="A26" s="851"/>
      <c r="B26" s="905">
        <v>9</v>
      </c>
      <c r="C26" s="849" t="s">
        <v>802</v>
      </c>
      <c r="D26" s="974"/>
      <c r="E26" s="849"/>
      <c r="F26" s="849"/>
      <c r="G26" s="897"/>
      <c r="H26" s="965"/>
      <c r="I26" s="1012" t="str">
        <f>INDEX(TEMPLATE_NUMBER_POINT_FHD,B26,MATCH(TEMPLATE_SPHERE,TEMPLATE_SPHERE_LIST_FOR_NOTE,0))</f>
        <v>2.2.1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2.2.1</v>
      </c>
      <c r="M26" s="850" t="str">
        <f>IF(J26=0,"",J26)</f>
        <v>Средневзвешенная стоимость 1 кВт.ч (с учетом мощности)</v>
      </c>
      <c r="N26" s="850" t="str">
        <f>IF(K26=0,"",K26)</f>
        <v/>
      </c>
      <c r="O26" s="964" t="s">
        <v>622</v>
      </c>
      <c r="P26" s="964" t="s">
        <v>616</v>
      </c>
      <c r="Q26" s="964" t="s">
        <v>1970</v>
      </c>
      <c r="R26" s="964" t="s">
        <v>616</v>
      </c>
      <c r="S26" s="964"/>
      <c r="T26" s="971" t="s">
        <v>1971</v>
      </c>
      <c r="U26" s="971" t="s">
        <v>1971</v>
      </c>
      <c r="V26" s="971" t="s">
        <v>1971</v>
      </c>
      <c r="W26" s="971" t="s">
        <v>1971</v>
      </c>
      <c r="X26" s="849"/>
      <c r="Y26" s="1007"/>
      <c r="Z26" s="852"/>
      <c r="AA26" s="855"/>
      <c r="AB26" s="852"/>
      <c r="AC26" s="852"/>
      <c r="AD26" s="852"/>
    </row>
    <row customHeight="1" ht="18">
      <c r="A27" s="851"/>
      <c r="B27" s="905">
        <v>10</v>
      </c>
      <c r="C27" s="849" t="s">
        <v>1972</v>
      </c>
      <c r="D27" s="974"/>
      <c r="E27" s="849"/>
      <c r="F27" s="849"/>
      <c r="G27" s="897"/>
      <c r="H27" s="965"/>
      <c r="I27" s="1012" t="str">
        <f>INDEX(TEMPLATE_NUMBER_POINT_FHD,B27,MATCH(TEMPLATE_SPHERE,TEMPLATE_SPHERE_LIST_FOR_NOTE,0))</f>
        <v>2.2.2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2.2.2</v>
      </c>
      <c r="M27" s="850" t="str">
        <f>IF(J27=0,"",J27)</f>
        <v>Объём приобретения электрической энергии</v>
      </c>
      <c r="N27" s="850" t="str">
        <f>IF(K27=0,"",K27)</f>
        <v/>
      </c>
      <c r="O27" s="964" t="s">
        <v>624</v>
      </c>
      <c r="P27" s="964" t="s">
        <v>618</v>
      </c>
      <c r="Q27" s="964" t="s">
        <v>1973</v>
      </c>
      <c r="R27" s="964" t="s">
        <v>618</v>
      </c>
      <c r="S27" s="964"/>
      <c r="T27" s="971" t="s">
        <v>1974</v>
      </c>
      <c r="U27" s="971" t="s">
        <v>1974</v>
      </c>
      <c r="V27" s="971" t="s">
        <v>1974</v>
      </c>
      <c r="W27" s="971" t="s">
        <v>1974</v>
      </c>
      <c r="X27" s="849"/>
      <c r="Y27" s="1007"/>
      <c r="Z27" s="852"/>
      <c r="AA27" s="855"/>
      <c r="AB27" s="852"/>
      <c r="AC27" s="852"/>
      <c r="AD27" s="852"/>
    </row>
    <row customHeight="1" ht="27">
      <c r="A28" s="851"/>
      <c r="B28" s="905">
        <v>11</v>
      </c>
      <c r="C28" s="849">
        <v>7</v>
      </c>
      <c r="D28" s="974"/>
      <c r="E28" s="849"/>
      <c r="F28" s="849"/>
      <c r="G28" s="897"/>
      <c r="H28" s="965"/>
      <c r="I28" s="1012">
        <f>INDEX(TEMPLATE_NUMBER_POINT_FHD,B28,MATCH(TEMPLATE_SPHERE,TEMPLATE_SPHERE_LIST_FOR_NOTE,0))</f>
        <v>0</v>
      </c>
      <c r="J28" s="1012">
        <f>INDEX(TEMPLATE_DATA_POINT_FHD,B28,MATCH(TEMPLATE_SPHERE,TEMPLATE_SPHERE_LIST_FOR_NOTE,0))</f>
        <v>0</v>
      </c>
      <c r="K28" s="1012">
        <f>INDEX(TEMPLATE_NOTE_POINT_FHD,B28,MATCH(TEMPLATE_SPHERE,TEMPLATE_SPHERE_LIST_FOR_NOTE,0))</f>
        <v>0</v>
      </c>
      <c r="L28" s="850" t="str">
        <f>IF(I28=0,"",I28)</f>
        <v/>
      </c>
      <c r="M28" s="850" t="str">
        <f>IF(J28=0,"",J28)</f>
        <v/>
      </c>
      <c r="N28" s="850" t="str">
        <f>IF(K28=0,"",K28)</f>
        <v/>
      </c>
      <c r="O28" s="964" t="s">
        <v>626</v>
      </c>
      <c r="P28" s="964"/>
      <c r="Q28" s="964"/>
      <c r="R28" s="964"/>
      <c r="S28" s="964"/>
      <c r="T28" s="971" t="s">
        <v>1975</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2.3</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2.3</v>
      </c>
      <c r="M29" s="850" t="str">
        <f>IF(J29=0,"",J29)</f>
        <v>Расходы на химические реагенты, используемые в технологическом процессе</v>
      </c>
      <c r="N29" s="850" t="str">
        <f>IF(K29=0,"",K29)</f>
        <v/>
      </c>
      <c r="O29" s="964" t="s">
        <v>633</v>
      </c>
      <c r="P29" s="964" t="s">
        <v>298</v>
      </c>
      <c r="Q29" s="964"/>
      <c r="R29" s="964" t="s">
        <v>298</v>
      </c>
      <c r="S29" s="964"/>
      <c r="T29" s="971" t="s">
        <v>1976</v>
      </c>
      <c r="U29" s="852" t="s">
        <v>1976</v>
      </c>
      <c r="V29" s="852"/>
      <c r="W29" s="852" t="s">
        <v>1976</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2.4</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0" t="str">
        <f>IF(I30=0,"",I30)</f>
        <v>2.4</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Указывается общая сумма расходов на оплату труда и отчислений на социальные нужды основного производственного персонала.</v>
      </c>
      <c r="O30" s="964" t="s">
        <v>635</v>
      </c>
      <c r="P30" s="964" t="s">
        <v>626</v>
      </c>
      <c r="Q30" s="964" t="s">
        <v>635</v>
      </c>
      <c r="R30" s="964" t="s">
        <v>626</v>
      </c>
      <c r="S30" s="964"/>
      <c r="T30" s="971" t="s">
        <v>1977</v>
      </c>
      <c r="U30" s="852" t="s">
        <v>1977</v>
      </c>
      <c r="V30" s="852" t="s">
        <v>1977</v>
      </c>
      <c r="W30" s="852" t="s">
        <v>1977</v>
      </c>
      <c r="X30" s="849"/>
      <c r="Y30" s="1007"/>
      <c r="Z30" s="852"/>
      <c r="AA30" s="855" t="s">
        <v>1978</v>
      </c>
      <c r="AB30" s="855" t="s">
        <v>1978</v>
      </c>
      <c r="AC30" s="855" t="s">
        <v>1978</v>
      </c>
      <c r="AD30" s="852"/>
    </row>
    <row customHeight="1" ht="18">
      <c r="A31" s="851"/>
      <c r="B31" s="905">
        <v>14</v>
      </c>
      <c r="C31" s="849" t="s">
        <v>1979</v>
      </c>
      <c r="D31" s="974"/>
      <c r="E31" s="849"/>
      <c r="F31" s="849"/>
      <c r="G31" s="897"/>
      <c r="H31" s="965"/>
      <c r="I31" s="1012" t="str">
        <f>INDEX(TEMPLATE_NUMBER_POINT_FHD,B31,MATCH(TEMPLATE_SPHERE,TEMPLATE_SPHERE_LIST_FOR_NOTE,0))</f>
        <v>2.4.1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2.4.1</v>
      </c>
      <c r="M31" s="850" t="str">
        <f>IF(J31=0,"",J31)</f>
        <v>Расходы на оплату труда основного производственного персонала</v>
      </c>
      <c r="N31" s="850" t="str">
        <f>IF(K31=0,"",K31)</f>
        <v/>
      </c>
      <c r="O31" s="964" t="s">
        <v>1980</v>
      </c>
      <c r="P31" s="964" t="s">
        <v>629</v>
      </c>
      <c r="Q31" s="964" t="s">
        <v>1980</v>
      </c>
      <c r="R31" s="964" t="s">
        <v>629</v>
      </c>
      <c r="S31" s="964"/>
      <c r="T31" s="972" t="s">
        <v>1981</v>
      </c>
      <c r="U31" s="852" t="s">
        <v>1981</v>
      </c>
      <c r="V31" s="852" t="s">
        <v>1981</v>
      </c>
      <c r="W31" s="852" t="s">
        <v>1981</v>
      </c>
      <c r="X31" s="849"/>
      <c r="Y31" s="1007"/>
      <c r="Z31" s="852"/>
      <c r="AA31" s="855"/>
      <c r="AB31" s="855"/>
      <c r="AC31" s="855"/>
      <c r="AD31" s="852"/>
    </row>
    <row customHeight="1" ht="36">
      <c r="A32" s="851"/>
      <c r="B32" s="905">
        <v>15</v>
      </c>
      <c r="C32" s="849" t="s">
        <v>1982</v>
      </c>
      <c r="D32" s="974"/>
      <c r="E32" s="849"/>
      <c r="F32" s="849"/>
      <c r="G32" s="897"/>
      <c r="H32" s="965"/>
      <c r="I32" s="1012" t="str">
        <f>INDEX(TEMPLATE_NUMBER_POINT_FHD,B32,MATCH(TEMPLATE_SPHERE,TEMPLATE_SPHERE_LIST_FOR_NOTE,0))</f>
        <v>2.4.2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2.4.2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1983</v>
      </c>
      <c r="P32" s="964" t="s">
        <v>631</v>
      </c>
      <c r="Q32" s="964" t="s">
        <v>1983</v>
      </c>
      <c r="R32" s="964" t="s">
        <v>631</v>
      </c>
      <c r="S32" s="964"/>
      <c r="T32" s="973" t="s">
        <v>1984</v>
      </c>
      <c r="U32" s="852" t="s">
        <v>1984</v>
      </c>
      <c r="V32" s="852" t="s">
        <v>1984</v>
      </c>
      <c r="W32" s="852" t="s">
        <v>1984</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2.5</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0" t="str">
        <f>IF(I33=0,"",I33)</f>
        <v>2.5</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Указывается общая сумма расходов на оплату труда и отчислений на социальные нужды административно-управленческого персонала.</v>
      </c>
      <c r="O33" s="964" t="s">
        <v>637</v>
      </c>
      <c r="P33" s="964" t="s">
        <v>633</v>
      </c>
      <c r="Q33" s="964" t="s">
        <v>637</v>
      </c>
      <c r="R33" s="964" t="s">
        <v>633</v>
      </c>
      <c r="S33" s="964"/>
      <c r="T33" s="972" t="s">
        <v>1985</v>
      </c>
      <c r="U33" s="852" t="s">
        <v>1985</v>
      </c>
      <c r="V33" s="852" t="s">
        <v>1985</v>
      </c>
      <c r="W33" s="852" t="s">
        <v>1986</v>
      </c>
      <c r="X33" s="849"/>
      <c r="Y33" s="1007"/>
      <c r="Z33" s="852"/>
      <c r="AA33" s="855" t="s">
        <v>1987</v>
      </c>
      <c r="AB33" s="855" t="s">
        <v>1987</v>
      </c>
      <c r="AC33" s="855" t="s">
        <v>1987</v>
      </c>
      <c r="AD33" s="852"/>
    </row>
    <row customHeight="1" ht="27">
      <c r="A34" s="851"/>
      <c r="B34" s="905">
        <v>17</v>
      </c>
      <c r="C34" s="849" t="s">
        <v>1988</v>
      </c>
      <c r="D34" s="974"/>
      <c r="E34" s="849"/>
      <c r="F34" s="849"/>
      <c r="G34" s="897"/>
      <c r="H34" s="965"/>
      <c r="I34" s="1012" t="str">
        <f>INDEX(TEMPLATE_NUMBER_POINT_FHD,B34,MATCH(TEMPLATE_SPHERE,TEMPLATE_SPHERE_LIST_FOR_NOTE,0))</f>
        <v>2.5.1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2.5.1</v>
      </c>
      <c r="M34" s="850" t="str">
        <f>IF(J34=0,"",J34)</f>
        <v>Расходы на оплату труда административно-управленческого персонала</v>
      </c>
      <c r="N34" s="850" t="str">
        <f>IF(K34=0,"",K34)</f>
        <v/>
      </c>
      <c r="O34" s="964" t="s">
        <v>1989</v>
      </c>
      <c r="P34" s="964" t="s">
        <v>1970</v>
      </c>
      <c r="Q34" s="964" t="s">
        <v>1989</v>
      </c>
      <c r="R34" s="964" t="s">
        <v>1970</v>
      </c>
      <c r="S34" s="964"/>
      <c r="T34" s="973" t="s">
        <v>1990</v>
      </c>
      <c r="U34" s="852" t="s">
        <v>1990</v>
      </c>
      <c r="V34" s="852" t="s">
        <v>1990</v>
      </c>
      <c r="W34" s="852" t="s">
        <v>1991</v>
      </c>
      <c r="X34" s="849"/>
      <c r="Y34" s="1007"/>
      <c r="Z34" s="852"/>
      <c r="AA34" s="855"/>
      <c r="AB34" s="852"/>
      <c r="AC34" s="852"/>
      <c r="AD34" s="852"/>
    </row>
    <row customHeight="1" ht="45">
      <c r="A35" s="851"/>
      <c r="B35" s="905">
        <v>18</v>
      </c>
      <c r="C35" s="849" t="s">
        <v>1992</v>
      </c>
      <c r="D35" s="974"/>
      <c r="E35" s="849"/>
      <c r="F35" s="849"/>
      <c r="G35" s="897"/>
      <c r="H35" s="965"/>
      <c r="I35" s="1012" t="str">
        <f>INDEX(TEMPLATE_NUMBER_POINT_FHD,B35,MATCH(TEMPLATE_SPHERE,TEMPLATE_SPHERE_LIST_FOR_NOTE,0))</f>
        <v>2.5.2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2.5.2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1993</v>
      </c>
      <c r="P35" s="964" t="s">
        <v>1973</v>
      </c>
      <c r="Q35" s="964" t="s">
        <v>1993</v>
      </c>
      <c r="R35" s="964" t="s">
        <v>1973</v>
      </c>
      <c r="S35" s="964"/>
      <c r="T35" s="971" t="s">
        <v>1994</v>
      </c>
      <c r="U35" s="852" t="s">
        <v>1994</v>
      </c>
      <c r="V35" s="852" t="s">
        <v>1994</v>
      </c>
      <c r="W35" s="852" t="s">
        <v>1994</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2.6</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2.6</v>
      </c>
      <c r="M36" s="850" t="str">
        <f>IF(J36=0,"",J36)</f>
        <v>Расходы на амортизацию основных средств и нематериальных активов</v>
      </c>
      <c r="N36" s="850" t="str">
        <f>IF(K36=0,"",K36)</f>
        <v/>
      </c>
      <c r="O36" s="964" t="s">
        <v>639</v>
      </c>
      <c r="P36" s="964" t="s">
        <v>635</v>
      </c>
      <c r="Q36" s="964" t="s">
        <v>639</v>
      </c>
      <c r="R36" s="964" t="s">
        <v>635</v>
      </c>
      <c r="S36" s="964"/>
      <c r="T36" s="971" t="s">
        <v>1995</v>
      </c>
      <c r="U36" s="852" t="s">
        <v>1995</v>
      </c>
      <c r="V36" s="852" t="s">
        <v>1995</v>
      </c>
      <c r="W36" s="852" t="s">
        <v>1995</v>
      </c>
      <c r="X36" s="849"/>
      <c r="Y36" s="1007"/>
      <c r="Z36" s="852"/>
      <c r="AA36" s="855"/>
      <c r="AB36" s="852"/>
      <c r="AC36" s="852"/>
      <c r="AD36" s="852"/>
    </row>
    <row customHeight="1" ht="18">
      <c r="A37" s="851"/>
      <c r="B37" s="905">
        <v>20</v>
      </c>
      <c r="C37" s="849" t="s">
        <v>1996</v>
      </c>
      <c r="D37" s="974"/>
      <c r="E37" s="849"/>
      <c r="F37" s="849"/>
      <c r="G37" s="897"/>
      <c r="H37" s="965"/>
      <c r="I37" s="1012" t="str">
        <f>INDEX(TEMPLATE_NUMBER_POINT_FHD,B37,MATCH(TEMPLATE_SPHERE,TEMPLATE_SPHERE_LIST_FOR_NOTE,0))</f>
        <v>2.6.1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2.6.1</v>
      </c>
      <c r="M37" s="850" t="str">
        <f>IF(J37=0,"",J37)</f>
        <v>Расходы на амортизацию основных средств</v>
      </c>
      <c r="N37" s="850" t="str">
        <f>IF(K37=0,"",K37)</f>
        <v/>
      </c>
      <c r="O37" s="964" t="s">
        <v>1997</v>
      </c>
      <c r="P37" s="964" t="s">
        <v>1980</v>
      </c>
      <c r="Q37" s="964" t="s">
        <v>1997</v>
      </c>
      <c r="R37" s="964" t="s">
        <v>1980</v>
      </c>
      <c r="S37" s="964"/>
      <c r="T37" s="971" t="s">
        <v>1998</v>
      </c>
      <c r="U37" s="852" t="s">
        <v>1998</v>
      </c>
      <c r="V37" s="852" t="s">
        <v>1998</v>
      </c>
      <c r="W37" s="852" t="s">
        <v>1998</v>
      </c>
      <c r="X37" s="849"/>
      <c r="Y37" s="1007"/>
      <c r="Z37" s="852"/>
      <c r="AA37" s="855"/>
      <c r="AB37" s="852"/>
      <c r="AC37" s="852"/>
      <c r="AD37" s="852"/>
    </row>
    <row customHeight="1" ht="18">
      <c r="A38" s="851"/>
      <c r="B38" s="905">
        <v>21</v>
      </c>
      <c r="C38" s="849" t="s">
        <v>1999</v>
      </c>
      <c r="D38" s="974"/>
      <c r="E38" s="849"/>
      <c r="F38" s="849"/>
      <c r="G38" s="897"/>
      <c r="H38" s="965"/>
      <c r="I38" s="1012" t="str">
        <f>INDEX(TEMPLATE_NUMBER_POINT_FHD,B38,MATCH(TEMPLATE_SPHERE,TEMPLATE_SPHERE_LIST_FOR_NOTE,0))</f>
        <v>2.6.2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2.6.2</v>
      </c>
      <c r="M38" s="850" t="str">
        <f>IF(J38=0,"",J38)</f>
        <v>Расходы на амортизацию нематериальных активов</v>
      </c>
      <c r="N38" s="850" t="str">
        <f>IF(K38=0,"",K38)</f>
        <v/>
      </c>
      <c r="O38" s="964" t="s">
        <v>2000</v>
      </c>
      <c r="P38" s="964" t="s">
        <v>1983</v>
      </c>
      <c r="Q38" s="964" t="s">
        <v>2000</v>
      </c>
      <c r="R38" s="964" t="s">
        <v>1983</v>
      </c>
      <c r="S38" s="964"/>
      <c r="T38" s="971" t="s">
        <v>2001</v>
      </c>
      <c r="U38" s="852" t="s">
        <v>2001</v>
      </c>
      <c r="V38" s="852" t="s">
        <v>2001</v>
      </c>
      <c r="W38" s="852" t="s">
        <v>2001</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2.7</v>
      </c>
      <c r="J39" s="101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2">
        <f>INDEX(TEMPLATE_NOTE_POINT_FHD,B39,MATCH(TEMPLATE_SPHERE,TEMPLATE_SPHERE_LIST_FOR_NOTE,0))</f>
        <v>0</v>
      </c>
      <c r="L39" s="850" t="str">
        <f>IF(I39=0,"",I39)</f>
        <v>2.7</v>
      </c>
      <c r="M39" s="850" t="str">
        <f>IF(J39=0,"",J39)</f>
        <v>Расходы на аренду имущества, используемого для осуществления регулируемых видов деятельности в сфере холодного водоснабжения</v>
      </c>
      <c r="N39" s="850" t="str">
        <f>IF(K39=0,"",K39)</f>
        <v/>
      </c>
      <c r="O39" s="964" t="s">
        <v>643</v>
      </c>
      <c r="P39" s="964" t="s">
        <v>637</v>
      </c>
      <c r="Q39" s="964" t="s">
        <v>643</v>
      </c>
      <c r="R39" s="964" t="s">
        <v>637</v>
      </c>
      <c r="S39" s="964"/>
      <c r="T39" s="971" t="s">
        <v>2002</v>
      </c>
      <c r="U39" s="852" t="s">
        <v>2003</v>
      </c>
      <c r="V39" s="852" t="s">
        <v>2004</v>
      </c>
      <c r="W39" s="852" t="s">
        <v>2005</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2.8</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2.8</v>
      </c>
      <c r="M40" s="850" t="str">
        <f>IF(J40=0,"",J40)</f>
        <v>Общепроизводственные расходы, в том числе:</v>
      </c>
      <c r="N40" s="850" t="str">
        <f>IF(K40=0,"",K40)</f>
        <v>Указывается общая сумма общепроизводственных расходов.</v>
      </c>
      <c r="O40" s="964" t="s">
        <v>2006</v>
      </c>
      <c r="P40" s="964" t="s">
        <v>639</v>
      </c>
      <c r="Q40" s="964" t="s">
        <v>2006</v>
      </c>
      <c r="R40" s="964" t="s">
        <v>639</v>
      </c>
      <c r="S40" s="964"/>
      <c r="T40" s="849" t="s">
        <v>2007</v>
      </c>
      <c r="U40" s="849" t="s">
        <v>2007</v>
      </c>
      <c r="V40" s="849" t="s">
        <v>2007</v>
      </c>
      <c r="W40" s="849" t="s">
        <v>2007</v>
      </c>
      <c r="X40" s="849"/>
      <c r="Y40" s="1007"/>
      <c r="Z40" s="852" t="s">
        <v>2008</v>
      </c>
      <c r="AA40" s="855" t="s">
        <v>2008</v>
      </c>
      <c r="AB40" s="855" t="s">
        <v>2008</v>
      </c>
      <c r="AC40" s="855" t="s">
        <v>2008</v>
      </c>
      <c r="AD40" s="852"/>
    </row>
    <row customHeight="1" ht="27">
      <c r="A41" s="851"/>
      <c r="B41" s="905">
        <v>24</v>
      </c>
      <c r="C41" s="849" t="s">
        <v>2009</v>
      </c>
      <c r="D41" s="974"/>
      <c r="E41" s="849"/>
      <c r="F41" s="849"/>
      <c r="G41" s="849"/>
      <c r="H41" s="897"/>
      <c r="I41" s="1012" t="str">
        <f>INDEX(TEMPLATE_NUMBER_POINT_FHD,B41,MATCH(TEMPLATE_SPHERE,TEMPLATE_SPHERE_LIST_FOR_NOTE,0))</f>
        <v>2.8.1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2.8.1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2010</v>
      </c>
      <c r="P41" s="964" t="s">
        <v>1997</v>
      </c>
      <c r="Q41" s="964" t="s">
        <v>2010</v>
      </c>
      <c r="R41" s="964" t="s">
        <v>1997</v>
      </c>
      <c r="S41" s="964"/>
      <c r="T41" s="849" t="s">
        <v>2011</v>
      </c>
      <c r="U41" s="849" t="s">
        <v>2011</v>
      </c>
      <c r="V41" s="849" t="s">
        <v>2011</v>
      </c>
      <c r="W41" s="849" t="s">
        <v>2011</v>
      </c>
      <c r="X41" s="849"/>
      <c r="Y41" s="1007"/>
      <c r="Z41" s="852" t="s">
        <v>2012</v>
      </c>
      <c r="AA41" s="852" t="s">
        <v>2012</v>
      </c>
      <c r="AB41" s="852" t="s">
        <v>2012</v>
      </c>
      <c r="AC41" s="852" t="s">
        <v>2012</v>
      </c>
      <c r="AD41" s="852"/>
    </row>
    <row customHeight="1" ht="27">
      <c r="A42" s="851"/>
      <c r="B42" s="905">
        <v>25</v>
      </c>
      <c r="C42" s="849" t="s">
        <v>2013</v>
      </c>
      <c r="D42" s="974"/>
      <c r="E42" s="849"/>
      <c r="F42" s="849"/>
      <c r="G42" s="849"/>
      <c r="H42" s="897"/>
      <c r="I42" s="1012" t="str">
        <f>INDEX(TEMPLATE_NUMBER_POINT_FHD,B42,MATCH(TEMPLATE_SPHERE,TEMPLATE_SPHERE_LIST_FOR_NOTE,0))</f>
        <v>2.8.2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2.8.2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2014</v>
      </c>
      <c r="P42" s="964" t="s">
        <v>2000</v>
      </c>
      <c r="Q42" s="964" t="s">
        <v>2014</v>
      </c>
      <c r="R42" s="964" t="s">
        <v>2000</v>
      </c>
      <c r="S42" s="964"/>
      <c r="T42" s="849" t="s">
        <v>2015</v>
      </c>
      <c r="U42" s="849" t="s">
        <v>2015</v>
      </c>
      <c r="V42" s="849" t="s">
        <v>2015</v>
      </c>
      <c r="W42" s="849" t="s">
        <v>2015</v>
      </c>
      <c r="X42" s="849"/>
      <c r="Y42" s="1007"/>
      <c r="Z42" s="852" t="s">
        <v>2016</v>
      </c>
      <c r="AA42" s="852" t="s">
        <v>2016</v>
      </c>
      <c r="AB42" s="852" t="s">
        <v>2016</v>
      </c>
      <c r="AC42" s="852" t="s">
        <v>2016</v>
      </c>
      <c r="AD42" s="852"/>
    </row>
    <row customHeight="1" ht="18">
      <c r="A43" s="851"/>
      <c r="B43" s="905">
        <v>26</v>
      </c>
      <c r="C43" s="849">
        <v>14</v>
      </c>
      <c r="D43" s="974"/>
      <c r="E43" s="849"/>
      <c r="F43" s="849"/>
      <c r="G43" s="849"/>
      <c r="H43" s="897"/>
      <c r="I43" s="1012" t="str">
        <f>INDEX(TEMPLATE_NUMBER_POINT_FHD,B43,MATCH(TEMPLATE_SPHERE,TEMPLATE_SPHERE_LIST_FOR_NOTE,0))</f>
        <v>2.9</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2.9</v>
      </c>
      <c r="M43" s="850" t="str">
        <f>IF(J43=0,"",J43)</f>
        <v>Общехозяйственные расходы, в том числе:</v>
      </c>
      <c r="N43" s="850" t="str">
        <f>IF(K43=0,"",K43)</f>
        <v>Указывается общая сумма общехозяйственных расходов.</v>
      </c>
      <c r="O43" s="964" t="s">
        <v>2017</v>
      </c>
      <c r="P43" s="964" t="s">
        <v>643</v>
      </c>
      <c r="Q43" s="964" t="s">
        <v>2017</v>
      </c>
      <c r="R43" s="964" t="s">
        <v>643</v>
      </c>
      <c r="S43" s="964"/>
      <c r="T43" s="849" t="s">
        <v>2018</v>
      </c>
      <c r="U43" s="849" t="s">
        <v>2018</v>
      </c>
      <c r="V43" s="849" t="s">
        <v>2018</v>
      </c>
      <c r="W43" s="849" t="s">
        <v>2018</v>
      </c>
      <c r="X43" s="849"/>
      <c r="Y43" s="1007"/>
      <c r="Z43" s="852" t="s">
        <v>2019</v>
      </c>
      <c r="AA43" s="852" t="s">
        <v>2019</v>
      </c>
      <c r="AB43" s="852" t="s">
        <v>2019</v>
      </c>
      <c r="AC43" s="852" t="s">
        <v>2019</v>
      </c>
      <c r="AD43" s="852"/>
    </row>
    <row customHeight="1" ht="27">
      <c r="A44" s="851"/>
      <c r="B44" s="905">
        <v>27</v>
      </c>
      <c r="C44" s="849" t="s">
        <v>2020</v>
      </c>
      <c r="D44" s="974"/>
      <c r="E44" s="849"/>
      <c r="F44" s="849"/>
      <c r="G44" s="849"/>
      <c r="H44" s="897"/>
      <c r="I44" s="1012" t="str">
        <f>INDEX(TEMPLATE_NUMBER_POINT_FHD,B44,MATCH(TEMPLATE_SPHERE,TEMPLATE_SPHERE_LIST_FOR_NOTE,0))</f>
        <v>2.9.1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2.9.1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2021</v>
      </c>
      <c r="P44" s="964" t="s">
        <v>2022</v>
      </c>
      <c r="Q44" s="964" t="s">
        <v>2021</v>
      </c>
      <c r="R44" s="964" t="s">
        <v>2022</v>
      </c>
      <c r="S44" s="964"/>
      <c r="T44" s="849" t="s">
        <v>2011</v>
      </c>
      <c r="U44" s="849" t="s">
        <v>2011</v>
      </c>
      <c r="V44" s="849" t="s">
        <v>2011</v>
      </c>
      <c r="W44" s="849" t="s">
        <v>2011</v>
      </c>
      <c r="X44" s="849"/>
      <c r="Y44" s="1007"/>
      <c r="Z44" s="852" t="s">
        <v>2023</v>
      </c>
      <c r="AA44" s="852" t="s">
        <v>2023</v>
      </c>
      <c r="AB44" s="852" t="s">
        <v>2023</v>
      </c>
      <c r="AC44" s="852" t="s">
        <v>2023</v>
      </c>
      <c r="AD44" s="852"/>
    </row>
    <row customHeight="1" ht="27">
      <c r="A45" s="851"/>
      <c r="B45" s="905">
        <v>28</v>
      </c>
      <c r="C45" s="849" t="s">
        <v>2024</v>
      </c>
      <c r="D45" s="974"/>
      <c r="E45" s="849"/>
      <c r="F45" s="849"/>
      <c r="G45" s="849"/>
      <c r="H45" s="897"/>
      <c r="I45" s="1012" t="str">
        <f>INDEX(TEMPLATE_NUMBER_POINT_FHD,B45,MATCH(TEMPLATE_SPHERE,TEMPLATE_SPHERE_LIST_FOR_NOTE,0))</f>
        <v>2.9.2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2.9.2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2025</v>
      </c>
      <c r="P45" s="964" t="s">
        <v>2026</v>
      </c>
      <c r="Q45" s="964" t="s">
        <v>2025</v>
      </c>
      <c r="R45" s="964" t="s">
        <v>2026</v>
      </c>
      <c r="S45" s="964"/>
      <c r="T45" s="849" t="s">
        <v>2015</v>
      </c>
      <c r="U45" s="849" t="s">
        <v>2015</v>
      </c>
      <c r="V45" s="849" t="s">
        <v>2015</v>
      </c>
      <c r="W45" s="849" t="s">
        <v>2015</v>
      </c>
      <c r="X45" s="849"/>
      <c r="Y45" s="1007"/>
      <c r="Z45" s="852" t="s">
        <v>2027</v>
      </c>
      <c r="AA45" s="852" t="s">
        <v>2027</v>
      </c>
      <c r="AB45" s="852" t="s">
        <v>2027</v>
      </c>
      <c r="AC45" s="852" t="s">
        <v>2027</v>
      </c>
      <c r="AD45" s="852"/>
    </row>
    <row customHeight="1" ht="54">
      <c r="A46" s="851"/>
      <c r="B46" s="905">
        <v>29</v>
      </c>
      <c r="C46" s="849">
        <v>15</v>
      </c>
      <c r="D46" s="974"/>
      <c r="E46" s="849"/>
      <c r="F46" s="849"/>
      <c r="G46" s="849"/>
      <c r="H46" s="897"/>
      <c r="I46" s="1012" t="str">
        <f>INDEX(TEMPLATE_NUMBER_POINT_FHD,B46,MATCH(TEMPLATE_SPHERE,TEMPLATE_SPHERE_LIST_FOR_NOTE,0))</f>
        <v>2.10</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2.10</v>
      </c>
      <c r="M46" s="850" t="str">
        <f>IF(J46=0,"",J46)</f>
        <v>Расходы на капитальный и текущий ремонт основных средств</v>
      </c>
      <c r="N46" s="85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2028</v>
      </c>
      <c r="P46" s="964" t="s">
        <v>2006</v>
      </c>
      <c r="Q46" s="964" t="s">
        <v>2028</v>
      </c>
      <c r="R46" s="964" t="s">
        <v>2006</v>
      </c>
      <c r="S46" s="964"/>
      <c r="T46" s="849" t="s">
        <v>2029</v>
      </c>
      <c r="U46" s="849" t="s">
        <v>2029</v>
      </c>
      <c r="V46" s="849" t="s">
        <v>2029</v>
      </c>
      <c r="W46" s="849" t="s">
        <v>2029</v>
      </c>
      <c r="X46" s="849"/>
      <c r="Y46" s="1007"/>
      <c r="Z46" s="852" t="s">
        <v>2030</v>
      </c>
      <c r="AA46" s="852" t="s">
        <v>2031</v>
      </c>
      <c r="AB46" s="852" t="s">
        <v>2031</v>
      </c>
      <c r="AC46" s="852" t="s">
        <v>2031</v>
      </c>
      <c r="AD46" s="852"/>
    </row>
    <row customHeight="1" ht="54">
      <c r="A47" s="851"/>
      <c r="B47" s="905">
        <v>30</v>
      </c>
      <c r="C47" s="849" t="s">
        <v>2032</v>
      </c>
      <c r="D47" s="974"/>
      <c r="E47" s="849"/>
      <c r="F47" s="849"/>
      <c r="G47" s="849"/>
      <c r="H47" s="897"/>
      <c r="I47" s="1012" t="str">
        <f>INDEX(TEMPLATE_NUMBER_POINT_FHD,B47,MATCH(TEMPLATE_SPHERE,TEMPLATE_SPHERE_LIST_FOR_NOTE,0))</f>
        <v>2.10.1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2.10.1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2033</v>
      </c>
      <c r="P47" s="964" t="s">
        <v>2010</v>
      </c>
      <c r="Q47" s="964" t="s">
        <v>2033</v>
      </c>
      <c r="R47" s="964" t="s">
        <v>2010</v>
      </c>
      <c r="S47" s="964"/>
      <c r="T47" s="849" t="s">
        <v>2034</v>
      </c>
      <c r="U47" s="849" t="s">
        <v>2034</v>
      </c>
      <c r="V47" s="849" t="s">
        <v>2034</v>
      </c>
      <c r="W47" s="849" t="s">
        <v>2034</v>
      </c>
      <c r="X47" s="849"/>
      <c r="Y47" s="1007"/>
      <c r="Z47" s="852"/>
      <c r="AA47" s="855"/>
      <c r="AB47" s="855"/>
      <c r="AC47" s="855"/>
      <c r="AD47" s="852"/>
    </row>
    <row customHeight="1" ht="54">
      <c r="A48" s="851"/>
      <c r="B48" s="905">
        <v>31</v>
      </c>
      <c r="C48" s="849">
        <v>16</v>
      </c>
      <c r="D48" s="974"/>
      <c r="E48" s="849"/>
      <c r="F48" s="849"/>
      <c r="G48" s="849"/>
      <c r="H48" s="897"/>
      <c r="I48" s="1012" t="str">
        <f>INDEX(TEMPLATE_NUMBER_POINT_FHD,B48,MATCH(TEMPLATE_SPHERE,TEMPLATE_SPHERE_LIST_FOR_NOTE,0))</f>
        <v>2.11</v>
      </c>
      <c r="J48" s="101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0" t="str">
        <f>IF(I48=0,"",I48)</f>
        <v>2.11</v>
      </c>
      <c r="M48" s="85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4"/>
      <c r="P48" s="964" t="s">
        <v>2017</v>
      </c>
      <c r="Q48" s="964" t="s">
        <v>2035</v>
      </c>
      <c r="R48" s="964" t="s">
        <v>2017</v>
      </c>
      <c r="S48" s="964"/>
      <c r="T48" s="849"/>
      <c r="U48" s="849" t="s">
        <v>2036</v>
      </c>
      <c r="V48" s="849" t="s">
        <v>2037</v>
      </c>
      <c r="W48" s="849" t="s">
        <v>2037</v>
      </c>
      <c r="X48" s="849"/>
      <c r="Y48" s="1007"/>
      <c r="Z48" s="852"/>
      <c r="AA48" s="855" t="s">
        <v>2031</v>
      </c>
      <c r="AB48" s="855" t="s">
        <v>2031</v>
      </c>
      <c r="AC48" s="855" t="s">
        <v>2031</v>
      </c>
      <c r="AD48" s="852"/>
    </row>
    <row customHeight="1" ht="54">
      <c r="A49" s="851"/>
      <c r="B49" s="905">
        <v>32</v>
      </c>
      <c r="C49" s="849" t="s">
        <v>2038</v>
      </c>
      <c r="D49" s="974"/>
      <c r="E49" s="849"/>
      <c r="F49" s="849"/>
      <c r="G49" s="849"/>
      <c r="H49" s="897"/>
      <c r="I49" s="1012" t="str">
        <f>INDEX(TEMPLATE_NUMBER_POINT_FHD,B49,MATCH(TEMPLATE_SPHERE,TEMPLATE_SPHERE_LIST_FOR_NOTE,0))</f>
        <v>2.11.1</v>
      </c>
      <c r="J49" s="101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2">
        <f>INDEX(TEMPLATE_NOTE_POINT_FHD,B49,MATCH(TEMPLATE_SPHERE,TEMPLATE_SPHERE_LIST_FOR_NOTE,0))</f>
        <v>0</v>
      </c>
      <c r="L49" s="850" t="str">
        <f>IF(I49=0,"",I49)</f>
        <v>2.11.1</v>
      </c>
      <c r="M49" s="85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0" t="str">
        <f>IF(K49=0,"",K49)</f>
        <v/>
      </c>
      <c r="O49" s="964"/>
      <c r="P49" s="964" t="s">
        <v>2021</v>
      </c>
      <c r="Q49" s="964" t="s">
        <v>2039</v>
      </c>
      <c r="R49" s="964" t="s">
        <v>2021</v>
      </c>
      <c r="S49" s="964"/>
      <c r="T49" s="849"/>
      <c r="U49" s="849" t="s">
        <v>2034</v>
      </c>
      <c r="V49" s="849" t="s">
        <v>2034</v>
      </c>
      <c r="W49" s="849" t="s">
        <v>2034</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2.12</v>
      </c>
      <c r="J50" s="1012"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0" t="str">
        <f>IF(I50=0,"",I50)</f>
        <v>2.12</v>
      </c>
      <c r="M50" s="85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4" t="s">
        <v>2035</v>
      </c>
      <c r="P50" s="964" t="s">
        <v>2028</v>
      </c>
      <c r="Q50" s="964" t="s">
        <v>2040</v>
      </c>
      <c r="R50" s="964" t="s">
        <v>2028</v>
      </c>
      <c r="S50" s="964"/>
      <c r="T50" s="849" t="s">
        <v>2041</v>
      </c>
      <c r="U50" s="849" t="s">
        <v>2042</v>
      </c>
      <c r="V50" s="849" t="s">
        <v>2043</v>
      </c>
      <c r="W50" s="849" t="s">
        <v>2044</v>
      </c>
      <c r="X50" s="849"/>
      <c r="Y50" s="1007"/>
      <c r="Z50" s="852" t="s">
        <v>2045</v>
      </c>
      <c r="AA50" s="855" t="s">
        <v>2046</v>
      </c>
      <c r="AB50" s="855" t="s">
        <v>2046</v>
      </c>
      <c r="AC50" s="855" t="s">
        <v>2046</v>
      </c>
      <c r="AD50" s="852"/>
    </row>
    <row customHeight="1" ht="27">
      <c r="A51" s="851"/>
      <c r="B51" s="905">
        <v>34</v>
      </c>
      <c r="C51" s="849" t="s">
        <v>2047</v>
      </c>
      <c r="D51" s="974"/>
      <c r="E51" s="849"/>
      <c r="F51" s="849"/>
      <c r="G51" s="849"/>
      <c r="H51" s="897"/>
      <c r="I51" s="1012">
        <f>INDEX(TEMPLATE_NUMBER_POINT_FHD,B51,MATCH(TEMPLATE_SPHERE,TEMPLATE_SPHERE_LIST_FOR_NOTE,0))</f>
        <v>0</v>
      </c>
      <c r="J51" s="1012">
        <f>INDEX(TEMPLATE_DATA_POINT_FHD,B51,MATCH(TEMPLATE_SPHERE,TEMPLATE_SPHERE_LIST_FOR_NOTE,0))</f>
        <v>0</v>
      </c>
      <c r="K51" s="1012">
        <f>INDEX(TEMPLATE_NOTE_POINT_FHD,B51,MATCH(TEMPLATE_SPHERE,TEMPLATE_SPHERE_LIST_FOR_NOTE,0))</f>
        <v>0</v>
      </c>
      <c r="L51" s="850" t="str">
        <f>IF(I51=0,"",I51)</f>
        <v/>
      </c>
      <c r="M51" s="850" t="str">
        <f>IF(J51=0,"",J51)</f>
        <v/>
      </c>
      <c r="N51" s="850" t="str">
        <f>IF(K51=0,"",K51)</f>
        <v/>
      </c>
      <c r="O51" s="964" t="s">
        <v>88</v>
      </c>
      <c r="P51" s="964"/>
      <c r="Q51" s="964"/>
      <c r="R51" s="964"/>
      <c r="S51" s="964"/>
      <c r="T51" s="849" t="s">
        <v>2048</v>
      </c>
      <c r="U51" s="849"/>
      <c r="V51" s="849"/>
      <c r="W51" s="849"/>
      <c r="X51" s="849"/>
      <c r="Y51" s="1007"/>
      <c r="Z51" s="852"/>
      <c r="AA51" s="855"/>
      <c r="AB51" s="855"/>
      <c r="AC51" s="855"/>
      <c r="AD51" s="852"/>
    </row>
    <row customHeight="1" ht="36">
      <c r="A52" s="851"/>
      <c r="B52" s="905">
        <v>35</v>
      </c>
      <c r="C52" s="849" t="s">
        <v>1940</v>
      </c>
      <c r="D52" s="974" t="s">
        <v>1940</v>
      </c>
      <c r="E52" s="849" t="s">
        <v>1940</v>
      </c>
      <c r="F52" s="849" t="s">
        <v>1940</v>
      </c>
      <c r="G52" s="849"/>
      <c r="H52" s="897"/>
      <c r="I52" s="1012" t="str">
        <f>INDEX(TEMPLATE_NUMBER_POINT_FHD,B52,MATCH(TEMPLATE_SPHERE,TEMPLATE_SPHERE_LIST_FOR_NOTE,0))</f>
        <v>3</v>
      </c>
      <c r="J52" s="1012"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3</v>
      </c>
      <c r="M52" s="850" t="str">
        <f>IF(J52=0,"",J52)</f>
        <v>Чистая прибыль, полученная от регулируемого вида деятельности в сфере холодного водоснабжения, в том числе:</v>
      </c>
      <c r="N52" s="850" t="str">
        <f>IF(K52=0,"",K52)</f>
        <v>Указывается общая сумма чистой прибыли, полученной от регулируемого вида деятельности.</v>
      </c>
      <c r="O52" s="964" t="s">
        <v>89</v>
      </c>
      <c r="P52" s="964" t="s">
        <v>88</v>
      </c>
      <c r="Q52" s="964" t="s">
        <v>88</v>
      </c>
      <c r="R52" s="964" t="s">
        <v>88</v>
      </c>
      <c r="S52" s="964"/>
      <c r="T52" s="849" t="s">
        <v>2049</v>
      </c>
      <c r="U52" s="849" t="s">
        <v>2050</v>
      </c>
      <c r="V52" s="849" t="s">
        <v>2051</v>
      </c>
      <c r="W52" s="849" t="s">
        <v>2052</v>
      </c>
      <c r="X52" s="849"/>
      <c r="Y52" s="1007"/>
      <c r="Z52" s="852" t="s">
        <v>647</v>
      </c>
      <c r="AA52" s="855" t="s">
        <v>647</v>
      </c>
      <c r="AB52" s="855" t="s">
        <v>647</v>
      </c>
      <c r="AC52" s="855" t="s">
        <v>647</v>
      </c>
      <c r="AD52" s="852"/>
    </row>
    <row customHeight="1" ht="36">
      <c r="A53" s="851"/>
      <c r="B53" s="905">
        <v>36</v>
      </c>
      <c r="C53" s="849">
        <v>1</v>
      </c>
      <c r="D53" s="974"/>
      <c r="E53" s="849"/>
      <c r="F53" s="849"/>
      <c r="G53" s="849"/>
      <c r="H53" s="897"/>
      <c r="I53" s="1012" t="str">
        <f>INDEX(TEMPLATE_NUMBER_POINT_FHD,B53,MATCH(TEMPLATE_SPHERE,TEMPLATE_SPHERE_LIST_FOR_NOTE,0))</f>
        <v>3.1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3.1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651</v>
      </c>
      <c r="P53" s="964" t="s">
        <v>314</v>
      </c>
      <c r="Q53" s="964" t="s">
        <v>314</v>
      </c>
      <c r="R53" s="964" t="s">
        <v>314</v>
      </c>
      <c r="S53" s="964"/>
      <c r="T53" s="849" t="s">
        <v>2053</v>
      </c>
      <c r="U53" s="849" t="s">
        <v>2053</v>
      </c>
      <c r="V53" s="849" t="s">
        <v>2053</v>
      </c>
      <c r="W53" s="849" t="s">
        <v>2053</v>
      </c>
      <c r="X53" s="849"/>
      <c r="Y53" s="1007"/>
      <c r="Z53" s="852"/>
      <c r="AA53" s="855"/>
      <c r="AB53" s="852"/>
      <c r="AC53" s="852"/>
      <c r="AD53" s="852"/>
    </row>
    <row customHeight="1" ht="18">
      <c r="A54" s="851"/>
      <c r="B54" s="905">
        <v>37</v>
      </c>
      <c r="C54" s="849" t="s">
        <v>1946</v>
      </c>
      <c r="D54" s="974" t="s">
        <v>1946</v>
      </c>
      <c r="E54" s="849" t="s">
        <v>1946</v>
      </c>
      <c r="F54" s="849" t="s">
        <v>1946</v>
      </c>
      <c r="G54" s="849"/>
      <c r="H54" s="897"/>
      <c r="I54" s="1012" t="str">
        <f>INDEX(TEMPLATE_NUMBER_POINT_FHD,B54,MATCH(TEMPLATE_SPHERE,TEMPLATE_SPHERE_LIST_FOR_NOTE,0))</f>
        <v>4</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4</v>
      </c>
      <c r="M54" s="850" t="str">
        <f>IF(J54=0,"",J54)</f>
        <v>Изменение стоимости основных фондов, в том числе:</v>
      </c>
      <c r="N54" s="850" t="str">
        <f>IF(K54=0,"",K54)</f>
        <v>Указывается общее изменение стоимости основных фондов.</v>
      </c>
      <c r="O54" s="964" t="s">
        <v>109</v>
      </c>
      <c r="P54" s="964" t="s">
        <v>89</v>
      </c>
      <c r="Q54" s="964" t="s">
        <v>89</v>
      </c>
      <c r="R54" s="964" t="s">
        <v>89</v>
      </c>
      <c r="S54" s="964"/>
      <c r="T54" s="849" t="s">
        <v>649</v>
      </c>
      <c r="U54" s="849" t="s">
        <v>649</v>
      </c>
      <c r="V54" s="849" t="s">
        <v>649</v>
      </c>
      <c r="W54" s="849" t="s">
        <v>649</v>
      </c>
      <c r="X54" s="849"/>
      <c r="Y54" s="1007"/>
      <c r="Z54" s="852" t="s">
        <v>650</v>
      </c>
      <c r="AA54" s="852" t="s">
        <v>650</v>
      </c>
      <c r="AB54" s="852" t="s">
        <v>650</v>
      </c>
      <c r="AC54" s="852" t="s">
        <v>650</v>
      </c>
      <c r="AD54" s="852"/>
    </row>
    <row customHeight="1" ht="36">
      <c r="A55" s="851"/>
      <c r="B55" s="905">
        <v>38</v>
      </c>
      <c r="C55" s="849">
        <v>1</v>
      </c>
      <c r="D55" s="974"/>
      <c r="E55" s="849"/>
      <c r="F55" s="849"/>
      <c r="G55" s="849"/>
      <c r="H55" s="897"/>
      <c r="I55" s="1012" t="str">
        <f>INDEX(TEMPLATE_NUMBER_POINT_FHD,B55,MATCH(TEMPLATE_SPHERE,TEMPLATE_SPHERE_LIST_FOR_NOTE,0))</f>
        <v>4.1</v>
      </c>
      <c r="J55" s="1012" t="str">
        <f>INDEX(TEMPLATE_DATA_POINT_FHD,B55,MATCH(TEMPLATE_SPHERE,TEMPLATE_SPHERE_LIST_FOR_NOTE,0))</f>
        <v>Изменение стоимости основных фондов за счет их ввода в эксплуатацию (вывода из эксплуатации)</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4.1</v>
      </c>
      <c r="M55" s="850" t="str">
        <f>IF(J55=0,"",J55)</f>
        <v>Изменение стоимости основных фондов за счет их ввода в эксплуатацию (вывода из эксплуатации)</v>
      </c>
      <c r="N55" s="850" t="str">
        <f>IF(K55=0,"",K55)</f>
        <v>Указываются общее изменение стоимости основных фондов за счет их ввода в эксплуатацию и вывода из эксплуатации.</v>
      </c>
      <c r="O55" s="964" t="s">
        <v>303</v>
      </c>
      <c r="P55" s="964" t="s">
        <v>651</v>
      </c>
      <c r="Q55" s="964" t="s">
        <v>651</v>
      </c>
      <c r="R55" s="964" t="s">
        <v>651</v>
      </c>
      <c r="S55" s="964"/>
      <c r="T55" s="849" t="s">
        <v>2054</v>
      </c>
      <c r="U55" s="849" t="s">
        <v>2055</v>
      </c>
      <c r="V55" s="849" t="s">
        <v>2055</v>
      </c>
      <c r="W55" s="849" t="s">
        <v>2055</v>
      </c>
      <c r="X55" s="849"/>
      <c r="Y55" s="1007"/>
      <c r="Z55" s="852" t="s">
        <v>2056</v>
      </c>
      <c r="AA55" s="852" t="s">
        <v>2056</v>
      </c>
      <c r="AB55" s="852" t="s">
        <v>2056</v>
      </c>
      <c r="AC55" s="852" t="s">
        <v>2056</v>
      </c>
      <c r="AD55" s="852"/>
    </row>
    <row customHeight="1" ht="27">
      <c r="A56" s="851"/>
      <c r="B56" s="905">
        <v>39</v>
      </c>
      <c r="C56" s="849" t="s">
        <v>920</v>
      </c>
      <c r="D56" s="974"/>
      <c r="E56" s="849"/>
      <c r="F56" s="849"/>
      <c r="G56" s="849"/>
      <c r="H56" s="897"/>
      <c r="I56" s="1012" t="str">
        <f>INDEX(TEMPLATE_NUMBER_POINT_FHD,B56,MATCH(TEMPLATE_SPHERE,TEMPLATE_SPHERE_LIST_FOR_NOTE,0))</f>
        <v>4.1.1</v>
      </c>
      <c r="J56" s="1012" t="str">
        <f>INDEX(TEMPLATE_DATA_POINT_FHD,B56,MATCH(TEMPLATE_SPHERE,TEMPLATE_SPHERE_LIST_FOR_NOTE,0))</f>
        <v>Изменение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4.1.1</v>
      </c>
      <c r="M56" s="850" t="str">
        <f>IF(J56=0,"",J56)</f>
        <v>Изменение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1046</v>
      </c>
      <c r="P56" s="964" t="s">
        <v>654</v>
      </c>
      <c r="Q56" s="964" t="s">
        <v>654</v>
      </c>
      <c r="R56" s="964" t="s">
        <v>654</v>
      </c>
      <c r="S56" s="964"/>
      <c r="T56" s="849" t="s">
        <v>2057</v>
      </c>
      <c r="U56" s="849" t="s">
        <v>2058</v>
      </c>
      <c r="V56" s="849" t="s">
        <v>2058</v>
      </c>
      <c r="W56" s="849" t="s">
        <v>2058</v>
      </c>
      <c r="X56" s="849"/>
      <c r="Y56" s="1007"/>
      <c r="Z56" s="852" t="s">
        <v>656</v>
      </c>
      <c r="AA56" s="852" t="s">
        <v>656</v>
      </c>
      <c r="AB56" s="852" t="s">
        <v>656</v>
      </c>
      <c r="AC56" s="852" t="s">
        <v>656</v>
      </c>
      <c r="AD56" s="852"/>
    </row>
    <row customHeight="1" ht="27">
      <c r="A57" s="851"/>
      <c r="B57" s="905">
        <v>40</v>
      </c>
      <c r="C57" s="849" t="s">
        <v>922</v>
      </c>
      <c r="D57" s="974"/>
      <c r="E57" s="849"/>
      <c r="F57" s="849"/>
      <c r="G57" s="849"/>
      <c r="H57" s="897"/>
      <c r="I57" s="1012" t="str">
        <f>INDEX(TEMPLATE_NUMBER_POINT_FHD,B57,MATCH(TEMPLATE_SPHERE,TEMPLATE_SPHERE_LIST_FOR_NOTE,0))</f>
        <v>4.1.2</v>
      </c>
      <c r="J57" s="1012" t="str">
        <f>INDEX(TEMPLATE_DATA_POINT_FHD,B57,MATCH(TEMPLATE_SPHERE,TEMPLATE_SPHERE_LIST_FOR_NOTE,0))</f>
        <v>Изменение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4.1.2</v>
      </c>
      <c r="M57" s="850" t="str">
        <f>IF(J57=0,"",J57)</f>
        <v>Изменение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2059</v>
      </c>
      <c r="P57" s="964" t="s">
        <v>657</v>
      </c>
      <c r="Q57" s="964" t="s">
        <v>657</v>
      </c>
      <c r="R57" s="964" t="s">
        <v>657</v>
      </c>
      <c r="S57" s="964"/>
      <c r="T57" s="849" t="s">
        <v>2060</v>
      </c>
      <c r="U57" s="849" t="s">
        <v>2061</v>
      </c>
      <c r="V57" s="849" t="s">
        <v>2061</v>
      </c>
      <c r="W57" s="849" t="s">
        <v>2061</v>
      </c>
      <c r="X57" s="849"/>
      <c r="Y57" s="1007"/>
      <c r="Z57" s="852" t="s">
        <v>659</v>
      </c>
      <c r="AA57" s="852" t="s">
        <v>659</v>
      </c>
      <c r="AB57" s="852" t="s">
        <v>659</v>
      </c>
      <c r="AC57" s="852" t="s">
        <v>659</v>
      </c>
      <c r="AD57" s="852"/>
    </row>
    <row customHeight="1" ht="18">
      <c r="A58" s="851"/>
      <c r="B58" s="905">
        <v>41</v>
      </c>
      <c r="C58" s="849">
        <v>2</v>
      </c>
      <c r="D58" s="974"/>
      <c r="E58" s="849"/>
      <c r="F58" s="849"/>
      <c r="G58" s="849"/>
      <c r="H58" s="897"/>
      <c r="I58" s="1012" t="str">
        <f>INDEX(TEMPLATE_NUMBER_POINT_FHD,B58,MATCH(TEMPLATE_SPHERE,TEMPLATE_SPHERE_LIST_FOR_NOTE,0))</f>
        <v>4.2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4.2</v>
      </c>
      <c r="M58" s="850" t="str">
        <f>IF(J58=0,"",J58)</f>
        <v>Изменение стоимости основных фондов за счет их переоценки</v>
      </c>
      <c r="N58" s="850" t="str">
        <f>IF(K58=0,"",K58)</f>
        <v/>
      </c>
      <c r="O58" s="964" t="s">
        <v>305</v>
      </c>
      <c r="P58" s="964" t="s">
        <v>694</v>
      </c>
      <c r="Q58" s="964" t="s">
        <v>694</v>
      </c>
      <c r="R58" s="964" t="s">
        <v>694</v>
      </c>
      <c r="S58" s="964"/>
      <c r="T58" s="849" t="s">
        <v>2062</v>
      </c>
      <c r="U58" s="849" t="s">
        <v>2062</v>
      </c>
      <c r="V58" s="849" t="s">
        <v>2062</v>
      </c>
      <c r="W58" s="849" t="s">
        <v>2062</v>
      </c>
      <c r="X58" s="849"/>
      <c r="Y58" s="1007"/>
      <c r="Z58" s="852"/>
      <c r="AA58" s="855"/>
      <c r="AB58" s="852"/>
      <c r="AC58" s="852"/>
      <c r="AD58" s="852"/>
    </row>
    <row customHeight="1" ht="36">
      <c r="A59" s="851"/>
      <c r="B59" s="905">
        <v>42</v>
      </c>
      <c r="C59" s="849">
        <v>3</v>
      </c>
      <c r="D59" s="974" t="s">
        <v>2047</v>
      </c>
      <c r="E59" s="849" t="s">
        <v>2047</v>
      </c>
      <c r="F59" s="849" t="s">
        <v>2047</v>
      </c>
      <c r="G59" s="849"/>
      <c r="H59" s="897"/>
      <c r="I59" s="1012" t="str">
        <f>INDEX(TEMPLATE_NUMBER_POINT_FHD,B59,MATCH(TEMPLATE_SPHERE,TEMPLATE_SPHERE_LIST_FOR_NOTE,0))</f>
        <v>5</v>
      </c>
      <c r="J59" s="1012"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2">
        <f>INDEX(TEMPLATE_NOTE_POINT_FHD,B59,MATCH(TEMPLATE_SPHERE,TEMPLATE_SPHERE_LIST_FOR_NOTE,0))</f>
        <v>0</v>
      </c>
      <c r="L59" s="850" t="str">
        <f>IF(I59=0,"",I59)</f>
        <v>5</v>
      </c>
      <c r="M59" s="850" t="str">
        <f>IF(J59=0,"",J59)</f>
        <v>Валовая прибыль (убытки) от продажи товаров и услуг по регулируемым видам деятельности в сфере холодного водоснабжения</v>
      </c>
      <c r="N59" s="850" t="str">
        <f>IF(K59=0,"",K59)</f>
        <v/>
      </c>
      <c r="O59" s="964"/>
      <c r="P59" s="964" t="s">
        <v>109</v>
      </c>
      <c r="Q59" s="964" t="s">
        <v>109</v>
      </c>
      <c r="R59" s="964" t="s">
        <v>109</v>
      </c>
      <c r="S59" s="964"/>
      <c r="T59" s="849"/>
      <c r="U59" s="849" t="s">
        <v>2063</v>
      </c>
      <c r="V59" s="849" t="s">
        <v>2064</v>
      </c>
      <c r="W59" s="849" t="s">
        <v>2065</v>
      </c>
      <c r="X59" s="849"/>
      <c r="Y59" s="1007"/>
      <c r="Z59" s="852"/>
      <c r="AA59" s="855"/>
      <c r="AB59" s="852"/>
      <c r="AC59" s="852"/>
      <c r="AD59" s="852"/>
    </row>
    <row customHeight="1" ht="81">
      <c r="A60" s="851"/>
      <c r="B60" s="905">
        <v>43</v>
      </c>
      <c r="C60" s="849" t="s">
        <v>2066</v>
      </c>
      <c r="D60" s="974" t="s">
        <v>2066</v>
      </c>
      <c r="E60" s="849" t="s">
        <v>2066</v>
      </c>
      <c r="F60" s="849" t="s">
        <v>2066</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4" t="s">
        <v>90</v>
      </c>
      <c r="P60" s="964" t="s">
        <v>90</v>
      </c>
      <c r="Q60" s="964" t="s">
        <v>90</v>
      </c>
      <c r="R60" s="964" t="s">
        <v>90</v>
      </c>
      <c r="S60" s="964"/>
      <c r="T60" s="849" t="s">
        <v>663</v>
      </c>
      <c r="U60" s="849" t="s">
        <v>663</v>
      </c>
      <c r="V60" s="849" t="s">
        <v>663</v>
      </c>
      <c r="W60" s="849" t="s">
        <v>663</v>
      </c>
      <c r="X60" s="849"/>
      <c r="Y60" s="1007"/>
      <c r="Z60" s="852" t="s">
        <v>2067</v>
      </c>
      <c r="AA60" s="855" t="s">
        <v>2068</v>
      </c>
      <c r="AB60" s="852" t="s">
        <v>2069</v>
      </c>
      <c r="AC60" s="852" t="s">
        <v>2068</v>
      </c>
      <c r="AD60" s="852"/>
    </row>
    <row customHeight="1" ht="9">
      <c r="A61" s="851"/>
      <c r="B61" s="905">
        <v>44</v>
      </c>
      <c r="C61" s="849"/>
      <c r="D61" s="974" t="s">
        <v>2070</v>
      </c>
      <c r="E61" s="849"/>
      <c r="F61" s="849"/>
      <c r="G61" s="849"/>
      <c r="H61" s="897"/>
      <c r="I61" s="1012" t="str">
        <f>INDEX(TEMPLATE_NUMBER_POINT_FHD,B61,MATCH(TEMPLATE_SPHERE,TEMPLATE_SPHERE_LIST_FOR_NOTE,0))</f>
        <v>7</v>
      </c>
      <c r="J61" s="1012" t="str">
        <f>INDEX(TEMPLATE_DATA_POINT_FHD,B61,MATCH(TEMPLATE_SPHERE,TEMPLATE_SPHERE_LIST_FOR_NOTE,0))</f>
        <v>Объём поднятой воды</v>
      </c>
      <c r="K61" s="1012">
        <f>INDEX(TEMPLATE_NOTE_POINT_FHD,B61,MATCH(TEMPLATE_SPHERE,TEMPLATE_SPHERE_LIST_FOR_NOTE,0))</f>
        <v>0</v>
      </c>
      <c r="L61" s="850" t="str">
        <f>IF(I61=0,"",I61)</f>
        <v>7</v>
      </c>
      <c r="M61" s="850" t="str">
        <f>IF(J61=0,"",J61)</f>
        <v>Объём поднятой воды</v>
      </c>
      <c r="N61" s="850" t="str">
        <f>IF(K61=0,"",K61)</f>
        <v/>
      </c>
      <c r="O61" s="964"/>
      <c r="P61" s="964" t="s">
        <v>91</v>
      </c>
      <c r="Q61" s="964"/>
      <c r="R61" s="964"/>
      <c r="S61" s="964"/>
      <c r="T61" s="849"/>
      <c r="U61" s="849" t="s">
        <v>2071</v>
      </c>
      <c r="V61" s="849"/>
      <c r="W61" s="849"/>
      <c r="X61" s="849"/>
      <c r="Y61" s="1007"/>
      <c r="Z61" s="852"/>
      <c r="AA61" s="855"/>
      <c r="AB61" s="852"/>
      <c r="AC61" s="852"/>
      <c r="AD61" s="852"/>
    </row>
    <row customHeight="1" ht="9">
      <c r="A62" s="851"/>
      <c r="B62" s="905">
        <v>45</v>
      </c>
      <c r="C62" s="849"/>
      <c r="D62" s="974" t="s">
        <v>2072</v>
      </c>
      <c r="E62" s="849"/>
      <c r="F62" s="849"/>
      <c r="G62" s="849"/>
      <c r="H62" s="897"/>
      <c r="I62" s="1012" t="str">
        <f>INDEX(TEMPLATE_NUMBER_POINT_FHD,B62,MATCH(TEMPLATE_SPHERE,TEMPLATE_SPHERE_LIST_FOR_NOTE,0))</f>
        <v>8</v>
      </c>
      <c r="J62" s="1012" t="str">
        <f>INDEX(TEMPLATE_DATA_POINT_FHD,B62,MATCH(TEMPLATE_SPHERE,TEMPLATE_SPHERE_LIST_FOR_NOTE,0))</f>
        <v>Объём покупной воды</v>
      </c>
      <c r="K62" s="1012">
        <f>INDEX(TEMPLATE_NOTE_POINT_FHD,B62,MATCH(TEMPLATE_SPHERE,TEMPLATE_SPHERE_LIST_FOR_NOTE,0))</f>
        <v>0</v>
      </c>
      <c r="L62" s="850" t="str">
        <f>IF(I62=0,"",I62)</f>
        <v>8</v>
      </c>
      <c r="M62" s="850" t="str">
        <f>IF(J62=0,"",J62)</f>
        <v>Объём покупной воды</v>
      </c>
      <c r="N62" s="850" t="str">
        <f>IF(K62=0,"",K62)</f>
        <v/>
      </c>
      <c r="O62" s="964"/>
      <c r="P62" s="964" t="s">
        <v>110</v>
      </c>
      <c r="Q62" s="964"/>
      <c r="R62" s="964"/>
      <c r="S62" s="964"/>
      <c r="T62" s="849"/>
      <c r="U62" s="849" t="s">
        <v>2073</v>
      </c>
      <c r="V62" s="849"/>
      <c r="W62" s="849"/>
      <c r="X62" s="849"/>
      <c r="Y62" s="1007"/>
      <c r="Z62" s="852"/>
      <c r="AA62" s="855"/>
      <c r="AB62" s="852"/>
      <c r="AC62" s="852"/>
      <c r="AD62" s="852"/>
    </row>
    <row customHeight="1" ht="18">
      <c r="A63" s="851"/>
      <c r="B63" s="905">
        <v>46</v>
      </c>
      <c r="C63" s="849"/>
      <c r="D63" s="974" t="s">
        <v>2074</v>
      </c>
      <c r="E63" s="849"/>
      <c r="F63" s="849"/>
      <c r="G63" s="849"/>
      <c r="H63" s="897"/>
      <c r="I63" s="1012" t="str">
        <f>INDEX(TEMPLATE_NUMBER_POINT_FHD,B63,MATCH(TEMPLATE_SPHERE,TEMPLATE_SPHERE_LIST_FOR_NOTE,0))</f>
        <v>9</v>
      </c>
      <c r="J63" s="1012" t="str">
        <f>INDEX(TEMPLATE_DATA_POINT_FHD,B63,MATCH(TEMPLATE_SPHERE,TEMPLATE_SPHERE_LIST_FOR_NOTE,0))</f>
        <v>Объём воды, пропущенной через очистные сооружения</v>
      </c>
      <c r="K63" s="1012">
        <f>INDEX(TEMPLATE_NOTE_POINT_FHD,B63,MATCH(TEMPLATE_SPHERE,TEMPLATE_SPHERE_LIST_FOR_NOTE,0))</f>
        <v>0</v>
      </c>
      <c r="L63" s="850" t="str">
        <f>IF(I63=0,"",I63)</f>
        <v>9</v>
      </c>
      <c r="M63" s="850" t="str">
        <f>IF(J63=0,"",J63)</f>
        <v>Объём воды, пропущенной через очистные сооружения</v>
      </c>
      <c r="N63" s="850" t="str">
        <f>IF(K63=0,"",K63)</f>
        <v/>
      </c>
      <c r="O63" s="964"/>
      <c r="P63" s="964" t="s">
        <v>146</v>
      </c>
      <c r="Q63" s="964"/>
      <c r="R63" s="964"/>
      <c r="S63" s="964"/>
      <c r="T63" s="849"/>
      <c r="U63" s="849" t="s">
        <v>2075</v>
      </c>
      <c r="V63" s="849"/>
      <c r="W63" s="849"/>
      <c r="X63" s="849"/>
      <c r="Y63" s="1007"/>
      <c r="Z63" s="852"/>
      <c r="AA63" s="855"/>
      <c r="AB63" s="852"/>
      <c r="AC63" s="852"/>
      <c r="AD63" s="852"/>
    </row>
    <row customHeight="1" ht="18">
      <c r="A64" s="851"/>
      <c r="B64" s="905">
        <v>47</v>
      </c>
      <c r="C64" s="849"/>
      <c r="D64" s="974" t="s">
        <v>2076</v>
      </c>
      <c r="E64" s="849"/>
      <c r="F64" s="849"/>
      <c r="G64" s="849"/>
      <c r="H64" s="897"/>
      <c r="I64" s="1012" t="str">
        <f>INDEX(TEMPLATE_NUMBER_POINT_FHD,B64,MATCH(TEMPLATE_SPHERE,TEMPLATE_SPHERE_LIST_FOR_NOTE,0))</f>
        <v>10</v>
      </c>
      <c r="J64" s="1012" t="str">
        <f>INDEX(TEMPLATE_DATA_POINT_FHD,B64,MATCH(TEMPLATE_SPHERE,TEMPLATE_SPHERE_LIST_FOR_NOTE,0))</f>
        <v>Объём отпущенной потребителям воды, в том числе:</v>
      </c>
      <c r="K64" s="1012" t="str">
        <f>INDEX(TEMPLATE_NOTE_POINT_FHD,B64,MATCH(TEMPLATE_SPHERE,TEMPLATE_SPHERE_LIST_FOR_NOTE,0))</f>
        <v>Указывается общий объем отпущенной потребителям воды.</v>
      </c>
      <c r="L64" s="850" t="str">
        <f>IF(I64=0,"",I64)</f>
        <v>10</v>
      </c>
      <c r="M64" s="850" t="str">
        <f>IF(J64=0,"",J64)</f>
        <v>Объём отпущенной потребителям воды, в том числе:</v>
      </c>
      <c r="N64" s="850" t="str">
        <f>IF(K64=0,"",K64)</f>
        <v>Указывается общий объем отпущенной потребителям воды.</v>
      </c>
      <c r="O64" s="964"/>
      <c r="P64" s="964" t="s">
        <v>147</v>
      </c>
      <c r="Q64" s="964"/>
      <c r="R64" s="964"/>
      <c r="S64" s="964"/>
      <c r="T64" s="849"/>
      <c r="U64" s="849" t="s">
        <v>2077</v>
      </c>
      <c r="V64" s="849"/>
      <c r="W64" s="849"/>
      <c r="X64" s="849"/>
      <c r="Y64" s="1007"/>
      <c r="Z64" s="852"/>
      <c r="AA64" s="855" t="s">
        <v>2078</v>
      </c>
      <c r="AB64" s="852"/>
      <c r="AC64" s="852"/>
      <c r="AD64" s="852"/>
    </row>
    <row customHeight="1" ht="18">
      <c r="A65" s="851"/>
      <c r="B65" s="905">
        <v>48</v>
      </c>
      <c r="C65" s="849"/>
      <c r="D65" s="974"/>
      <c r="E65" s="849"/>
      <c r="F65" s="849"/>
      <c r="G65" s="849"/>
      <c r="H65" s="897"/>
      <c r="I65" s="1012" t="str">
        <f>INDEX(TEMPLATE_NUMBER_POINT_FHD,B65,MATCH(TEMPLATE_SPHERE,TEMPLATE_SPHERE_LIST_FOR_NOTE,0))</f>
        <v>10.1</v>
      </c>
      <c r="J65" s="1012" t="str">
        <f>INDEX(TEMPLATE_DATA_POINT_FHD,B65,MATCH(TEMPLATE_SPHERE,TEMPLATE_SPHERE_LIST_FOR_NOTE,0))</f>
        <v>Объём отпущенной потребителям воды, определенный по приборам учета</v>
      </c>
      <c r="K65" s="1012">
        <f>INDEX(TEMPLATE_NOTE_POINT_FHD,B65,MATCH(TEMPLATE_SPHERE,TEMPLATE_SPHERE_LIST_FOR_NOTE,0))</f>
        <v>0</v>
      </c>
      <c r="L65" s="850" t="str">
        <f>IF(I65=0,"",I65)</f>
        <v>10.1</v>
      </c>
      <c r="M65" s="850" t="str">
        <f>IF(J65=0,"",J65)</f>
        <v>Объём отпущенной потребителям воды, определенный по приборам учета</v>
      </c>
      <c r="N65" s="850" t="str">
        <f>IF(K65=0,"",K65)</f>
        <v/>
      </c>
      <c r="O65" s="964"/>
      <c r="P65" s="964" t="s">
        <v>1988</v>
      </c>
      <c r="Q65" s="964"/>
      <c r="R65" s="964"/>
      <c r="S65" s="964"/>
      <c r="T65" s="849"/>
      <c r="U65" s="849" t="s">
        <v>2079</v>
      </c>
      <c r="V65" s="849"/>
      <c r="W65" s="849"/>
      <c r="X65" s="849"/>
      <c r="Y65" s="1007"/>
      <c r="Z65" s="852"/>
      <c r="AA65" s="855"/>
      <c r="AB65" s="852"/>
      <c r="AC65" s="852"/>
      <c r="AD65" s="852"/>
    </row>
    <row customHeight="1" ht="18">
      <c r="A66" s="851"/>
      <c r="B66" s="905">
        <v>49</v>
      </c>
      <c r="C66" s="849"/>
      <c r="D66" s="974"/>
      <c r="E66" s="849"/>
      <c r="F66" s="849"/>
      <c r="G66" s="849"/>
      <c r="H66" s="897"/>
      <c r="I66" s="1012" t="str">
        <f>INDEX(TEMPLATE_NUMBER_POINT_FHD,B66,MATCH(TEMPLATE_SPHERE,TEMPLATE_SPHERE_LIST_FOR_NOTE,0))</f>
        <v>10.2</v>
      </c>
      <c r="J66" s="1012" t="str">
        <f>INDEX(TEMPLATE_DATA_POINT_FHD,B66,MATCH(TEMPLATE_SPHERE,TEMPLATE_SPHERE_LIST_FOR_NOTE,0))</f>
        <v>Объём отпущенной потребителям воды, определенный расчетным способом</v>
      </c>
      <c r="K66" s="1012">
        <f>INDEX(TEMPLATE_NOTE_POINT_FHD,B66,MATCH(TEMPLATE_SPHERE,TEMPLATE_SPHERE_LIST_FOR_NOTE,0))</f>
        <v>0</v>
      </c>
      <c r="L66" s="850" t="str">
        <f>IF(I66=0,"",I66)</f>
        <v>10.2</v>
      </c>
      <c r="M66" s="850" t="str">
        <f>IF(J66=0,"",J66)</f>
        <v>Объём отпущенной потребителям воды, определенный расчетным способом</v>
      </c>
      <c r="N66" s="850" t="str">
        <f>IF(K66=0,"",K66)</f>
        <v/>
      </c>
      <c r="O66" s="964"/>
      <c r="P66" s="964" t="s">
        <v>1992</v>
      </c>
      <c r="Q66" s="964"/>
      <c r="R66" s="964"/>
      <c r="S66" s="964"/>
      <c r="T66" s="849"/>
      <c r="U66" s="849" t="s">
        <v>2080</v>
      </c>
      <c r="V66" s="849"/>
      <c r="W66" s="849"/>
      <c r="X66" s="849"/>
      <c r="Y66" s="1007"/>
      <c r="Z66" s="852"/>
      <c r="AA66" s="855"/>
      <c r="AB66" s="852"/>
      <c r="AC66" s="852"/>
      <c r="AD66" s="852"/>
    </row>
    <row customHeight="1" ht="27">
      <c r="A67" s="851"/>
      <c r="B67" s="905">
        <v>50</v>
      </c>
      <c r="C67" s="849"/>
      <c r="D67" s="974"/>
      <c r="E67" s="849"/>
      <c r="F67" s="849"/>
      <c r="G67" s="849"/>
      <c r="H67" s="897"/>
      <c r="I67" s="1012" t="str">
        <f>INDEX(TEMPLATE_NUMBER_POINT_FHD,B67,MATCH(TEMPLATE_SPHERE,TEMPLATE_SPHERE_LIST_FOR_NOTE,0))</f>
        <v>10.2.1</v>
      </c>
      <c r="J67" s="1012"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2">
        <f>INDEX(TEMPLATE_NOTE_POINT_FHD,B67,MATCH(TEMPLATE_SPHERE,TEMPLATE_SPHERE_LIST_FOR_NOTE,0))</f>
        <v>0</v>
      </c>
      <c r="L67" s="850" t="str">
        <f>IF(I67=0,"",I67)</f>
        <v>10.2.1</v>
      </c>
      <c r="M67" s="850" t="str">
        <f>IF(J67=0,"",J67)</f>
        <v>Объём отпущенной потребителям воды, определенный по нормативам потребления коммунальных услуг</v>
      </c>
      <c r="N67" s="850" t="str">
        <f>IF(K67=0,"",K67)</f>
        <v/>
      </c>
      <c r="O67" s="964"/>
      <c r="P67" s="964" t="s">
        <v>2081</v>
      </c>
      <c r="Q67" s="964"/>
      <c r="R67" s="964"/>
      <c r="S67" s="964"/>
      <c r="T67" s="849"/>
      <c r="U67" s="849" t="s">
        <v>2082</v>
      </c>
      <c r="V67" s="849"/>
      <c r="W67" s="849"/>
      <c r="X67" s="849"/>
      <c r="Y67" s="1007"/>
      <c r="Z67" s="852"/>
      <c r="AA67" s="855"/>
      <c r="AB67" s="852"/>
      <c r="AC67" s="852"/>
      <c r="AD67" s="852"/>
    </row>
    <row customHeight="1" ht="27">
      <c r="A68" s="851"/>
      <c r="B68" s="905">
        <v>51</v>
      </c>
      <c r="C68" s="849"/>
      <c r="D68" s="974"/>
      <c r="E68" s="849"/>
      <c r="F68" s="849"/>
      <c r="G68" s="849"/>
      <c r="H68" s="897"/>
      <c r="I68" s="1012" t="str">
        <f>INDEX(TEMPLATE_NUMBER_POINT_FHD,B68,MATCH(TEMPLATE_SPHERE,TEMPLATE_SPHERE_LIST_FOR_NOTE,0))</f>
        <v>10.2.2</v>
      </c>
      <c r="J68" s="1012"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2">
        <f>INDEX(TEMPLATE_NOTE_POINT_FHD,B68,MATCH(TEMPLATE_SPHERE,TEMPLATE_SPHERE_LIST_FOR_NOTE,0))</f>
        <v>0</v>
      </c>
      <c r="L68" s="850" t="str">
        <f>IF(I68=0,"",I68)</f>
        <v>10.2.2</v>
      </c>
      <c r="M68" s="850" t="str">
        <f>IF(J68=0,"",J68)</f>
        <v>Объём отпущенной потребителям воды, определенный по нормативам потребления коммунальных ресурсов </v>
      </c>
      <c r="N68" s="850" t="str">
        <f>IF(K68=0,"",K68)</f>
        <v/>
      </c>
      <c r="O68" s="964"/>
      <c r="P68" s="964" t="s">
        <v>2083</v>
      </c>
      <c r="Q68" s="964"/>
      <c r="R68" s="964"/>
      <c r="S68" s="964"/>
      <c r="T68" s="849"/>
      <c r="U68" s="849" t="s">
        <v>2084</v>
      </c>
      <c r="V68" s="849"/>
      <c r="W68" s="849"/>
      <c r="X68" s="849"/>
      <c r="Y68" s="1007"/>
      <c r="Z68" s="852"/>
      <c r="AA68" s="855"/>
      <c r="AB68" s="852"/>
      <c r="AC68" s="852"/>
      <c r="AD68" s="852"/>
    </row>
    <row customHeight="1" ht="9">
      <c r="A69" s="851"/>
      <c r="B69" s="905">
        <v>52</v>
      </c>
      <c r="C69" s="849"/>
      <c r="D69" s="974" t="s">
        <v>2085</v>
      </c>
      <c r="E69" s="849"/>
      <c r="F69" s="849"/>
      <c r="G69" s="849"/>
      <c r="H69" s="897"/>
      <c r="I69" s="1012" t="str">
        <f>INDEX(TEMPLATE_NUMBER_POINT_FHD,B69,MATCH(TEMPLATE_SPHERE,TEMPLATE_SPHERE_LIST_FOR_NOTE,0))</f>
        <v>11</v>
      </c>
      <c r="J69" s="1012" t="str">
        <f>INDEX(TEMPLATE_DATA_POINT_FHD,B69,MATCH(TEMPLATE_SPHERE,TEMPLATE_SPHERE_LIST_FOR_NOTE,0))</f>
        <v>Потери воды в сетях</v>
      </c>
      <c r="K69" s="1012">
        <f>INDEX(TEMPLATE_NOTE_POINT_FHD,B69,MATCH(TEMPLATE_SPHERE,TEMPLATE_SPHERE_LIST_FOR_NOTE,0))</f>
        <v>0</v>
      </c>
      <c r="L69" s="850" t="str">
        <f>IF(I69=0,"",I69)</f>
        <v>11</v>
      </c>
      <c r="M69" s="850" t="str">
        <f>IF(J69=0,"",J69)</f>
        <v>Потери воды в сетях</v>
      </c>
      <c r="N69" s="850" t="str">
        <f>IF(K69=0,"",K69)</f>
        <v/>
      </c>
      <c r="O69" s="964"/>
      <c r="P69" s="964" t="s">
        <v>148</v>
      </c>
      <c r="Q69" s="964"/>
      <c r="R69" s="964"/>
      <c r="S69" s="964"/>
      <c r="T69" s="849"/>
      <c r="U69" s="849" t="s">
        <v>2086</v>
      </c>
      <c r="V69" s="849"/>
      <c r="W69" s="849"/>
      <c r="X69" s="849"/>
      <c r="Y69" s="1007"/>
      <c r="Z69" s="852"/>
      <c r="AA69" s="855"/>
      <c r="AB69" s="852"/>
      <c r="AC69" s="852"/>
      <c r="AD69" s="852"/>
    </row>
    <row customHeight="1" ht="27">
      <c r="A70" s="851"/>
      <c r="B70" s="905">
        <v>53</v>
      </c>
      <c r="C70" s="849"/>
      <c r="D70" s="974"/>
      <c r="E70" s="849" t="s">
        <v>2070</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91</v>
      </c>
      <c r="R70" s="964"/>
      <c r="S70" s="964"/>
      <c r="T70" s="849"/>
      <c r="U70" s="849"/>
      <c r="V70" s="849" t="s">
        <v>2087</v>
      </c>
      <c r="W70" s="849"/>
      <c r="X70" s="849"/>
      <c r="Y70" s="1007"/>
      <c r="Z70" s="852"/>
      <c r="AA70" s="855"/>
      <c r="AB70" s="852"/>
      <c r="AC70" s="852"/>
      <c r="AD70" s="852"/>
    </row>
    <row customHeight="1" ht="36">
      <c r="A71" s="851"/>
      <c r="B71" s="905">
        <v>54</v>
      </c>
      <c r="C71" s="849"/>
      <c r="D71" s="974"/>
      <c r="E71" s="849" t="s">
        <v>2072</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110</v>
      </c>
      <c r="R71" s="964"/>
      <c r="S71" s="964"/>
      <c r="T71" s="849"/>
      <c r="U71" s="849"/>
      <c r="V71" s="849" t="s">
        <v>2088</v>
      </c>
      <c r="W71" s="849"/>
      <c r="X71" s="849"/>
      <c r="Y71" s="1007"/>
      <c r="Z71" s="852"/>
      <c r="AA71" s="855"/>
      <c r="AB71" s="852"/>
      <c r="AC71" s="852"/>
      <c r="AD71" s="852"/>
    </row>
    <row customHeight="1" ht="27">
      <c r="A72" s="851"/>
      <c r="B72" s="905">
        <v>55</v>
      </c>
      <c r="C72" s="849"/>
      <c r="D72" s="974"/>
      <c r="E72" s="849" t="s">
        <v>2074</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146</v>
      </c>
      <c r="R72" s="964"/>
      <c r="S72" s="964"/>
      <c r="T72" s="849"/>
      <c r="U72" s="849"/>
      <c r="V72" s="849" t="s">
        <v>2089</v>
      </c>
      <c r="W72" s="849"/>
      <c r="X72" s="849"/>
      <c r="Y72" s="1007"/>
      <c r="Z72" s="852"/>
      <c r="AA72" s="855"/>
      <c r="AB72" s="852"/>
      <c r="AC72" s="852"/>
      <c r="AD72" s="852"/>
    </row>
    <row customHeight="1" ht="36">
      <c r="A73" s="851"/>
      <c r="B73" s="905">
        <v>56</v>
      </c>
      <c r="C73" s="849"/>
      <c r="D73" s="974"/>
      <c r="E73" s="849" t="s">
        <v>2076</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147</v>
      </c>
      <c r="R73" s="964"/>
      <c r="S73" s="964"/>
      <c r="T73" s="849"/>
      <c r="U73" s="849"/>
      <c r="V73" s="849" t="s">
        <v>2090</v>
      </c>
      <c r="W73" s="849"/>
      <c r="X73" s="849"/>
      <c r="Y73" s="1007"/>
      <c r="Z73" s="852"/>
      <c r="AA73" s="855"/>
      <c r="AB73" s="852"/>
      <c r="AC73" s="852"/>
      <c r="AD73" s="852"/>
    </row>
    <row customHeight="1" ht="18">
      <c r="A74" s="851"/>
      <c r="B74" s="905">
        <v>57</v>
      </c>
      <c r="C74" s="849"/>
      <c r="D74" s="974"/>
      <c r="E74" s="849" t="s">
        <v>2085</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148</v>
      </c>
      <c r="R74" s="964"/>
      <c r="S74" s="964"/>
      <c r="T74" s="849"/>
      <c r="U74" s="849"/>
      <c r="V74" s="849" t="s">
        <v>2091</v>
      </c>
      <c r="W74" s="849"/>
      <c r="X74" s="849"/>
      <c r="Y74" s="1007"/>
      <c r="Z74" s="852"/>
      <c r="AA74" s="855"/>
      <c r="AB74" s="852"/>
      <c r="AC74" s="852"/>
      <c r="AD74" s="852"/>
    </row>
    <row customHeight="1" ht="18">
      <c r="A75" s="851"/>
      <c r="B75" s="905">
        <v>58</v>
      </c>
      <c r="C75" s="849"/>
      <c r="D75" s="974"/>
      <c r="E75" s="849"/>
      <c r="F75" s="849" t="s">
        <v>2070</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91</v>
      </c>
      <c r="S75" s="964"/>
      <c r="T75" s="849"/>
      <c r="U75" s="849"/>
      <c r="V75" s="849"/>
      <c r="W75" s="849" t="s">
        <v>2092</v>
      </c>
      <c r="X75" s="849"/>
      <c r="Y75" s="1007"/>
      <c r="Z75" s="852"/>
      <c r="AA75" s="855"/>
      <c r="AB75" s="852"/>
      <c r="AC75" s="852"/>
      <c r="AD75" s="852"/>
    </row>
    <row customHeight="1" ht="36">
      <c r="A76" s="851"/>
      <c r="B76" s="905">
        <v>59</v>
      </c>
      <c r="C76" s="849"/>
      <c r="D76" s="974"/>
      <c r="E76" s="849"/>
      <c r="F76" s="849" t="s">
        <v>2072</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110</v>
      </c>
      <c r="S76" s="964"/>
      <c r="T76" s="849"/>
      <c r="U76" s="849"/>
      <c r="V76" s="849"/>
      <c r="W76" s="849" t="s">
        <v>2093</v>
      </c>
      <c r="X76" s="849"/>
      <c r="Y76" s="1007"/>
      <c r="Z76" s="852"/>
      <c r="AA76" s="855"/>
      <c r="AB76" s="852"/>
      <c r="AC76" s="852"/>
      <c r="AD76" s="852"/>
    </row>
    <row customHeight="1" ht="18">
      <c r="A77" s="851"/>
      <c r="B77" s="905">
        <v>60</v>
      </c>
      <c r="C77" s="849"/>
      <c r="D77" s="974"/>
      <c r="E77" s="849"/>
      <c r="F77" s="849" t="s">
        <v>2074</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146</v>
      </c>
      <c r="S77" s="964"/>
      <c r="T77" s="849"/>
      <c r="U77" s="849"/>
      <c r="V77" s="849"/>
      <c r="W77" s="849" t="s">
        <v>2094</v>
      </c>
      <c r="X77" s="849"/>
      <c r="Y77" s="1007"/>
      <c r="Z77" s="852"/>
      <c r="AA77" s="855"/>
      <c r="AB77" s="852"/>
      <c r="AC77" s="852"/>
      <c r="AD77" s="852"/>
    </row>
    <row customHeight="1" ht="72">
      <c r="A78" s="851"/>
      <c r="B78" s="905">
        <v>61</v>
      </c>
      <c r="C78" s="849" t="s">
        <v>2070</v>
      </c>
      <c r="D78" s="974"/>
      <c r="E78" s="849"/>
      <c r="F78" s="849"/>
      <c r="G78" s="849"/>
      <c r="H78" s="897"/>
      <c r="I78" s="1012">
        <f>INDEX(TEMPLATE_NUMBER_POINT_FHD,B78,MATCH(TEMPLATE_SPHERE,TEMPLATE_SPHERE_LIST_FOR_NOTE,0))</f>
        <v>0</v>
      </c>
      <c r="J78" s="1012">
        <f>INDEX(TEMPLATE_DATA_POINT_FHD,B78,MATCH(TEMPLATE_SPHERE,TEMPLATE_SPHERE_LIST_FOR_NOTE,0))</f>
        <v>0</v>
      </c>
      <c r="K78" s="1012">
        <f>INDEX(TEMPLATE_NOTE_POINT_FHD,B78,MATCH(TEMPLATE_SPHERE,TEMPLATE_SPHERE_LIST_FOR_NOTE,0))</f>
        <v>0</v>
      </c>
      <c r="L78" s="850" t="str">
        <f>IF(I78=0,"",I78)</f>
        <v/>
      </c>
      <c r="M78" s="850" t="str">
        <f>IF(J78=0,"",J78)</f>
        <v/>
      </c>
      <c r="N78" s="850" t="str">
        <f>IF(K78=0,"",K78)</f>
        <v/>
      </c>
      <c r="O78" s="964" t="s">
        <v>91</v>
      </c>
      <c r="P78" s="964"/>
      <c r="Q78" s="964"/>
      <c r="R78" s="964"/>
      <c r="S78" s="964"/>
      <c r="T78" s="849" t="s">
        <v>2095</v>
      </c>
      <c r="U78" s="849"/>
      <c r="V78" s="849"/>
      <c r="W78" s="849"/>
      <c r="X78" s="849"/>
      <c r="Y78" s="1007"/>
      <c r="Z78" s="852" t="s">
        <v>2096</v>
      </c>
      <c r="AA78" s="855"/>
      <c r="AB78" s="852"/>
      <c r="AC78" s="852"/>
      <c r="AD78" s="852"/>
    </row>
    <row customHeight="1" ht="36">
      <c r="A79" s="851"/>
      <c r="B79" s="905">
        <v>62</v>
      </c>
      <c r="C79" s="849" t="s">
        <v>2072</v>
      </c>
      <c r="D79" s="974"/>
      <c r="E79" s="849"/>
      <c r="F79" s="849"/>
      <c r="G79" s="849"/>
      <c r="H79" s="897"/>
      <c r="I79" s="1012">
        <f>INDEX(TEMPLATE_NUMBER_POINT_FHD,B79,MATCH(TEMPLATE_SPHERE,TEMPLATE_SPHERE_LIST_FOR_NOTE,0))</f>
        <v>0</v>
      </c>
      <c r="J79" s="1012">
        <f>INDEX(TEMPLATE_DATA_POINT_FHD,B79,MATCH(TEMPLATE_SPHERE,TEMPLATE_SPHERE_LIST_FOR_NOTE,0))</f>
        <v>0</v>
      </c>
      <c r="K79" s="1012">
        <f>INDEX(TEMPLATE_NOTE_POINT_FHD,B79,MATCH(TEMPLATE_SPHERE,TEMPLATE_SPHERE_LIST_FOR_NOTE,0))</f>
        <v>0</v>
      </c>
      <c r="L79" s="850" t="str">
        <f>IF(I79=0,"",I79)</f>
        <v/>
      </c>
      <c r="M79" s="850" t="str">
        <f>IF(J79=0,"",J79)</f>
        <v/>
      </c>
      <c r="N79" s="850" t="str">
        <f>IF(K79=0,"",K79)</f>
        <v/>
      </c>
      <c r="O79" s="964" t="s">
        <v>110</v>
      </c>
      <c r="P79" s="964"/>
      <c r="Q79" s="964"/>
      <c r="R79" s="964"/>
      <c r="S79" s="964"/>
      <c r="T79" s="849" t="s">
        <v>2097</v>
      </c>
      <c r="U79" s="849"/>
      <c r="V79" s="849"/>
      <c r="W79" s="849"/>
      <c r="X79" s="849"/>
      <c r="Y79" s="1007"/>
      <c r="Z79" s="852" t="s">
        <v>2098</v>
      </c>
      <c r="AA79" s="855"/>
      <c r="AB79" s="852"/>
      <c r="AC79" s="852"/>
      <c r="AD79" s="852"/>
    </row>
    <row customHeight="1" ht="45">
      <c r="A80" s="851"/>
      <c r="B80" s="905">
        <v>63</v>
      </c>
      <c r="C80" s="849" t="s">
        <v>2074</v>
      </c>
      <c r="D80" s="974"/>
      <c r="E80" s="849"/>
      <c r="F80" s="849"/>
      <c r="G80" s="849"/>
      <c r="H80" s="897"/>
      <c r="I80" s="1012">
        <f>INDEX(TEMPLATE_NUMBER_POINT_FHD,B80,MATCH(TEMPLATE_SPHERE,TEMPLATE_SPHERE_LIST_FOR_NOTE,0))</f>
        <v>0</v>
      </c>
      <c r="J80" s="1012">
        <f>INDEX(TEMPLATE_DATA_POINT_FHD,B80,MATCH(TEMPLATE_SPHERE,TEMPLATE_SPHERE_LIST_FOR_NOTE,0))</f>
        <v>0</v>
      </c>
      <c r="K80" s="1012">
        <f>INDEX(TEMPLATE_NOTE_POINT_FHD,B80,MATCH(TEMPLATE_SPHERE,TEMPLATE_SPHERE_LIST_FOR_NOTE,0))</f>
        <v>0</v>
      </c>
      <c r="L80" s="850" t="str">
        <f>IF(I80=0,"",I80)</f>
        <v/>
      </c>
      <c r="M80" s="850" t="str">
        <f>IF(J80=0,"",J80)</f>
        <v/>
      </c>
      <c r="N80" s="850" t="str">
        <f>IF(K80=0,"",K80)</f>
        <v/>
      </c>
      <c r="O80" s="964" t="s">
        <v>146</v>
      </c>
      <c r="P80" s="964"/>
      <c r="Q80" s="964"/>
      <c r="R80" s="964"/>
      <c r="S80" s="964"/>
      <c r="T80" s="849" t="s">
        <v>2099</v>
      </c>
      <c r="U80" s="849"/>
      <c r="V80" s="849"/>
      <c r="W80" s="849"/>
      <c r="X80" s="849"/>
      <c r="Y80" s="1007"/>
      <c r="Z80" s="852" t="s">
        <v>2100</v>
      </c>
      <c r="AA80" s="855"/>
      <c r="AB80" s="852"/>
      <c r="AC80" s="852"/>
      <c r="AD80" s="852"/>
    </row>
    <row customHeight="1" ht="36">
      <c r="A81" s="851"/>
      <c r="B81" s="905">
        <v>64</v>
      </c>
      <c r="C81" s="849" t="s">
        <v>2076</v>
      </c>
      <c r="D81" s="974"/>
      <c r="E81" s="849"/>
      <c r="F81" s="849"/>
      <c r="G81" s="849"/>
      <c r="H81" s="897"/>
      <c r="I81" s="1012">
        <f>INDEX(TEMPLATE_NUMBER_POINT_FHD,B81,MATCH(TEMPLATE_SPHERE,TEMPLATE_SPHERE_LIST_FOR_NOTE,0))</f>
        <v>0</v>
      </c>
      <c r="J81" s="1012">
        <f>INDEX(TEMPLATE_DATA_POINT_FHD,B81,MATCH(TEMPLATE_SPHERE,TEMPLATE_SPHERE_LIST_FOR_NOTE,0))</f>
        <v>0</v>
      </c>
      <c r="K81" s="1012">
        <f>INDEX(TEMPLATE_NOTE_POINT_FHD,B81,MATCH(TEMPLATE_SPHERE,TEMPLATE_SPHERE_LIST_FOR_NOTE,0))</f>
        <v>0</v>
      </c>
      <c r="L81" s="850" t="str">
        <f>IF(I81=0,"",I81)</f>
        <v/>
      </c>
      <c r="M81" s="850" t="str">
        <f>IF(J81=0,"",J81)</f>
        <v/>
      </c>
      <c r="N81" s="850" t="str">
        <f>IF(K81=0,"",K81)</f>
        <v/>
      </c>
      <c r="O81" s="964" t="s">
        <v>1979</v>
      </c>
      <c r="P81" s="964"/>
      <c r="Q81" s="964"/>
      <c r="R81" s="964"/>
      <c r="S81" s="964"/>
      <c r="T81" s="849" t="s">
        <v>2101</v>
      </c>
      <c r="U81" s="849"/>
      <c r="V81" s="849"/>
      <c r="W81" s="849"/>
      <c r="X81" s="849"/>
      <c r="Y81" s="1007"/>
      <c r="Z81" s="852" t="s">
        <v>2102</v>
      </c>
      <c r="AA81" s="855"/>
      <c r="AB81" s="852"/>
      <c r="AC81" s="852"/>
      <c r="AD81" s="852"/>
    </row>
    <row customHeight="1" ht="90">
      <c r="A82" s="851"/>
      <c r="B82" s="905">
        <v>65</v>
      </c>
      <c r="C82" s="849" t="s">
        <v>2085</v>
      </c>
      <c r="D82" s="974"/>
      <c r="E82" s="849"/>
      <c r="F82" s="849"/>
      <c r="G82" s="849"/>
      <c r="H82" s="897"/>
      <c r="I82" s="1012">
        <f>INDEX(TEMPLATE_NUMBER_POINT_FHD,B82,MATCH(TEMPLATE_SPHERE,TEMPLATE_SPHERE_LIST_FOR_NOTE,0))</f>
        <v>0</v>
      </c>
      <c r="J82" s="1012">
        <f>INDEX(TEMPLATE_DATA_POINT_FHD,B82,MATCH(TEMPLATE_SPHERE,TEMPLATE_SPHERE_LIST_FOR_NOTE,0))</f>
        <v>0</v>
      </c>
      <c r="K82" s="1012">
        <f>INDEX(TEMPLATE_NOTE_POINT_FHD,B82,MATCH(TEMPLATE_SPHERE,TEMPLATE_SPHERE_LIST_FOR_NOTE,0))</f>
        <v>0</v>
      </c>
      <c r="L82" s="850" t="str">
        <f>IF(I82=0,"",I82)</f>
        <v/>
      </c>
      <c r="M82" s="850" t="str">
        <f>IF(J82=0,"",J82)</f>
        <v/>
      </c>
      <c r="N82" s="850" t="str">
        <f>IF(K82=0,"",K82)</f>
        <v/>
      </c>
      <c r="O82" s="964" t="s">
        <v>147</v>
      </c>
      <c r="P82" s="964"/>
      <c r="Q82" s="964"/>
      <c r="R82" s="964"/>
      <c r="S82" s="964"/>
      <c r="T82" s="849" t="s">
        <v>2103</v>
      </c>
      <c r="U82" s="849"/>
      <c r="V82" s="849"/>
      <c r="W82" s="849"/>
      <c r="X82" s="849"/>
      <c r="Y82" s="1007"/>
      <c r="Z82" s="852" t="s">
        <v>2104</v>
      </c>
      <c r="AA82" s="855"/>
      <c r="AB82" s="852"/>
      <c r="AC82" s="852"/>
      <c r="AD82" s="852"/>
    </row>
    <row customHeight="1" ht="9">
      <c r="A83" s="851"/>
      <c r="B83" s="905">
        <v>66</v>
      </c>
      <c r="C83" s="849"/>
      <c r="D83" s="974"/>
      <c r="E83" s="849"/>
      <c r="F83" s="849"/>
      <c r="G83" s="849"/>
      <c r="H83" s="897"/>
      <c r="I83" s="1012">
        <f>INDEX(TEMPLATE_NUMBER_POINT_FHD,B83,MATCH(TEMPLATE_SPHERE,TEMPLATE_SPHERE_LIST_FOR_NOTE,0))</f>
        <v>0</v>
      </c>
      <c r="J83" s="1012">
        <f>INDEX(TEMPLATE_DATA_POINT_FHD,B83,MATCH(TEMPLATE_SPHERE,TEMPLATE_SPHERE_LIST_FOR_NOTE,0))</f>
        <v>0</v>
      </c>
      <c r="K83" s="1012">
        <f>INDEX(TEMPLATE_NOTE_POINT_FHD,B83,MATCH(TEMPLATE_SPHERE,TEMPLATE_SPHERE_LIST_FOR_NOTE,0))</f>
        <v>0</v>
      </c>
      <c r="L83" s="850" t="str">
        <f>IF(I83=0,"",I83)</f>
        <v/>
      </c>
      <c r="M83" s="850" t="str">
        <f>IF(J83=0,"",J83)</f>
        <v/>
      </c>
      <c r="N83" s="850" t="str">
        <f>IF(K83=0,"",K83)</f>
        <v/>
      </c>
      <c r="O83" s="964" t="s">
        <v>1988</v>
      </c>
      <c r="P83" s="964"/>
      <c r="Q83" s="964"/>
      <c r="R83" s="964"/>
      <c r="S83" s="964"/>
      <c r="T83" s="849" t="s">
        <v>2105</v>
      </c>
      <c r="U83" s="849"/>
      <c r="V83" s="849"/>
      <c r="W83" s="849"/>
      <c r="X83" s="849"/>
      <c r="Y83" s="1007"/>
      <c r="Z83" s="852"/>
      <c r="AA83" s="855"/>
      <c r="AB83" s="852"/>
      <c r="AC83" s="852"/>
      <c r="AD83" s="852"/>
    </row>
    <row customHeight="1" ht="54">
      <c r="A84" s="851"/>
      <c r="B84" s="905">
        <v>67</v>
      </c>
      <c r="C84" s="849"/>
      <c r="D84" s="974"/>
      <c r="E84" s="849"/>
      <c r="F84" s="849"/>
      <c r="G84" s="849"/>
      <c r="H84" s="897"/>
      <c r="I84" s="1012">
        <f>INDEX(TEMPLATE_NUMBER_POINT_FHD,B84,MATCH(TEMPLATE_SPHERE,TEMPLATE_SPHERE_LIST_FOR_NOTE,0))</f>
        <v>0</v>
      </c>
      <c r="J84" s="1012">
        <f>INDEX(TEMPLATE_DATA_POINT_FHD,B84,MATCH(TEMPLATE_SPHERE,TEMPLATE_SPHERE_LIST_FOR_NOTE,0))</f>
        <v>0</v>
      </c>
      <c r="K84" s="1012">
        <f>INDEX(TEMPLATE_NOTE_POINT_FHD,B84,MATCH(TEMPLATE_SPHERE,TEMPLATE_SPHERE_LIST_FOR_NOTE,0))</f>
        <v>0</v>
      </c>
      <c r="L84" s="850" t="str">
        <f>IF(I84=0,"",I84)</f>
        <v/>
      </c>
      <c r="M84" s="850" t="str">
        <f>IF(J84=0,"",J84)</f>
        <v/>
      </c>
      <c r="N84" s="850" t="str">
        <f>IF(K84=0,"",K84)</f>
        <v/>
      </c>
      <c r="O84" s="964" t="s">
        <v>2106</v>
      </c>
      <c r="P84" s="964"/>
      <c r="Q84" s="964"/>
      <c r="R84" s="964"/>
      <c r="S84" s="964"/>
      <c r="T84" s="849" t="s">
        <v>2107</v>
      </c>
      <c r="U84" s="849"/>
      <c r="V84" s="849"/>
      <c r="W84" s="849"/>
      <c r="X84" s="849"/>
      <c r="Y84" s="1007"/>
      <c r="Z84" s="852"/>
      <c r="AA84" s="855"/>
      <c r="AB84" s="852"/>
      <c r="AC84" s="852"/>
      <c r="AD84" s="852"/>
    </row>
    <row customHeight="1" ht="9">
      <c r="A85" s="851"/>
      <c r="B85" s="905">
        <v>68</v>
      </c>
      <c r="C85" s="849"/>
      <c r="D85" s="974"/>
      <c r="E85" s="849"/>
      <c r="F85" s="849"/>
      <c r="G85" s="849"/>
      <c r="H85" s="897"/>
      <c r="I85" s="1012">
        <f>INDEX(TEMPLATE_NUMBER_POINT_FHD,B85,MATCH(TEMPLATE_SPHERE,TEMPLATE_SPHERE_LIST_FOR_NOTE,0))</f>
        <v>0</v>
      </c>
      <c r="J85" s="1012">
        <f>INDEX(TEMPLATE_DATA_POINT_FHD,B85,MATCH(TEMPLATE_SPHERE,TEMPLATE_SPHERE_LIST_FOR_NOTE,0))</f>
        <v>0</v>
      </c>
      <c r="K85" s="1012">
        <f>INDEX(TEMPLATE_NOTE_POINT_FHD,B85,MATCH(TEMPLATE_SPHERE,TEMPLATE_SPHERE_LIST_FOR_NOTE,0))</f>
        <v>0</v>
      </c>
      <c r="L85" s="850" t="str">
        <f>IF(I85=0,"",I85)</f>
        <v/>
      </c>
      <c r="M85" s="850" t="str">
        <f>IF(J85=0,"",J85)</f>
        <v/>
      </c>
      <c r="N85" s="850" t="str">
        <f>IF(K85=0,"",K85)</f>
        <v/>
      </c>
      <c r="O85" s="964" t="s">
        <v>1992</v>
      </c>
      <c r="P85" s="964"/>
      <c r="Q85" s="964"/>
      <c r="R85" s="964"/>
      <c r="S85" s="964"/>
      <c r="T85" s="849" t="s">
        <v>2108</v>
      </c>
      <c r="U85" s="849"/>
      <c r="V85" s="849"/>
      <c r="W85" s="849"/>
      <c r="X85" s="849"/>
      <c r="Y85" s="1007"/>
      <c r="Z85" s="852"/>
      <c r="AA85" s="855"/>
      <c r="AB85" s="852"/>
      <c r="AC85" s="852"/>
      <c r="AD85" s="852"/>
    </row>
    <row customHeight="1" ht="27">
      <c r="A86" s="851"/>
      <c r="B86" s="905">
        <v>69</v>
      </c>
      <c r="C86" s="849"/>
      <c r="D86" s="974"/>
      <c r="E86" s="849"/>
      <c r="F86" s="849"/>
      <c r="G86" s="849"/>
      <c r="H86" s="897"/>
      <c r="I86" s="1012">
        <f>INDEX(TEMPLATE_NUMBER_POINT_FHD,B86,MATCH(TEMPLATE_SPHERE,TEMPLATE_SPHERE_LIST_FOR_NOTE,0))</f>
        <v>0</v>
      </c>
      <c r="J86" s="1012">
        <f>INDEX(TEMPLATE_DATA_POINT_FHD,B86,MATCH(TEMPLATE_SPHERE,TEMPLATE_SPHERE_LIST_FOR_NOTE,0))</f>
        <v>0</v>
      </c>
      <c r="K86" s="1012">
        <f>INDEX(TEMPLATE_NOTE_POINT_FHD,B86,MATCH(TEMPLATE_SPHERE,TEMPLATE_SPHERE_LIST_FOR_NOTE,0))</f>
        <v>0</v>
      </c>
      <c r="L86" s="850" t="str">
        <f>IF(I86=0,"",I86)</f>
        <v/>
      </c>
      <c r="M86" s="850" t="str">
        <f>IF(J86=0,"",J86)</f>
        <v/>
      </c>
      <c r="N86" s="850" t="str">
        <f>IF(K86=0,"",K86)</f>
        <v/>
      </c>
      <c r="O86" s="964" t="s">
        <v>2109</v>
      </c>
      <c r="P86" s="964"/>
      <c r="Q86" s="964"/>
      <c r="R86" s="964"/>
      <c r="S86" s="964"/>
      <c r="T86" s="849" t="s">
        <v>2110</v>
      </c>
      <c r="U86" s="849"/>
      <c r="V86" s="849"/>
      <c r="W86" s="849"/>
      <c r="X86" s="849"/>
      <c r="Y86" s="1007"/>
      <c r="Z86" s="852"/>
      <c r="AA86" s="855"/>
      <c r="AB86" s="852"/>
      <c r="AC86" s="852"/>
      <c r="AD86" s="852"/>
    </row>
    <row customHeight="1" ht="36">
      <c r="A87" s="851"/>
      <c r="B87" s="905">
        <v>70</v>
      </c>
      <c r="C87" s="849" t="s">
        <v>2111</v>
      </c>
      <c r="D87" s="974"/>
      <c r="E87" s="849"/>
      <c r="F87" s="849"/>
      <c r="G87" s="849"/>
      <c r="H87" s="897"/>
      <c r="I87" s="1012">
        <f>INDEX(TEMPLATE_NUMBER_POINT_FHD,B87,MATCH(TEMPLATE_SPHERE,TEMPLATE_SPHERE_LIST_FOR_NOTE,0))</f>
        <v>0</v>
      </c>
      <c r="J87" s="1012">
        <f>INDEX(TEMPLATE_DATA_POINT_FHD,B87,MATCH(TEMPLATE_SPHERE,TEMPLATE_SPHERE_LIST_FOR_NOTE,0))</f>
        <v>0</v>
      </c>
      <c r="K87" s="1012">
        <f>INDEX(TEMPLATE_NOTE_POINT_FHD,B87,MATCH(TEMPLATE_SPHERE,TEMPLATE_SPHERE_LIST_FOR_NOTE,0))</f>
        <v>0</v>
      </c>
      <c r="L87" s="850" t="str">
        <f>IF(I87=0,"",I87)</f>
        <v/>
      </c>
      <c r="M87" s="850" t="str">
        <f>IF(J87=0,"",J87)</f>
        <v/>
      </c>
      <c r="N87" s="850" t="str">
        <f>IF(K87=0,"",K87)</f>
        <v/>
      </c>
      <c r="O87" s="964" t="s">
        <v>148</v>
      </c>
      <c r="P87" s="964"/>
      <c r="Q87" s="964"/>
      <c r="R87" s="964"/>
      <c r="S87" s="964"/>
      <c r="T87" s="849" t="s">
        <v>2112</v>
      </c>
      <c r="U87" s="849"/>
      <c r="V87" s="849"/>
      <c r="W87" s="849"/>
      <c r="X87" s="849"/>
      <c r="Y87" s="1007"/>
      <c r="Z87" s="852"/>
      <c r="AA87" s="855"/>
      <c r="AB87" s="852"/>
      <c r="AC87" s="852"/>
      <c r="AD87" s="852"/>
    </row>
    <row customHeight="1" ht="18">
      <c r="A88" s="851"/>
      <c r="B88" s="905">
        <v>71</v>
      </c>
      <c r="C88" s="849" t="s">
        <v>2113</v>
      </c>
      <c r="D88" s="974"/>
      <c r="E88" s="849"/>
      <c r="F88" s="849"/>
      <c r="G88" s="849"/>
      <c r="H88" s="897"/>
      <c r="I88" s="1012">
        <f>INDEX(TEMPLATE_NUMBER_POINT_FHD,B88,MATCH(TEMPLATE_SPHERE,TEMPLATE_SPHERE_LIST_FOR_NOTE,0))</f>
        <v>0</v>
      </c>
      <c r="J88" s="1012">
        <f>INDEX(TEMPLATE_DATA_POINT_FHD,B88,MATCH(TEMPLATE_SPHERE,TEMPLATE_SPHERE_LIST_FOR_NOTE,0))</f>
        <v>0</v>
      </c>
      <c r="K88" s="1012">
        <f>INDEX(TEMPLATE_NOTE_POINT_FHD,B88,MATCH(TEMPLATE_SPHERE,TEMPLATE_SPHERE_LIST_FOR_NOTE,0))</f>
        <v>0</v>
      </c>
      <c r="L88" s="850" t="str">
        <f>IF(I88=0,"",I88)</f>
        <v/>
      </c>
      <c r="M88" s="850" t="str">
        <f>IF(J88=0,"",J88)</f>
        <v/>
      </c>
      <c r="N88" s="850" t="str">
        <f>IF(K88=0,"",K88)</f>
        <v/>
      </c>
      <c r="O88" s="964" t="s">
        <v>149</v>
      </c>
      <c r="P88" s="964"/>
      <c r="Q88" s="964"/>
      <c r="R88" s="964"/>
      <c r="S88" s="964"/>
      <c r="T88" s="849" t="s">
        <v>2114</v>
      </c>
      <c r="U88" s="849"/>
      <c r="V88" s="849"/>
      <c r="W88" s="849"/>
      <c r="X88" s="849"/>
      <c r="Y88" s="1007"/>
      <c r="Z88" s="852"/>
      <c r="AA88" s="855"/>
      <c r="AB88" s="852"/>
      <c r="AC88" s="852"/>
      <c r="AD88" s="852"/>
    </row>
    <row customHeight="1" ht="18">
      <c r="A89" s="851"/>
      <c r="B89" s="905">
        <v>72</v>
      </c>
      <c r="C89" s="849" t="s">
        <v>2115</v>
      </c>
      <c r="D89" s="974" t="s">
        <v>2111</v>
      </c>
      <c r="E89" s="849" t="s">
        <v>2111</v>
      </c>
      <c r="F89" s="849" t="s">
        <v>2076</v>
      </c>
      <c r="G89" s="849"/>
      <c r="H89" s="897"/>
      <c r="I89" s="1012" t="str">
        <f>INDEX(TEMPLATE_NUMBER_POINT_FHD,B89,MATCH(TEMPLATE_SPHERE,TEMPLATE_SPHERE_LIST_FOR_NOTE,0))</f>
        <v>12</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12</v>
      </c>
      <c r="M89" s="850" t="str">
        <f>IF(J89=0,"",J89)</f>
        <v>Среднесписочная численность основного производственного персонала</v>
      </c>
      <c r="N89" s="850" t="str">
        <f>IF(K89=0,"",K89)</f>
        <v/>
      </c>
      <c r="O89" s="964" t="s">
        <v>150</v>
      </c>
      <c r="P89" s="964" t="s">
        <v>149</v>
      </c>
      <c r="Q89" s="964" t="s">
        <v>149</v>
      </c>
      <c r="R89" s="964" t="s">
        <v>147</v>
      </c>
      <c r="S89" s="964"/>
      <c r="T89" s="849" t="s">
        <v>2116</v>
      </c>
      <c r="U89" s="849" t="s">
        <v>2116</v>
      </c>
      <c r="V89" s="849" t="s">
        <v>2116</v>
      </c>
      <c r="W89" s="849" t="s">
        <v>2116</v>
      </c>
      <c r="X89" s="849"/>
      <c r="Y89" s="1007"/>
      <c r="Z89" s="852"/>
      <c r="AA89" s="855"/>
      <c r="AB89" s="852"/>
      <c r="AC89" s="852"/>
      <c r="AD89" s="852"/>
    </row>
    <row customHeight="1" ht="27">
      <c r="A90" s="851"/>
      <c r="B90" s="905">
        <v>73</v>
      </c>
      <c r="C90" s="849" t="s">
        <v>2117</v>
      </c>
      <c r="D90" s="974"/>
      <c r="E90" s="849"/>
      <c r="F90" s="849"/>
      <c r="G90" s="849"/>
      <c r="H90" s="897"/>
      <c r="I90" s="1012">
        <f>INDEX(TEMPLATE_NUMBER_POINT_FHD,B90,MATCH(TEMPLATE_SPHERE,TEMPLATE_SPHERE_LIST_FOR_NOTE,0))</f>
        <v>0</v>
      </c>
      <c r="J90" s="1012">
        <f>INDEX(TEMPLATE_DATA_POINT_FHD,B90,MATCH(TEMPLATE_SPHERE,TEMPLATE_SPHERE_LIST_FOR_NOTE,0))</f>
        <v>0</v>
      </c>
      <c r="K90" s="1012">
        <f>INDEX(TEMPLATE_NOTE_POINT_FHD,B90,MATCH(TEMPLATE_SPHERE,TEMPLATE_SPHERE_LIST_FOR_NOTE,0))</f>
        <v>0</v>
      </c>
      <c r="L90" s="850" t="str">
        <f>IF(I90=0,"",I90)</f>
        <v/>
      </c>
      <c r="M90" s="850" t="str">
        <f>IF(J90=0,"",J90)</f>
        <v/>
      </c>
      <c r="N90" s="850" t="str">
        <f>IF(K90=0,"",K90)</f>
        <v/>
      </c>
      <c r="O90" s="964" t="s">
        <v>151</v>
      </c>
      <c r="P90" s="964"/>
      <c r="Q90" s="964"/>
      <c r="R90" s="964"/>
      <c r="S90" s="964"/>
      <c r="T90" s="849" t="s">
        <v>2118</v>
      </c>
      <c r="U90" s="849"/>
      <c r="V90" s="849"/>
      <c r="W90" s="849"/>
      <c r="X90" s="849"/>
      <c r="Y90" s="1007"/>
      <c r="Z90" s="852"/>
      <c r="AA90" s="855"/>
      <c r="AB90" s="852"/>
      <c r="AC90" s="852"/>
      <c r="AD90" s="852"/>
    </row>
    <row customHeight="1" ht="18">
      <c r="A91" s="851"/>
      <c r="B91" s="905">
        <v>74</v>
      </c>
      <c r="C91" s="849"/>
      <c r="D91" s="974" t="s">
        <v>2113</v>
      </c>
      <c r="E91" s="849" t="s">
        <v>2113</v>
      </c>
      <c r="F91" s="849"/>
      <c r="G91" s="849"/>
      <c r="H91" s="897"/>
      <c r="I91" s="1012" t="str">
        <f>INDEX(TEMPLATE_NUMBER_POINT_FHD,B91,MATCH(TEMPLATE_SPHERE,TEMPLATE_SPHERE_LIST_FOR_NOTE,0))</f>
        <v>13</v>
      </c>
      <c r="J91" s="1012" t="str">
        <f>INDEX(TEMPLATE_DATA_POINT_FHD,B91,MATCH(TEMPLATE_SPHERE,TEMPLATE_SPHERE_LIST_FOR_NOTE,0))</f>
        <v>Удельный расход электрической энергии на подачу воды в сеть</v>
      </c>
      <c r="K91" s="1012">
        <f>INDEX(TEMPLATE_NOTE_POINT_FHD,B91,MATCH(TEMPLATE_SPHERE,TEMPLATE_SPHERE_LIST_FOR_NOTE,0))</f>
        <v>0</v>
      </c>
      <c r="L91" s="850" t="str">
        <f>IF(I91=0,"",I91)</f>
        <v>13</v>
      </c>
      <c r="M91" s="850" t="str">
        <f>IF(J91=0,"",J91)</f>
        <v>Удельный расход электрической энергии на подачу воды в сеть</v>
      </c>
      <c r="N91" s="850" t="str">
        <f>IF(K91=0,"",K91)</f>
        <v/>
      </c>
      <c r="O91" s="964"/>
      <c r="P91" s="964" t="s">
        <v>150</v>
      </c>
      <c r="Q91" s="964" t="s">
        <v>150</v>
      </c>
      <c r="R91" s="964"/>
      <c r="S91" s="964"/>
      <c r="T91" s="849"/>
      <c r="U91" s="849" t="s">
        <v>2119</v>
      </c>
      <c r="V91" s="849" t="s">
        <v>2119</v>
      </c>
      <c r="W91" s="849"/>
      <c r="X91" s="849"/>
      <c r="Y91" s="1007"/>
      <c r="Z91" s="852"/>
      <c r="AA91" s="855"/>
      <c r="AB91" s="852"/>
      <c r="AC91" s="852"/>
      <c r="AD91" s="852"/>
    </row>
    <row customHeight="1" ht="27">
      <c r="A92" s="851"/>
      <c r="B92" s="905">
        <v>75</v>
      </c>
      <c r="C92" s="849"/>
      <c r="D92" s="974" t="s">
        <v>2115</v>
      </c>
      <c r="E92" s="849"/>
      <c r="F92" s="849"/>
      <c r="G92" s="849"/>
      <c r="H92" s="897"/>
      <c r="I92" s="1012" t="str">
        <f>INDEX(TEMPLATE_NUMBER_POINT_FHD,B92,MATCH(TEMPLATE_SPHERE,TEMPLATE_SPHERE_LIST_FOR_NOTE,0))</f>
        <v>14</v>
      </c>
      <c r="J92" s="1012" t="str">
        <f>INDEX(TEMPLATE_DATA_POINT_FHD,B92,MATCH(TEMPLATE_SPHERE,TEMPLATE_SPHERE_LIST_FOR_NOTE,0))</f>
        <v>Расход воды на собственные нужды, в том числе:</v>
      </c>
      <c r="K92" s="1012" t="str">
        <f>INDEX(TEMPLATE_NOTE_POINT_FHD,B92,MATCH(TEMPLATE_SPHERE,TEMPLATE_SPHERE_LIST_FOR_NOTE,0))</f>
        <v>Указывается доля общего расхода воды на собственные нужны от объема отпуска воды потребителям.</v>
      </c>
      <c r="L92" s="850" t="str">
        <f>IF(I92=0,"",I92)</f>
        <v>14</v>
      </c>
      <c r="M92" s="850" t="str">
        <f>IF(J92=0,"",J92)</f>
        <v>Расход воды на собственные нужды, в том числе:</v>
      </c>
      <c r="N92" s="850" t="str">
        <f>IF(K92=0,"",K92)</f>
        <v>Указывается доля общего расхода воды на собственные нужны от объема отпуска воды потребителям.</v>
      </c>
      <c r="O92" s="964"/>
      <c r="P92" s="964" t="s">
        <v>151</v>
      </c>
      <c r="Q92" s="964"/>
      <c r="R92" s="964"/>
      <c r="S92" s="964"/>
      <c r="T92" s="849"/>
      <c r="U92" s="849" t="s">
        <v>2120</v>
      </c>
      <c r="V92" s="849"/>
      <c r="W92" s="849"/>
      <c r="X92" s="849"/>
      <c r="Y92" s="1007"/>
      <c r="Z92" s="852"/>
      <c r="AA92" s="855" t="s">
        <v>2121</v>
      </c>
      <c r="AB92" s="852"/>
      <c r="AC92" s="852"/>
      <c r="AD92" s="852"/>
    </row>
    <row customHeight="1" ht="27">
      <c r="A93" s="851"/>
      <c r="B93" s="905">
        <v>76</v>
      </c>
      <c r="C93" s="849"/>
      <c r="D93" s="974"/>
      <c r="E93" s="849"/>
      <c r="F93" s="849"/>
      <c r="G93" s="849"/>
      <c r="H93" s="897"/>
      <c r="I93" s="1012" t="str">
        <f>INDEX(TEMPLATE_NUMBER_POINT_FHD,B93,MATCH(TEMPLATE_SPHERE,TEMPLATE_SPHERE_LIST_FOR_NOTE,0))</f>
        <v>14.1</v>
      </c>
      <c r="J93" s="1012" t="str">
        <f>INDEX(TEMPLATE_DATA_POINT_FHD,B93,MATCH(TEMPLATE_SPHERE,TEMPLATE_SPHERE_LIST_FOR_NOTE,0))</f>
        <v>Расход воды на хозяйственно-бытовые нужды</v>
      </c>
      <c r="K93" s="1012"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0" t="str">
        <f>IF(I93=0,"",I93)</f>
        <v>14.1</v>
      </c>
      <c r="M93" s="850" t="str">
        <f>IF(J93=0,"",J93)</f>
        <v>Расход воды на хозяйственно-бытовые нужды</v>
      </c>
      <c r="N93" s="850" t="str">
        <f>IF(K93=0,"",K93)</f>
        <v>Указывается доля расхода воды на хозяйственно-бытовые нужны от объема отпуска воды потребителям.</v>
      </c>
      <c r="O93" s="964"/>
      <c r="P93" s="964" t="s">
        <v>2020</v>
      </c>
      <c r="Q93" s="964"/>
      <c r="R93" s="964"/>
      <c r="S93" s="964"/>
      <c r="T93" s="849"/>
      <c r="U93" s="849" t="s">
        <v>2122</v>
      </c>
      <c r="V93" s="849"/>
      <c r="W93" s="849"/>
      <c r="X93" s="849"/>
      <c r="Y93" s="1007"/>
      <c r="Z93" s="852"/>
      <c r="AA93" s="855" t="s">
        <v>2123</v>
      </c>
      <c r="AB93" s="852"/>
      <c r="AC93" s="852"/>
      <c r="AD93" s="852"/>
    </row>
    <row customHeight="1" ht="45">
      <c r="A94" s="851"/>
      <c r="B94" s="905">
        <v>77</v>
      </c>
      <c r="C94" s="849"/>
      <c r="D94" s="974" t="s">
        <v>2117</v>
      </c>
      <c r="E94" s="849"/>
      <c r="F94" s="849"/>
      <c r="G94" s="849"/>
      <c r="H94" s="897"/>
      <c r="I94" s="1012" t="str">
        <f>INDEX(TEMPLATE_NUMBER_POINT_FHD,B94,MATCH(TEMPLATE_SPHERE,TEMPLATE_SPHERE_LIST_FOR_NOTE,0))</f>
        <v>15</v>
      </c>
      <c r="J94" s="1012" t="str">
        <f>INDEX(TEMPLATE_DATA_POINT_FHD,B94,MATCH(TEMPLATE_SPHERE,TEMPLATE_SPHERE_LIST_FOR_NOTE,0))</f>
        <v>Показатель использования производственных объектов (по объему перекачки), в том числе:</v>
      </c>
      <c r="K94" s="1012"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0" t="str">
        <f>IF(I94=0,"",I94)</f>
        <v>15</v>
      </c>
      <c r="M94" s="850" t="str">
        <f>IF(J94=0,"",J94)</f>
        <v>Показатель использования производственных объектов (по объему перекачки), в том числе:</v>
      </c>
      <c r="N94" s="85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4"/>
      <c r="P94" s="964" t="s">
        <v>1471</v>
      </c>
      <c r="Q94" s="964"/>
      <c r="R94" s="964"/>
      <c r="S94" s="964"/>
      <c r="T94" s="849"/>
      <c r="U94" s="849" t="s">
        <v>2124</v>
      </c>
      <c r="V94" s="849"/>
      <c r="W94" s="849"/>
      <c r="X94" s="849"/>
      <c r="Y94" s="1007"/>
      <c r="Z94" s="852"/>
      <c r="AA94" s="855" t="s">
        <v>2125</v>
      </c>
      <c r="AB94" s="852"/>
      <c r="AC94" s="852"/>
      <c r="AD94" s="852"/>
    </row>
    <row customHeight="1" ht="99">
      <c r="A95" s="851"/>
      <c r="B95" s="905">
        <v>78</v>
      </c>
      <c r="C95" s="849" t="s">
        <v>2126</v>
      </c>
      <c r="D95" s="974"/>
      <c r="E95" s="849"/>
      <c r="F95" s="849"/>
      <c r="G95" s="849"/>
      <c r="H95" s="897"/>
      <c r="I95" s="1012">
        <f>INDEX(TEMPLATE_NUMBER_POINT_FHD,B95,MATCH(TEMPLATE_SPHERE,TEMPLATE_SPHERE_LIST_FOR_NOTE,0))</f>
        <v>0</v>
      </c>
      <c r="J95" s="1012">
        <f>INDEX(TEMPLATE_DATA_POINT_FHD,B95,MATCH(TEMPLATE_SPHERE,TEMPLATE_SPHERE_LIST_FOR_NOTE,0))</f>
        <v>0</v>
      </c>
      <c r="K95" s="1012">
        <f>INDEX(TEMPLATE_NOTE_POINT_FHD,B95,MATCH(TEMPLATE_SPHERE,TEMPLATE_SPHERE_LIST_FOR_NOTE,0))</f>
        <v>0</v>
      </c>
      <c r="L95" s="850" t="str">
        <f>IF(I95=0,"",I95)</f>
        <v/>
      </c>
      <c r="M95" s="850" t="str">
        <f>IF(J95=0,"",J95)</f>
        <v/>
      </c>
      <c r="N95" s="850" t="str">
        <f>IF(K95=0,"",K95)</f>
        <v/>
      </c>
      <c r="O95" s="964" t="s">
        <v>1471</v>
      </c>
      <c r="P95" s="964"/>
      <c r="Q95" s="964"/>
      <c r="R95" s="964"/>
      <c r="S95" s="964"/>
      <c r="T95" s="849" t="s">
        <v>2127</v>
      </c>
      <c r="U95" s="849"/>
      <c r="V95" s="849"/>
      <c r="W95" s="849"/>
      <c r="X95" s="849"/>
      <c r="Y95" s="1007"/>
      <c r="Z95" s="852"/>
      <c r="AA95" s="855"/>
      <c r="AB95" s="852"/>
      <c r="AC95" s="852"/>
      <c r="AD95" s="852"/>
    </row>
    <row customHeight="1" ht="99">
      <c r="A96" s="851"/>
      <c r="B96" s="905">
        <v>79</v>
      </c>
      <c r="C96" s="849" t="s">
        <v>1065</v>
      </c>
      <c r="D96" s="974"/>
      <c r="E96" s="849"/>
      <c r="F96" s="849"/>
      <c r="G96" s="849"/>
      <c r="H96" s="897"/>
      <c r="I96" s="1012">
        <f>INDEX(TEMPLATE_NUMBER_POINT_FHD,B96,MATCH(TEMPLATE_SPHERE,TEMPLATE_SPHERE_LIST_FOR_NOTE,0))</f>
        <v>0</v>
      </c>
      <c r="J96" s="1012">
        <f>INDEX(TEMPLATE_DATA_POINT_FHD,B96,MATCH(TEMPLATE_SPHERE,TEMPLATE_SPHERE_LIST_FOR_NOTE,0))</f>
        <v>0</v>
      </c>
      <c r="K96" s="1012">
        <f>INDEX(TEMPLATE_NOTE_POINT_FHD,B96,MATCH(TEMPLATE_SPHERE,TEMPLATE_SPHERE_LIST_FOR_NOTE,0))</f>
        <v>0</v>
      </c>
      <c r="L96" s="850" t="str">
        <f>IF(I96=0,"",I96)</f>
        <v/>
      </c>
      <c r="M96" s="850" t="str">
        <f>IF(J96=0,"",J96)</f>
        <v/>
      </c>
      <c r="N96" s="850" t="str">
        <f>IF(K96=0,"",K96)</f>
        <v/>
      </c>
      <c r="O96" s="964" t="s">
        <v>1477</v>
      </c>
      <c r="P96" s="964"/>
      <c r="Q96" s="964"/>
      <c r="R96" s="964"/>
      <c r="S96" s="964"/>
      <c r="T96" s="849" t="s">
        <v>2128</v>
      </c>
      <c r="U96" s="849"/>
      <c r="V96" s="849"/>
      <c r="W96" s="849"/>
      <c r="X96" s="849"/>
      <c r="Y96" s="1007"/>
      <c r="Z96" s="852" t="s">
        <v>2129</v>
      </c>
      <c r="AA96" s="855"/>
      <c r="AB96" s="852"/>
      <c r="AC96" s="852"/>
      <c r="AD96" s="852"/>
    </row>
    <row customHeight="1" ht="63">
      <c r="A97" s="851"/>
      <c r="B97" s="905">
        <v>80</v>
      </c>
      <c r="C97" s="849" t="s">
        <v>2130</v>
      </c>
      <c r="D97" s="974"/>
      <c r="E97" s="849"/>
      <c r="F97" s="849"/>
      <c r="G97" s="849"/>
      <c r="H97" s="897"/>
      <c r="I97" s="1012">
        <f>INDEX(TEMPLATE_NUMBER_POINT_FHD,B97,MATCH(TEMPLATE_SPHERE,TEMPLATE_SPHERE_LIST_FOR_NOTE,0))</f>
        <v>0</v>
      </c>
      <c r="J97" s="1012">
        <f>INDEX(TEMPLATE_DATA_POINT_FHD,B97,MATCH(TEMPLATE_SPHERE,TEMPLATE_SPHERE_LIST_FOR_NOTE,0))</f>
        <v>0</v>
      </c>
      <c r="K97" s="1012">
        <f>INDEX(TEMPLATE_NOTE_POINT_FHD,B97,MATCH(TEMPLATE_SPHERE,TEMPLATE_SPHERE_LIST_FOR_NOTE,0))</f>
        <v>0</v>
      </c>
      <c r="L97" s="850" t="str">
        <f>IF(I97=0,"",I97)</f>
        <v/>
      </c>
      <c r="M97" s="850" t="str">
        <f>IF(J97=0,"",J97)</f>
        <v/>
      </c>
      <c r="N97" s="850" t="str">
        <f>IF(K97=0,"",K97)</f>
        <v/>
      </c>
      <c r="O97" s="964" t="s">
        <v>1488</v>
      </c>
      <c r="P97" s="964"/>
      <c r="Q97" s="964"/>
      <c r="R97" s="964"/>
      <c r="S97" s="964"/>
      <c r="T97" s="849" t="s">
        <v>2131</v>
      </c>
      <c r="U97" s="849"/>
      <c r="V97" s="849"/>
      <c r="W97" s="849"/>
      <c r="X97" s="849"/>
      <c r="Y97" s="1007"/>
      <c r="Z97" s="852" t="s">
        <v>2132</v>
      </c>
      <c r="AA97" s="855"/>
      <c r="AB97" s="852"/>
      <c r="AC97" s="852"/>
      <c r="AD97" s="852"/>
    </row>
    <row customHeight="1" ht="63">
      <c r="A98" s="851"/>
      <c r="B98" s="905">
        <v>81</v>
      </c>
      <c r="C98" s="849" t="s">
        <v>2133</v>
      </c>
      <c r="D98" s="974"/>
      <c r="E98" s="849"/>
      <c r="F98" s="849"/>
      <c r="G98" s="849"/>
      <c r="H98" s="897"/>
      <c r="I98" s="1012">
        <f>INDEX(TEMPLATE_NUMBER_POINT_FHD,B98,MATCH(TEMPLATE_SPHERE,TEMPLATE_SPHERE_LIST_FOR_NOTE,0))</f>
        <v>0</v>
      </c>
      <c r="J98" s="1012">
        <f>INDEX(TEMPLATE_DATA_POINT_FHD,B98,MATCH(TEMPLATE_SPHERE,TEMPLATE_SPHERE_LIST_FOR_NOTE,0))</f>
        <v>0</v>
      </c>
      <c r="K98" s="1012">
        <f>INDEX(TEMPLATE_NOTE_POINT_FHD,B98,MATCH(TEMPLATE_SPHERE,TEMPLATE_SPHERE_LIST_FOR_NOTE,0))</f>
        <v>0</v>
      </c>
      <c r="L98" s="850" t="str">
        <f>IF(I98=0,"",I98)</f>
        <v/>
      </c>
      <c r="M98" s="850" t="str">
        <f>IF(J98=0,"",J98)</f>
        <v/>
      </c>
      <c r="N98" s="850" t="str">
        <f>IF(K98=0,"",K98)</f>
        <v/>
      </c>
      <c r="O98" s="964" t="s">
        <v>1502</v>
      </c>
      <c r="P98" s="964"/>
      <c r="Q98" s="964"/>
      <c r="R98" s="964"/>
      <c r="S98" s="964"/>
      <c r="T98" s="849" t="s">
        <v>2134</v>
      </c>
      <c r="U98" s="849"/>
      <c r="V98" s="849"/>
      <c r="W98" s="849"/>
      <c r="X98" s="849"/>
      <c r="Y98" s="1007"/>
      <c r="Z98" s="852" t="s">
        <v>2132</v>
      </c>
      <c r="AA98" s="855"/>
      <c r="AB98" s="852"/>
      <c r="AC98" s="852"/>
      <c r="AD98" s="852"/>
    </row>
    <row customHeight="1" ht="90">
      <c r="A99" s="851"/>
      <c r="B99" s="905">
        <v>82</v>
      </c>
      <c r="C99" s="849" t="s">
        <v>2135</v>
      </c>
      <c r="D99" s="974"/>
      <c r="E99" s="849"/>
      <c r="F99" s="849"/>
      <c r="G99" s="849"/>
      <c r="H99" s="897"/>
      <c r="I99" s="1012">
        <f>INDEX(TEMPLATE_NUMBER_POINT_FHD,B99,MATCH(TEMPLATE_SPHERE,TEMPLATE_SPHERE_LIST_FOR_NOTE,0))</f>
        <v>0</v>
      </c>
      <c r="J99" s="1012">
        <f>INDEX(TEMPLATE_DATA_POINT_FHD,B99,MATCH(TEMPLATE_SPHERE,TEMPLATE_SPHERE_LIST_FOR_NOTE,0))</f>
        <v>0</v>
      </c>
      <c r="K99" s="1012">
        <f>INDEX(TEMPLATE_NOTE_POINT_FHD,B99,MATCH(TEMPLATE_SPHERE,TEMPLATE_SPHERE_LIST_FOR_NOTE,0))</f>
        <v>0</v>
      </c>
      <c r="L99" s="850" t="str">
        <f>IF(I99=0,"",I99)</f>
        <v/>
      </c>
      <c r="M99" s="850" t="str">
        <f>IF(J99=0,"",J99)</f>
        <v/>
      </c>
      <c r="N99" s="850" t="str">
        <f>IF(K99=0,"",K99)</f>
        <v/>
      </c>
      <c r="O99" s="964" t="s">
        <v>1514</v>
      </c>
      <c r="P99" s="964"/>
      <c r="Q99" s="964"/>
      <c r="R99" s="964"/>
      <c r="S99" s="964"/>
      <c r="T99" s="849" t="s">
        <v>2136</v>
      </c>
      <c r="U99" s="849"/>
      <c r="V99" s="849"/>
      <c r="W99" s="849"/>
      <c r="X99" s="849"/>
      <c r="Y99" s="1007"/>
      <c r="Z99" s="852" t="s">
        <v>787</v>
      </c>
      <c r="AA99" s="855"/>
      <c r="AB99" s="852"/>
      <c r="AC99" s="852"/>
      <c r="AD99" s="852"/>
    </row>
    <row customHeight="1" ht="27">
      <c r="A100" s="851"/>
      <c r="B100" s="905">
        <v>83</v>
      </c>
      <c r="C100" s="849"/>
      <c r="D100" s="974"/>
      <c r="E100" s="849"/>
      <c r="F100" s="849"/>
      <c r="G100" s="849"/>
      <c r="H100" s="897"/>
      <c r="I100" s="1012">
        <f>INDEX(TEMPLATE_NUMBER_POINT_FHD,B100,MATCH(TEMPLATE_SPHERE,TEMPLATE_SPHERE_LIST_FOR_NOTE,0))</f>
        <v>0</v>
      </c>
      <c r="J100" s="1012">
        <f>INDEX(TEMPLATE_DATA_POINT_FHD,B100,MATCH(TEMPLATE_SPHERE,TEMPLATE_SPHERE_LIST_FOR_NOTE,0))</f>
        <v>0</v>
      </c>
      <c r="K100" s="1012">
        <f>INDEX(TEMPLATE_NOTE_POINT_FHD,B100,MATCH(TEMPLATE_SPHERE,TEMPLATE_SPHERE_LIST_FOR_NOTE,0))</f>
        <v>0</v>
      </c>
      <c r="L100" s="850" t="str">
        <f>IF(I100=0,"",I100)</f>
        <v/>
      </c>
      <c r="M100" s="850" t="str">
        <f>IF(J100=0,"",J100)</f>
        <v/>
      </c>
      <c r="N100" s="850" t="str">
        <f>IF(K100=0,"",K100)</f>
        <v/>
      </c>
      <c r="O100" s="964" t="s">
        <v>2137</v>
      </c>
      <c r="P100" s="964"/>
      <c r="Q100" s="964"/>
      <c r="R100" s="964"/>
      <c r="S100" s="964"/>
      <c r="T100" s="849" t="s">
        <v>2138</v>
      </c>
      <c r="U100" s="849"/>
      <c r="V100" s="849"/>
      <c r="W100" s="849"/>
      <c r="X100" s="849"/>
      <c r="Y100" s="1007"/>
      <c r="Z100" s="852" t="s">
        <v>787</v>
      </c>
      <c r="AA100" s="855"/>
      <c r="AB100" s="852"/>
      <c r="AC100" s="852"/>
      <c r="AD100" s="852"/>
    </row>
    <row customHeight="1" ht="27">
      <c r="A101" s="851"/>
      <c r="B101" s="905">
        <v>84</v>
      </c>
      <c r="C101" s="849"/>
      <c r="D101" s="974"/>
      <c r="E101" s="849"/>
      <c r="F101" s="849"/>
      <c r="G101" s="849"/>
      <c r="H101" s="897"/>
      <c r="I101" s="1012">
        <f>INDEX(TEMPLATE_NUMBER_POINT_FHD,B101,MATCH(TEMPLATE_SPHERE,TEMPLATE_SPHERE_LIST_FOR_NOTE,0))</f>
        <v>0</v>
      </c>
      <c r="J101" s="1012">
        <f>INDEX(TEMPLATE_DATA_POINT_FHD,B101,MATCH(TEMPLATE_SPHERE,TEMPLATE_SPHERE_LIST_FOR_NOTE,0))</f>
        <v>0</v>
      </c>
      <c r="K101" s="1012">
        <f>INDEX(TEMPLATE_NOTE_POINT_FHD,B101,MATCH(TEMPLATE_SPHERE,TEMPLATE_SPHERE_LIST_FOR_NOTE,0))</f>
        <v>0</v>
      </c>
      <c r="L101" s="850" t="str">
        <f>IF(I101=0,"",I101)</f>
        <v/>
      </c>
      <c r="M101" s="850" t="str">
        <f>IF(J101=0,"",J101)</f>
        <v/>
      </c>
      <c r="N101" s="850" t="str">
        <f>IF(K101=0,"",K101)</f>
        <v/>
      </c>
      <c r="O101" s="964" t="s">
        <v>2139</v>
      </c>
      <c r="P101" s="964"/>
      <c r="Q101" s="964"/>
      <c r="R101" s="964"/>
      <c r="S101" s="964"/>
      <c r="T101" s="849" t="s">
        <v>2140</v>
      </c>
      <c r="U101" s="849"/>
      <c r="V101" s="849"/>
      <c r="W101" s="849"/>
      <c r="X101" s="849"/>
      <c r="Y101" s="1007"/>
      <c r="Z101" s="852" t="s">
        <v>787</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1668</v>
      </c>
      <c r="B148" s="851"/>
      <c r="C148" s="849" t="s">
        <v>2141</v>
      </c>
      <c r="D148" s="849" t="s">
        <v>1570</v>
      </c>
      <c r="E148" s="849" t="s">
        <v>1670</v>
      </c>
      <c r="F148" s="849" t="s">
        <v>2142</v>
      </c>
      <c r="G148" s="849"/>
      <c r="H148" s="849"/>
      <c r="I148" s="970"/>
      <c r="J148" s="970"/>
      <c r="K148" s="970"/>
      <c r="L148" s="970"/>
      <c r="M148" s="89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4"/>
      <c r="O148" s="849"/>
      <c r="P148" s="850"/>
      <c r="Q148" s="850"/>
      <c r="R148" s="850"/>
      <c r="S148" s="849"/>
      <c r="T148" s="849" t="s">
        <v>2143</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0"/>
      <c r="W148" s="850"/>
      <c r="X148" s="849" t="s">
        <v>2144</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1672</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1675</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1680</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DFBE7-1B8A-9769-EF48-8BE66D72D2C7}"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2.28125" hidden="1" customWidth="1"/>
    <col min="6" max="8" style="3294" width="12.28125" hidden="1" customWidth="1"/>
    <col min="9" max="9" style="5961"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2145</v>
      </c>
      <c r="M5" s="2441"/>
      <c r="N5" s="2441"/>
      <c r="O5" s="2441"/>
      <c r="P5" s="2441"/>
      <c r="Q5" s="2441"/>
      <c r="R5" s="2441"/>
      <c r="S5" s="2441"/>
      <c r="T5" s="2441"/>
      <c r="U5" s="2441"/>
      <c r="V5" s="1261"/>
    </row>
    <row customHeight="1" ht="14.25">
      <c r="J6" s="377"/>
      <c r="K6" s="377"/>
      <c r="L6" s="2442" t="str">
        <f>IF(org=0,"Не определено",org)</f>
        <v>АО "РИР" (филиал в г. Глазове)</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A8" s="1398"/>
      <c r="B8" s="1398"/>
      <c r="C8" s="1398"/>
      <c r="D8" s="1398"/>
      <c r="E8" s="1398"/>
      <c r="F8" s="1398"/>
      <c r="G8" s="1398"/>
      <c r="H8" s="1398"/>
      <c r="L8" s="1306"/>
      <c r="M8" s="283" t="s">
        <v>38</v>
      </c>
      <c r="N8" s="292"/>
      <c r="O8" s="2100" t="str">
        <f>IF(TITLE_NAME_OR_PR_CHANGE="",IF(TITLE_NAME_OR_PR="","",TITLE_NAME_OR_PR),TITLE_NAME_OR_PR_CHANGE)</f>
        <v>Министерство строительства, жилищно-коммунального хозяйства и энергетики УР</v>
      </c>
      <c r="P8" s="2100"/>
      <c r="Q8" s="2100"/>
      <c r="R8" s="2100"/>
      <c r="S8" s="2100"/>
      <c r="T8" s="2100"/>
      <c r="U8" s="2100"/>
      <c r="V8" s="322"/>
      <c r="W8" s="322"/>
      <c r="X8" s="268"/>
      <c r="Y8" s="368"/>
      <c r="Z8" s="368"/>
      <c r="AA8" s="368"/>
      <c r="AB8" s="368"/>
      <c r="AC8" s="368"/>
    </row>
    <row s="3305" customFormat="1" customHeight="1" ht="22.5">
      <c r="A9" s="1398"/>
      <c r="B9" s="1398"/>
      <c r="C9" s="1398"/>
      <c r="D9" s="1398"/>
      <c r="E9" s="1398"/>
      <c r="F9" s="1398"/>
      <c r="G9" s="1398"/>
      <c r="H9" s="1398"/>
      <c r="L9" s="1306"/>
      <c r="M9" s="283" t="s">
        <v>411</v>
      </c>
      <c r="N9" s="292"/>
      <c r="O9" s="2100" t="str">
        <f>IF(TITLE_DATE_CHANGE_PERIOD="",IF(TITLE_DATE_PR="","",TITLE_DATE_PR),TITLE_DATE_CHANGE_PERIOD)</f>
        <v>45272.383726851855</v>
      </c>
      <c r="P9" s="2100"/>
      <c r="Q9" s="2100"/>
      <c r="R9" s="2100"/>
      <c r="S9" s="2100"/>
      <c r="T9" s="2100"/>
      <c r="U9" s="2100"/>
      <c r="V9" s="322"/>
      <c r="W9" s="322"/>
      <c r="X9" s="268"/>
      <c r="Y9" s="368"/>
      <c r="Z9" s="368"/>
      <c r="AA9" s="368"/>
      <c r="AB9" s="368"/>
      <c r="AC9" s="368"/>
    </row>
    <row s="3305" customFormat="1" customHeight="1" ht="22.5">
      <c r="A10" s="1398"/>
      <c r="B10" s="1398"/>
      <c r="C10" s="1398"/>
      <c r="D10" s="1398"/>
      <c r="E10" s="1398"/>
      <c r="F10" s="1398"/>
      <c r="G10" s="1398"/>
      <c r="H10" s="1398"/>
      <c r="L10" s="1269"/>
      <c r="M10" s="283" t="s">
        <v>412</v>
      </c>
      <c r="N10" s="292"/>
      <c r="O10" s="2100" t="str">
        <f>IF(TITLE_NUMBER_PR_CHANGE="",IF(TITLE_NUMBER_PR="","",TITLE_NUMBER_PR),TITLE_NUMBER_PR_CHANGE)</f>
        <v>30/68</v>
      </c>
      <c r="P10" s="2100"/>
      <c r="Q10" s="2100"/>
      <c r="R10" s="2100"/>
      <c r="S10" s="2100"/>
      <c r="T10" s="2100"/>
      <c r="U10" s="2100"/>
      <c r="V10" s="322"/>
      <c r="W10" s="322"/>
      <c r="X10" s="268"/>
      <c r="Y10" s="368"/>
      <c r="Z10" s="368"/>
      <c r="AA10" s="368"/>
      <c r="AB10" s="368"/>
      <c r="AC10" s="368"/>
    </row>
    <row s="3305" customFormat="1" customHeight="1" ht="22.5">
      <c r="A11" s="1398"/>
      <c r="B11" s="1398"/>
      <c r="C11" s="1398"/>
      <c r="D11" s="1398"/>
      <c r="E11" s="1398"/>
      <c r="F11" s="1398"/>
      <c r="G11" s="1398"/>
      <c r="H11" s="1398"/>
      <c r="L11" s="1269"/>
      <c r="M11" s="283" t="s">
        <v>40</v>
      </c>
      <c r="N11" s="292"/>
      <c r="O11" s="2100" t="str">
        <f>IF(TITLE_IST_PUB_CHANGE="",IF(TITLE_IST_PUB="","",TITLE_IST_PUB),TITLE_IST_PUB_CHANGE)</f>
        <v>www.udmurt.ru</v>
      </c>
      <c r="P11" s="2100"/>
      <c r="Q11" s="2100"/>
      <c r="R11" s="2100"/>
      <c r="S11" s="2100"/>
      <c r="T11" s="2100"/>
      <c r="U11" s="2100"/>
      <c r="V11" s="322"/>
      <c r="W11" s="322"/>
      <c r="X11" s="268"/>
      <c r="Y11" s="368"/>
      <c r="Z11" s="368"/>
      <c r="AA11" s="368"/>
      <c r="AB11" s="368"/>
      <c r="AC11" s="368"/>
    </row>
    <row s="3305"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415</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288</v>
      </c>
      <c r="M14" s="1971"/>
      <c r="N14" s="1971"/>
      <c r="O14" s="1971"/>
      <c r="P14" s="1971"/>
      <c r="Q14" s="1971"/>
      <c r="R14" s="1971"/>
      <c r="S14" s="1971"/>
      <c r="T14" s="1971"/>
      <c r="U14" s="1971"/>
      <c r="V14" s="1971"/>
      <c r="W14" s="1971"/>
      <c r="X14" s="1971" t="s">
        <v>289</v>
      </c>
    </row>
    <row customHeight="1" ht="14.25">
      <c r="J15" s="377"/>
      <c r="K15" s="377"/>
      <c r="L15" s="2125" t="s">
        <v>86</v>
      </c>
      <c r="M15" s="2062" t="s">
        <v>416</v>
      </c>
      <c r="N15" s="289"/>
      <c r="O15" s="2126" t="s">
        <v>2146</v>
      </c>
      <c r="P15" s="2127"/>
      <c r="Q15" s="2127"/>
      <c r="R15" s="2127"/>
      <c r="S15" s="2127"/>
      <c r="T15" s="2127"/>
      <c r="U15" s="2128"/>
      <c r="V15" s="2129" t="s">
        <v>418</v>
      </c>
      <c r="W15" s="2132" t="s">
        <v>1062</v>
      </c>
      <c r="X15" s="1971"/>
    </row>
    <row customHeight="1" ht="33.75">
      <c r="J16" s="377"/>
      <c r="K16" s="377"/>
      <c r="L16" s="2125"/>
      <c r="M16" s="2062"/>
      <c r="N16" s="1038"/>
      <c r="O16" s="2135" t="s">
        <v>421</v>
      </c>
      <c r="P16" s="2135" t="s">
        <v>422</v>
      </c>
      <c r="Q16" s="2118" t="s">
        <v>423</v>
      </c>
      <c r="R16" s="2120"/>
      <c r="S16" s="2118" t="s">
        <v>436</v>
      </c>
      <c r="T16" s="2119"/>
      <c r="U16" s="2120"/>
      <c r="V16" s="2130"/>
      <c r="W16" s="2133"/>
      <c r="X16" s="1971"/>
    </row>
    <row customHeight="1" ht="33.75">
      <c r="A17" s="1400" t="s">
        <v>132</v>
      </c>
      <c r="B17" s="1400" t="s">
        <v>133</v>
      </c>
      <c r="C17" s="1400" t="s">
        <v>134</v>
      </c>
      <c r="D17" s="1400" t="s">
        <v>135</v>
      </c>
      <c r="E17" s="1400"/>
      <c r="J17" s="377"/>
      <c r="K17" s="377"/>
      <c r="L17" s="2125"/>
      <c r="M17" s="2062"/>
      <c r="N17" s="290"/>
      <c r="O17" s="2136"/>
      <c r="P17" s="2136"/>
      <c r="Q17" s="1237" t="s">
        <v>432</v>
      </c>
      <c r="R17" s="1237" t="s">
        <v>433</v>
      </c>
      <c r="S17" s="1322" t="s">
        <v>434</v>
      </c>
      <c r="T17" s="2121" t="s">
        <v>435</v>
      </c>
      <c r="U17" s="2122"/>
      <c r="V17" s="2131"/>
      <c r="W17" s="2134"/>
      <c r="X17" s="1971"/>
    </row>
    <row s="2612" customFormat="1" customHeight="1" ht="11.25">
      <c r="A18" s="1400"/>
      <c r="B18" s="1400"/>
      <c r="C18" s="1400"/>
      <c r="D18" s="1400"/>
      <c r="E18" s="1400"/>
      <c r="F18" s="1392"/>
      <c r="G18" s="1392"/>
      <c r="H18" s="1392"/>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166</v>
      </c>
      <c r="B19" s="1393" t="s">
        <v>167</v>
      </c>
      <c r="C19" s="1393" t="s">
        <v>168</v>
      </c>
      <c r="D19" s="1393" t="s">
        <v>169</v>
      </c>
      <c r="E19" s="1393"/>
      <c r="F19" s="1395"/>
      <c r="G19" s="1395"/>
      <c r="H19" s="1395"/>
      <c r="I19" s="357"/>
      <c r="J19" s="356"/>
      <c r="K19" s="351"/>
      <c r="L19" s="1323">
        <f>INDEX(PT_DIFFERENTIATION_NUM_NTAR,MATCH(A19,PT_DIFFERENTIATION_NTAR_ID,0))</f>
        <v>0</v>
      </c>
      <c r="M19" s="286" t="s">
        <v>121</v>
      </c>
      <c r="N19" s="288"/>
      <c r="O19" s="2434" t="str">
        <f>INDEX(PT_DIFFERENTIATION_NTAR,MATCH(A19,PT_DIFFERENTIATION_NTAR_ID,0))</f>
        <v/>
      </c>
      <c r="P19" s="2434"/>
      <c r="Q19" s="2434"/>
      <c r="R19" s="2434"/>
      <c r="S19" s="2434"/>
      <c r="T19" s="2434"/>
      <c r="U19" s="2434"/>
      <c r="V19" s="2434"/>
      <c r="W19" s="2434"/>
      <c r="X19" s="1286" t="s">
        <v>386</v>
      </c>
      <c r="Z19" s="506"/>
      <c r="AA19" s="506" t="str">
        <f>IF(M19="","",M19)</f>
        <v>Наименование тарифа</v>
      </c>
      <c r="AB19" s="506"/>
      <c r="AC19" s="506"/>
    </row>
    <row customHeight="1" ht="21">
      <c r="A20" s="1393" t="s">
        <v>166</v>
      </c>
      <c r="B20" s="1393" t="s">
        <v>167</v>
      </c>
      <c r="C20" s="1393" t="s">
        <v>168</v>
      </c>
      <c r="D20" s="1393" t="s">
        <v>169</v>
      </c>
      <c r="E20" s="1393"/>
      <c r="F20" s="1395"/>
      <c r="G20" s="1395"/>
      <c r="H20" s="1395"/>
      <c r="I20" s="1320"/>
      <c r="J20" s="348"/>
      <c r="K20" s="349"/>
      <c r="L20" s="1323" t="str">
        <f>INDEX(PT_DIFFERENTIATION_NUM_TER,MATCH(B19,PT_DIFFERENTIATION_TER_ID,0))</f>
        <v>.</v>
      </c>
      <c r="M20" s="298" t="s">
        <v>387</v>
      </c>
      <c r="N20" s="288"/>
      <c r="O20" s="2434" t="str">
        <f>INDEX(PT_DIFFERENTIATION_TER,MATCH(B19,PT_DIFFERENTIATION_TER_ID,0))</f>
        <v/>
      </c>
      <c r="P20" s="2434"/>
      <c r="Q20" s="2434"/>
      <c r="R20" s="2434"/>
      <c r="S20" s="2434"/>
      <c r="T20" s="2434"/>
      <c r="U20" s="2434"/>
      <c r="V20" s="2434"/>
      <c r="W20" s="2434"/>
      <c r="X20" s="1286" t="s">
        <v>388</v>
      </c>
      <c r="Z20" s="506"/>
      <c r="AA20" s="506" t="str">
        <f>IF(M20="","",M20)</f>
        <v>Территория действия тарифа</v>
      </c>
      <c r="AB20" s="506"/>
      <c r="AC20" s="506"/>
    </row>
    <row customHeight="1" ht="22.5">
      <c r="A21" s="1393" t="s">
        <v>166</v>
      </c>
      <c r="B21" s="1393" t="s">
        <v>167</v>
      </c>
      <c r="C21" s="1393" t="s">
        <v>168</v>
      </c>
      <c r="D21" s="1393" t="s">
        <v>169</v>
      </c>
      <c r="E21" s="1393"/>
      <c r="F21" s="1395"/>
      <c r="G21" s="1395"/>
      <c r="H21" s="1395"/>
      <c r="I21" s="350"/>
      <c r="J21" s="348"/>
      <c r="K21" s="349"/>
      <c r="L21" s="1323" t="str">
        <f>INDEX(PT_DIFFERENTIATION_NUM_CS,MATCH(C19,PT_DIFFERENTIATION_CS_ID,0))</f>
        <v>..</v>
      </c>
      <c r="M21" s="299" t="s">
        <v>389</v>
      </c>
      <c r="N21" s="288"/>
      <c r="O21" s="2434" t="str">
        <f>INDEX(PT_DIFFERENTIATION_CS,MATCH(C19,PT_DIFFERENTIATION_CS_ID,0))</f>
        <v/>
      </c>
      <c r="P21" s="2434"/>
      <c r="Q21" s="2434"/>
      <c r="R21" s="2434"/>
      <c r="S21" s="2434"/>
      <c r="T21" s="2434"/>
      <c r="U21" s="2434"/>
      <c r="V21" s="2434"/>
      <c r="W21" s="2434"/>
      <c r="X21" s="1286" t="s">
        <v>390</v>
      </c>
      <c r="Z21" s="506"/>
      <c r="AA21" s="506" t="str">
        <f>IF(M21="","",M21)</f>
        <v>Наименование системы теплоснабжения </v>
      </c>
      <c r="AB21" s="506"/>
      <c r="AC21" s="506"/>
    </row>
    <row customHeight="1" ht="21">
      <c r="A22" s="1393" t="s">
        <v>166</v>
      </c>
      <c r="B22" s="1393" t="s">
        <v>167</v>
      </c>
      <c r="C22" s="1393" t="s">
        <v>168</v>
      </c>
      <c r="D22" s="1393" t="s">
        <v>169</v>
      </c>
      <c r="E22" s="1393"/>
      <c r="F22" s="1395"/>
      <c r="G22" s="1395"/>
      <c r="H22" s="1395"/>
      <c r="I22" s="350"/>
      <c r="J22" s="348"/>
      <c r="K22" s="349"/>
      <c r="L22" s="1323" t="str">
        <f>INDEX(PT_DIFFERENTIATION_NUM_IST_TE,MATCH(D19,PT_DIFFERENTIATION_IST_TE_ID,0))</f>
        <v>...</v>
      </c>
      <c r="M22" s="300" t="s">
        <v>391</v>
      </c>
      <c r="N22" s="288"/>
      <c r="O22" s="2434" t="str">
        <f>INDEX(PT_DIFFERENTIATION_IST_TE,MATCH(D19,PT_DIFFERENTIATION_IST_TE_ID,0))</f>
        <v/>
      </c>
      <c r="P22" s="2434"/>
      <c r="Q22" s="2434"/>
      <c r="R22" s="2434"/>
      <c r="S22" s="2434"/>
      <c r="T22" s="2434"/>
      <c r="U22" s="2434"/>
      <c r="V22" s="2434"/>
      <c r="W22" s="2434"/>
      <c r="X22" s="1286" t="s">
        <v>392</v>
      </c>
      <c r="Z22" s="506"/>
      <c r="AA22" s="506" t="str">
        <f>IF(M22="","",M22)</f>
        <v>Источник тепловой энергии  </v>
      </c>
      <c r="AB22" s="506"/>
      <c r="AC22" s="506"/>
    </row>
    <row customHeight="1" ht="94.5">
      <c r="A23" s="1393" t="s">
        <v>166</v>
      </c>
      <c r="B23" s="1393" t="s">
        <v>167</v>
      </c>
      <c r="C23" s="1393" t="s">
        <v>168</v>
      </c>
      <c r="D23" s="1393" t="s">
        <v>169</v>
      </c>
      <c r="E23" s="1393"/>
      <c r="F23" s="2435" t="str">
        <f>L22&amp;".1"</f>
        <v>....1</v>
      </c>
      <c r="I23" s="2111">
        <v>1</v>
      </c>
      <c r="J23" s="1321"/>
      <c r="K23" s="352"/>
      <c r="L23" s="1323" t="str">
        <f>$F$23</f>
        <v>....1</v>
      </c>
      <c r="M23" s="273" t="s">
        <v>394</v>
      </c>
      <c r="N23" s="288"/>
      <c r="O23" s="2436"/>
      <c r="P23" s="2436"/>
      <c r="Q23" s="2436"/>
      <c r="R23" s="2436"/>
      <c r="S23" s="2436"/>
      <c r="T23" s="2436"/>
      <c r="U23" s="2436"/>
      <c r="V23" s="2436"/>
      <c r="W23" s="2436"/>
      <c r="X23" s="1286" t="s">
        <v>395</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166</v>
      </c>
      <c r="B24" s="1393" t="s">
        <v>167</v>
      </c>
      <c r="C24" s="1393" t="s">
        <v>168</v>
      </c>
      <c r="D24" s="1393" t="s">
        <v>169</v>
      </c>
      <c r="E24" s="1393"/>
      <c r="F24" s="2435"/>
      <c r="G24" s="2082" t="str">
        <f>F23&amp;".1"</f>
        <v>....1.1</v>
      </c>
      <c r="I24" s="2111"/>
      <c r="J24" s="2111">
        <v>1</v>
      </c>
      <c r="K24" s="353"/>
      <c r="L24" s="1323" t="str">
        <f>$G$24</f>
        <v>....1.1</v>
      </c>
      <c r="M24" s="274" t="s">
        <v>397</v>
      </c>
      <c r="N24" s="288"/>
      <c r="O24" s="2437"/>
      <c r="P24" s="2438"/>
      <c r="Q24" s="2438"/>
      <c r="R24" s="2438"/>
      <c r="S24" s="2438"/>
      <c r="T24" s="2438"/>
      <c r="U24" s="2438"/>
      <c r="V24" s="2438"/>
      <c r="W24" s="2439"/>
      <c r="X24" s="1286" t="s">
        <v>398</v>
      </c>
      <c r="Z24" s="506"/>
      <c r="AA24" s="506" t="str">
        <f>IF(M24="","",M24)</f>
        <v>Группа потребителей</v>
      </c>
      <c r="AB24" s="506"/>
      <c r="AC24" s="506"/>
    </row>
    <row customHeight="1" ht="11.25">
      <c r="A25" s="1393" t="s">
        <v>166</v>
      </c>
      <c r="B25" s="1393" t="s">
        <v>167</v>
      </c>
      <c r="C25" s="1393" t="s">
        <v>168</v>
      </c>
      <c r="D25" s="1393" t="s">
        <v>169</v>
      </c>
      <c r="E25" s="1393"/>
      <c r="F25" s="2435"/>
      <c r="G25" s="2082"/>
      <c r="H25" s="2082" t="str">
        <f>G24&amp;".1"</f>
        <v>....1.1.1</v>
      </c>
      <c r="I25" s="2111"/>
      <c r="J25" s="2111"/>
      <c r="K25" s="353">
        <v>1</v>
      </c>
      <c r="L25" s="1323" t="str">
        <f>$H$25</f>
        <v>....1.1.1</v>
      </c>
      <c r="M25" s="1287"/>
      <c r="N25" s="288"/>
      <c r="O25" s="757"/>
      <c r="P25" s="320"/>
      <c r="Q25" s="757"/>
      <c r="R25" s="1285"/>
      <c r="S25" s="2443"/>
      <c r="T25" s="1981" t="s">
        <v>60</v>
      </c>
      <c r="U25" s="2443"/>
      <c r="V25" s="1981" t="s">
        <v>55</v>
      </c>
      <c r="W25" s="320"/>
      <c r="X25" s="2137" t="s">
        <v>400</v>
      </c>
      <c r="Y25" s="517">
        <f>STRCHECKDATE(O26:W26)</f>
      </c>
      <c r="Z25" s="506"/>
      <c r="AA25" s="506" t="str">
        <f>IF(M25="","",M25)</f>
        <v/>
      </c>
      <c r="AB25" s="506"/>
      <c r="AC25" s="506"/>
    </row>
    <row customHeight="1" ht="11.25">
      <c r="A26" s="1393" t="s">
        <v>166</v>
      </c>
      <c r="B26" s="1393" t="s">
        <v>167</v>
      </c>
      <c r="C26" s="1393" t="s">
        <v>168</v>
      </c>
      <c r="D26" s="1393" t="s">
        <v>169</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166</v>
      </c>
      <c r="B27" s="1393" t="s">
        <v>167</v>
      </c>
      <c r="C27" s="1393" t="s">
        <v>168</v>
      </c>
      <c r="D27" s="1393" t="s">
        <v>169</v>
      </c>
      <c r="E27" s="1393"/>
      <c r="F27" s="2435"/>
      <c r="G27" s="2082"/>
      <c r="I27" s="2111"/>
      <c r="J27" s="2111"/>
      <c r="K27" s="352"/>
      <c r="L27" s="1308"/>
      <c r="M27" s="276" t="s">
        <v>401</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166</v>
      </c>
      <c r="B28" s="1393" t="s">
        <v>167</v>
      </c>
      <c r="C28" s="1393" t="s">
        <v>168</v>
      </c>
      <c r="D28" s="1393" t="s">
        <v>169</v>
      </c>
      <c r="E28" s="1393"/>
      <c r="F28" s="2435"/>
      <c r="I28" s="2111"/>
      <c r="J28" s="1321"/>
      <c r="K28" s="352"/>
      <c r="L28" s="1308"/>
      <c r="M28" s="275" t="s">
        <v>402</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166</v>
      </c>
      <c r="B29" s="1393" t="s">
        <v>167</v>
      </c>
      <c r="C29" s="1393" t="s">
        <v>168</v>
      </c>
      <c r="D29" s="1393" t="s">
        <v>169</v>
      </c>
      <c r="E29" s="1393"/>
      <c r="F29" s="1395"/>
      <c r="G29" s="1395"/>
      <c r="H29" s="543"/>
      <c r="I29" s="356"/>
      <c r="J29" s="376"/>
      <c r="K29" s="351"/>
      <c r="L29" s="1308"/>
      <c r="M29" s="364" t="s">
        <v>403</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166</v>
      </c>
      <c r="B30" s="1393" t="s">
        <v>167</v>
      </c>
      <c r="C30" s="1393" t="s">
        <v>168</v>
      </c>
      <c r="D30" s="1393"/>
      <c r="E30" s="1393" t="s">
        <v>570</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166</v>
      </c>
      <c r="B31" s="1393" t="s">
        <v>167</v>
      </c>
      <c r="C31" s="1393"/>
      <c r="D31" s="1393"/>
      <c r="E31" s="1393" t="s">
        <v>2147</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2148</v>
      </c>
      <c r="B32" s="1393"/>
      <c r="C32" s="1393"/>
      <c r="D32" s="1393"/>
      <c r="E32" s="1393" t="s">
        <v>102</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5436" customFormat="1" customHeight="1" ht="11.25">
      <c r="A33" s="1393"/>
      <c r="B33" s="1393"/>
      <c r="C33" s="1393"/>
      <c r="D33" s="1393"/>
      <c r="E33" s="1393" t="s">
        <v>216</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702</v>
      </c>
      <c r="M35" s="2106" t="s">
        <v>2149</v>
      </c>
      <c r="N35" s="2106"/>
      <c r="O35" s="2106"/>
      <c r="P35" s="2106"/>
      <c r="Q35" s="2106"/>
      <c r="R35" s="2106"/>
      <c r="S35" s="2106"/>
      <c r="T35" s="2106"/>
      <c r="U35" s="2106"/>
      <c r="V35" s="2106"/>
      <c r="W35" s="2106"/>
      <c r="X35" s="2106"/>
    </row>
    <row customHeight="1" ht="104.25">
      <c r="H36" s="543"/>
      <c r="I36" s="1333"/>
      <c r="M36" s="2106" t="s">
        <v>2150</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1D60D5-9DB7-AF8E-D832-75D0279A1465}"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40" width="11.57421875" customWidth="1"/>
    <col min="2" max="2" style="2940" width="10.7109375" customWidth="1"/>
    <col min="3" max="3" style="2940" width="10.00390625" customWidth="1"/>
    <col min="4" max="4" style="2940" width="12.8515625" customWidth="1"/>
    <col min="5" max="5" style="2940" width="12.28125" customWidth="1"/>
    <col min="6" max="8" style="5961" width="12.28125" customWidth="1"/>
    <col min="9" max="9" style="5961"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2145</v>
      </c>
      <c r="M5" s="2441"/>
      <c r="N5" s="2441"/>
      <c r="O5" s="2441"/>
      <c r="P5" s="2441"/>
      <c r="Q5" s="2441"/>
      <c r="R5" s="2441"/>
      <c r="S5" s="2441"/>
      <c r="T5" s="2441"/>
      <c r="U5" s="2441"/>
      <c r="V5" s="1261"/>
    </row>
    <row customHeight="1" ht="14.25">
      <c r="J6" s="377"/>
      <c r="K6" s="377"/>
      <c r="L6" s="2442" t="str">
        <f>IF(org=0,"Не определено",org)</f>
        <v>АО "РИР" (филиал в г. Глазове)</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Министерство строительства, жилищно-коммунального хозяйства и энергетики УР</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411</v>
      </c>
      <c r="N9" s="292"/>
      <c r="O9" s="2100" t="str">
        <f>IF(TITLE_DATE_CHANGE_PERIOD="",IF(TITLE_DATE_PR="","",TITLE_DATE_PR),TITLE_DATE_CHANGE_PERIOD)</f>
        <v>45272.383726851855</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412</v>
      </c>
      <c r="N10" s="292"/>
      <c r="O10" s="2100" t="str">
        <f>IF(TITLE_NUMBER_PR_CHANGE="",IF(TITLE_NUMBER_PR="","",TITLE_NUMBER_PR),TITLE_NUMBER_PR_CHANGE)</f>
        <v>30/68</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40</v>
      </c>
      <c r="N11" s="292"/>
      <c r="O11" s="2100" t="str">
        <f>IF(TITLE_IST_PUB_CHANGE="",IF(TITLE_IST_PUB="","",TITLE_IST_PUB),TITLE_IST_PUB_CHANGE)</f>
        <v>www.udmurt.ru</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415</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288</v>
      </c>
      <c r="M14" s="1971"/>
      <c r="N14" s="1971"/>
      <c r="O14" s="1971"/>
      <c r="P14" s="1971"/>
      <c r="Q14" s="1971"/>
      <c r="R14" s="1971"/>
      <c r="S14" s="1971"/>
      <c r="T14" s="1971"/>
      <c r="U14" s="1971"/>
      <c r="V14" s="1971"/>
      <c r="W14" s="1971"/>
      <c r="X14" s="1971" t="s">
        <v>289</v>
      </c>
    </row>
    <row customHeight="1" ht="14.25">
      <c r="J15" s="377"/>
      <c r="K15" s="377"/>
      <c r="L15" s="2125" t="s">
        <v>86</v>
      </c>
      <c r="M15" s="2062" t="s">
        <v>416</v>
      </c>
      <c r="N15" s="289"/>
      <c r="O15" s="2126" t="s">
        <v>2146</v>
      </c>
      <c r="P15" s="2127"/>
      <c r="Q15" s="2127"/>
      <c r="R15" s="2127"/>
      <c r="S15" s="2127"/>
      <c r="T15" s="2127"/>
      <c r="U15" s="2128"/>
      <c r="V15" s="2129" t="s">
        <v>418</v>
      </c>
      <c r="W15" s="2132" t="s">
        <v>1062</v>
      </c>
      <c r="X15" s="1971"/>
    </row>
    <row customHeight="1" ht="33.75">
      <c r="J16" s="377"/>
      <c r="K16" s="377"/>
      <c r="L16" s="2125"/>
      <c r="M16" s="2062"/>
      <c r="N16" s="1038"/>
      <c r="O16" s="2135" t="s">
        <v>421</v>
      </c>
      <c r="P16" s="2135" t="s">
        <v>422</v>
      </c>
      <c r="Q16" s="2118" t="s">
        <v>423</v>
      </c>
      <c r="R16" s="2120"/>
      <c r="S16" s="2118" t="s">
        <v>436</v>
      </c>
      <c r="T16" s="2119"/>
      <c r="U16" s="2120"/>
      <c r="V16" s="2130"/>
      <c r="W16" s="2133"/>
      <c r="X16" s="1971"/>
    </row>
    <row customHeight="1" ht="33.75">
      <c r="A17" s="1288" t="s">
        <v>132</v>
      </c>
      <c r="B17" s="1288" t="s">
        <v>133</v>
      </c>
      <c r="C17" s="1288" t="s">
        <v>134</v>
      </c>
      <c r="D17" s="1288" t="s">
        <v>135</v>
      </c>
      <c r="E17" s="1288"/>
      <c r="J17" s="377"/>
      <c r="K17" s="377"/>
      <c r="L17" s="2125"/>
      <c r="M17" s="2062"/>
      <c r="N17" s="290"/>
      <c r="O17" s="2136"/>
      <c r="P17" s="2136"/>
      <c r="Q17" s="1237" t="s">
        <v>432</v>
      </c>
      <c r="R17" s="1237" t="s">
        <v>433</v>
      </c>
      <c r="S17" s="1322" t="s">
        <v>434</v>
      </c>
      <c r="T17" s="2121" t="s">
        <v>435</v>
      </c>
      <c r="U17" s="2122"/>
      <c r="V17" s="2131"/>
      <c r="W17" s="2134"/>
      <c r="X17" s="1971"/>
    </row>
    <row s="2612" customFormat="1" customHeight="1" ht="11.25">
      <c r="A18" s="1288"/>
      <c r="B18" s="1288"/>
      <c r="C18" s="1288"/>
      <c r="D18" s="1288"/>
      <c r="E18" s="1288"/>
      <c r="F18" s="1316"/>
      <c r="G18" s="1316"/>
      <c r="H18" s="1316"/>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2151</v>
      </c>
      <c r="B19" s="1296" t="s">
        <v>2152</v>
      </c>
      <c r="C19" s="1296" t="s">
        <v>2153</v>
      </c>
      <c r="D19" s="1296" t="s">
        <v>2154</v>
      </c>
      <c r="E19" s="1296"/>
      <c r="F19" s="694"/>
      <c r="G19" s="694"/>
      <c r="H19" s="694"/>
      <c r="I19" s="357"/>
      <c r="J19" s="356"/>
      <c r="K19" s="351"/>
      <c r="L19" s="1323">
        <f>INDEX(PT_DIFFERENTIATION_NUM_NTAR,MATCH(A19,PT_DIFFERENTIATION_NTAR_ID,0))</f>
      </c>
      <c r="M19" s="286" t="s">
        <v>121</v>
      </c>
      <c r="N19" s="288"/>
      <c r="O19" s="2434">
        <f>INDEX(PT_DIFFERENTIATION_NTAR,MATCH(A19,PT_DIFFERENTIATION_NTAR_ID,0))</f>
      </c>
      <c r="P19" s="2434"/>
      <c r="Q19" s="2434"/>
      <c r="R19" s="2434"/>
      <c r="S19" s="2434"/>
      <c r="T19" s="2434"/>
      <c r="U19" s="2434"/>
      <c r="V19" s="2434"/>
      <c r="W19" s="2434"/>
      <c r="X19" s="1286" t="s">
        <v>386</v>
      </c>
      <c r="Z19" s="506"/>
      <c r="AA19" s="506" t="str">
        <f>IF(M19="","",M19)</f>
        <v>Наименование тарифа</v>
      </c>
      <c r="AB19" s="506"/>
      <c r="AC19" s="506"/>
    </row>
    <row customHeight="1" ht="21">
      <c r="A20" s="1296" t="s">
        <v>2151</v>
      </c>
      <c r="B20" s="1296" t="s">
        <v>2152</v>
      </c>
      <c r="C20" s="1296" t="s">
        <v>2153</v>
      </c>
      <c r="D20" s="1296" t="s">
        <v>2154</v>
      </c>
      <c r="E20" s="1296"/>
      <c r="F20" s="694"/>
      <c r="G20" s="694"/>
      <c r="H20" s="694"/>
      <c r="I20" s="1320"/>
      <c r="J20" s="348"/>
      <c r="K20" s="349"/>
      <c r="L20" s="1323">
        <f>INDEX(PT_DIFFERENTIATION_NUM_TER,MATCH(B19,PT_DIFFERENTIATION_TER_ID,0))</f>
      </c>
      <c r="M20" s="298" t="s">
        <v>387</v>
      </c>
      <c r="N20" s="288"/>
      <c r="O20" s="2434">
        <f>INDEX(PT_DIFFERENTIATION_TER,MATCH(B19,PT_DIFFERENTIATION_TER_ID,0))</f>
      </c>
      <c r="P20" s="2434"/>
      <c r="Q20" s="2434"/>
      <c r="R20" s="2434"/>
      <c r="S20" s="2434"/>
      <c r="T20" s="2434"/>
      <c r="U20" s="2434"/>
      <c r="V20" s="2434"/>
      <c r="W20" s="2434"/>
      <c r="X20" s="1286" t="s">
        <v>388</v>
      </c>
      <c r="Z20" s="506"/>
      <c r="AA20" s="506" t="str">
        <f>IF(M20="","",M20)</f>
        <v>Территория действия тарифа</v>
      </c>
      <c r="AB20" s="506"/>
      <c r="AC20" s="506"/>
    </row>
    <row customHeight="1" ht="22.5">
      <c r="A21" s="1296" t="s">
        <v>2151</v>
      </c>
      <c r="B21" s="1296" t="s">
        <v>2152</v>
      </c>
      <c r="C21" s="1296" t="s">
        <v>2153</v>
      </c>
      <c r="D21" s="1296" t="s">
        <v>2154</v>
      </c>
      <c r="E21" s="1296"/>
      <c r="F21" s="694"/>
      <c r="G21" s="694"/>
      <c r="H21" s="694"/>
      <c r="I21" s="350"/>
      <c r="J21" s="348"/>
      <c r="K21" s="349"/>
      <c r="L21" s="1323">
        <f>INDEX(PT_DIFFERENTIATION_NUM_CS,MATCH(C19,PT_DIFFERENTIATION_CS_ID,0))</f>
      </c>
      <c r="M21" s="299" t="s">
        <v>389</v>
      </c>
      <c r="N21" s="288"/>
      <c r="O21" s="2434">
        <f>INDEX(PT_DIFFERENTIATION_CS,MATCH(C19,PT_DIFFERENTIATION_CS_ID,0))</f>
      </c>
      <c r="P21" s="2434"/>
      <c r="Q21" s="2434"/>
      <c r="R21" s="2434"/>
      <c r="S21" s="2434"/>
      <c r="T21" s="2434"/>
      <c r="U21" s="2434"/>
      <c r="V21" s="2434"/>
      <c r="W21" s="2434"/>
      <c r="X21" s="1286" t="s">
        <v>390</v>
      </c>
      <c r="Z21" s="506"/>
      <c r="AA21" s="506" t="str">
        <f>IF(M21="","",M21)</f>
        <v>Наименование системы теплоснабжения </v>
      </c>
      <c r="AB21" s="506"/>
      <c r="AC21" s="506"/>
    </row>
    <row customHeight="1" ht="21">
      <c r="A22" s="1296" t="s">
        <v>2151</v>
      </c>
      <c r="B22" s="1296" t="s">
        <v>2152</v>
      </c>
      <c r="C22" s="1296" t="s">
        <v>2153</v>
      </c>
      <c r="D22" s="1296" t="s">
        <v>2154</v>
      </c>
      <c r="E22" s="1296"/>
      <c r="F22" s="694"/>
      <c r="G22" s="694"/>
      <c r="H22" s="694"/>
      <c r="I22" s="350"/>
      <c r="J22" s="348"/>
      <c r="K22" s="349"/>
      <c r="L22" s="1323">
        <f>INDEX(PT_DIFFERENTIATION_NUM_IST_TE,MATCH(D19,PT_DIFFERENTIATION_IST_TE_ID,0))</f>
      </c>
      <c r="M22" s="300" t="s">
        <v>391</v>
      </c>
      <c r="N22" s="288"/>
      <c r="O22" s="2434">
        <f>INDEX(PT_DIFFERENTIATION_IST_TE,MATCH(D19,PT_DIFFERENTIATION_IST_TE_ID,0))</f>
      </c>
      <c r="P22" s="2434"/>
      <c r="Q22" s="2434"/>
      <c r="R22" s="2434"/>
      <c r="S22" s="2434"/>
      <c r="T22" s="2434"/>
      <c r="U22" s="2434"/>
      <c r="V22" s="2434"/>
      <c r="W22" s="2434"/>
      <c r="X22" s="1286" t="s">
        <v>392</v>
      </c>
      <c r="Z22" s="506"/>
      <c r="AA22" s="506" t="str">
        <f>IF(M22="","",M22)</f>
        <v>Источник тепловой энергии  </v>
      </c>
      <c r="AB22" s="506"/>
      <c r="AC22" s="506"/>
    </row>
    <row customHeight="1" ht="94.5">
      <c r="A23" s="1296" t="s">
        <v>2151</v>
      </c>
      <c r="B23" s="1296" t="s">
        <v>2152</v>
      </c>
      <c r="C23" s="1296" t="s">
        <v>2153</v>
      </c>
      <c r="D23" s="1296" t="s">
        <v>2154</v>
      </c>
      <c r="E23" s="1296"/>
      <c r="F23" s="1969">
        <f>L22&amp;".1"</f>
      </c>
      <c r="I23" s="2111">
        <v>1</v>
      </c>
      <c r="J23" s="1321"/>
      <c r="K23" s="352"/>
      <c r="L23" s="1323">
        <f>$F$23</f>
      </c>
      <c r="M23" s="273" t="s">
        <v>394</v>
      </c>
      <c r="N23" s="288"/>
      <c r="O23" s="2436"/>
      <c r="P23" s="2436"/>
      <c r="Q23" s="2436"/>
      <c r="R23" s="2436"/>
      <c r="S23" s="2436"/>
      <c r="T23" s="2436"/>
      <c r="U23" s="2436"/>
      <c r="V23" s="2436"/>
      <c r="W23" s="2436"/>
      <c r="X23" s="1286" t="s">
        <v>395</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2151</v>
      </c>
      <c r="B24" s="1296" t="s">
        <v>2152</v>
      </c>
      <c r="C24" s="1296" t="s">
        <v>2153</v>
      </c>
      <c r="D24" s="1296" t="s">
        <v>2154</v>
      </c>
      <c r="E24" s="1296"/>
      <c r="F24" s="1969"/>
      <c r="G24" s="1953">
        <f>F23&amp;".1"</f>
      </c>
      <c r="I24" s="2111"/>
      <c r="J24" s="2111">
        <v>1</v>
      </c>
      <c r="K24" s="353"/>
      <c r="L24" s="1323">
        <f>$G$24</f>
      </c>
      <c r="M24" s="274" t="s">
        <v>397</v>
      </c>
      <c r="N24" s="288"/>
      <c r="O24" s="2437"/>
      <c r="P24" s="2438"/>
      <c r="Q24" s="2438"/>
      <c r="R24" s="2438"/>
      <c r="S24" s="2438"/>
      <c r="T24" s="2438"/>
      <c r="U24" s="2438"/>
      <c r="V24" s="2438"/>
      <c r="W24" s="2439"/>
      <c r="X24" s="1286" t="s">
        <v>398</v>
      </c>
      <c r="Z24" s="506"/>
      <c r="AA24" s="506" t="str">
        <f>IF(M24="","",M24)</f>
        <v>Группа потребителей</v>
      </c>
      <c r="AB24" s="506"/>
      <c r="AC24" s="506"/>
    </row>
    <row customHeight="1" ht="11.25">
      <c r="A25" s="1296" t="s">
        <v>2151</v>
      </c>
      <c r="B25" s="1296" t="s">
        <v>2152</v>
      </c>
      <c r="C25" s="1296" t="s">
        <v>2153</v>
      </c>
      <c r="D25" s="1296" t="s">
        <v>2154</v>
      </c>
      <c r="E25" s="1296"/>
      <c r="F25" s="1969"/>
      <c r="G25" s="1953"/>
      <c r="H25" s="1953">
        <f>G24&amp;".1"</f>
      </c>
      <c r="I25" s="2111"/>
      <c r="J25" s="2111"/>
      <c r="K25" s="353">
        <v>1</v>
      </c>
      <c r="L25" s="1323">
        <f>$H$25</f>
      </c>
      <c r="M25" s="1287"/>
      <c r="N25" s="288"/>
      <c r="O25" s="757"/>
      <c r="P25" s="320"/>
      <c r="Q25" s="757"/>
      <c r="R25" s="1285"/>
      <c r="S25" s="2443"/>
      <c r="T25" s="1981" t="s">
        <v>60</v>
      </c>
      <c r="U25" s="2443"/>
      <c r="V25" s="1981" t="s">
        <v>55</v>
      </c>
      <c r="W25" s="320"/>
      <c r="X25" s="2137" t="s">
        <v>400</v>
      </c>
      <c r="Y25" s="517">
        <f>STRCHECKDATE(O26:W26)</f>
      </c>
      <c r="Z25" s="506"/>
      <c r="AA25" s="506" t="str">
        <f>IF(M25="","",M25)</f>
        <v/>
      </c>
      <c r="AB25" s="506"/>
      <c r="AC25" s="506"/>
    </row>
    <row customHeight="1" ht="11.25">
      <c r="A26" s="1296" t="s">
        <v>2151</v>
      </c>
      <c r="B26" s="1296" t="s">
        <v>2152</v>
      </c>
      <c r="C26" s="1296" t="s">
        <v>2153</v>
      </c>
      <c r="D26" s="1296" t="s">
        <v>2154</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2151</v>
      </c>
      <c r="B27" s="1296" t="s">
        <v>2152</v>
      </c>
      <c r="C27" s="1296" t="s">
        <v>2153</v>
      </c>
      <c r="D27" s="1296" t="s">
        <v>2154</v>
      </c>
      <c r="E27" s="1296"/>
      <c r="F27" s="1969"/>
      <c r="G27" s="1953"/>
      <c r="I27" s="2111"/>
      <c r="J27" s="2111"/>
      <c r="K27" s="352"/>
      <c r="L27" s="1308"/>
      <c r="M27" s="276" t="s">
        <v>401</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2151</v>
      </c>
      <c r="B28" s="1296" t="s">
        <v>2152</v>
      </c>
      <c r="C28" s="1296" t="s">
        <v>2153</v>
      </c>
      <c r="D28" s="1296" t="s">
        <v>2154</v>
      </c>
      <c r="E28" s="1296"/>
      <c r="F28" s="1969"/>
      <c r="I28" s="2111"/>
      <c r="J28" s="1321"/>
      <c r="K28" s="352"/>
      <c r="L28" s="1308"/>
      <c r="M28" s="275" t="s">
        <v>402</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2151</v>
      </c>
      <c r="B29" s="1296" t="s">
        <v>2152</v>
      </c>
      <c r="C29" s="1296" t="s">
        <v>2153</v>
      </c>
      <c r="D29" s="1296" t="s">
        <v>2154</v>
      </c>
      <c r="E29" s="1296"/>
      <c r="F29" s="694"/>
      <c r="G29" s="694"/>
      <c r="H29" s="515"/>
      <c r="I29" s="356"/>
      <c r="J29" s="376"/>
      <c r="K29" s="351"/>
      <c r="L29" s="1308"/>
      <c r="M29" s="364" t="s">
        <v>403</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2151</v>
      </c>
      <c r="B30" s="1296" t="s">
        <v>2152</v>
      </c>
      <c r="C30" s="1296" t="s">
        <v>2153</v>
      </c>
      <c r="D30" s="1296"/>
      <c r="E30" s="1296" t="s">
        <v>570</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2151</v>
      </c>
      <c r="B31" s="1296" t="s">
        <v>2152</v>
      </c>
      <c r="C31" s="1296"/>
      <c r="D31" s="1296"/>
      <c r="E31" s="1296" t="s">
        <v>2147</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2155</v>
      </c>
      <c r="B32" s="1296"/>
      <c r="C32" s="1296"/>
      <c r="D32" s="1296"/>
      <c r="E32" s="1296" t="s">
        <v>102</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5436" customFormat="1" customHeight="1" ht="11.25">
      <c r="A33" s="1296"/>
      <c r="B33" s="1296"/>
      <c r="C33" s="1296"/>
      <c r="D33" s="1296"/>
      <c r="E33" s="1296" t="s">
        <v>216</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702</v>
      </c>
      <c r="M35" s="2106" t="s">
        <v>2149</v>
      </c>
      <c r="N35" s="2106"/>
      <c r="O35" s="2106"/>
      <c r="P35" s="2106"/>
      <c r="Q35" s="2106"/>
      <c r="R35" s="2106"/>
      <c r="S35" s="2106"/>
      <c r="T35" s="2106"/>
      <c r="U35" s="2106"/>
      <c r="V35" s="2106"/>
      <c r="W35" s="2106"/>
      <c r="X35" s="2106"/>
    </row>
    <row customHeight="1" ht="104.25">
      <c r="F36" s="1333"/>
      <c r="G36" s="1333"/>
      <c r="H36" s="515"/>
      <c r="I36" s="1333"/>
      <c r="M36" s="2106" t="s">
        <v>2150</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C3742-CE23-0202-701A-454DB72F125B}"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40" width="10.57421875"/>
    <col min="2" max="2" style="2940" width="11.00390625" customWidth="1"/>
    <col min="3" max="3" style="2940" width="10.57421875"/>
    <col min="4" max="4" style="2940" width="11.8515625" customWidth="1"/>
    <col min="5" max="5" style="2940" width="12.28125" customWidth="1"/>
    <col min="6" max="8" style="5961" width="12.28125" customWidth="1"/>
    <col min="9" max="9" style="5961"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2145</v>
      </c>
      <c r="M5" s="2441"/>
      <c r="N5" s="2441"/>
      <c r="O5" s="2441"/>
      <c r="P5" s="2441"/>
      <c r="Q5" s="2441"/>
      <c r="R5" s="2441"/>
      <c r="S5" s="2441"/>
      <c r="T5" s="2441"/>
      <c r="U5" s="2441"/>
      <c r="V5" s="1261"/>
    </row>
    <row customHeight="1" ht="14.25">
      <c r="J6" s="377"/>
      <c r="K6" s="377"/>
      <c r="L6" s="2442" t="str">
        <f>IF(org=0,"Не определено",org)</f>
        <v>АО "РИР" (филиал в г. Глазове)</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Министерство строительства, жилищно-коммунального хозяйства и энергетики УР</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411</v>
      </c>
      <c r="N9" s="292"/>
      <c r="O9" s="2100" t="str">
        <f>IF(TITLE_DATE_CHANGE_PERIOD="",IF(TITLE_DATE_PR="","",TITLE_DATE_PR),TITLE_DATE_CHANGE_PERIOD)</f>
        <v>45272.383726851855</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412</v>
      </c>
      <c r="N10" s="292"/>
      <c r="O10" s="2100" t="str">
        <f>IF(TITLE_NUMBER_PR_CHANGE="",IF(TITLE_NUMBER_PR="","",TITLE_NUMBER_PR),TITLE_NUMBER_PR_CHANGE)</f>
        <v>30/68</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40</v>
      </c>
      <c r="N11" s="292"/>
      <c r="O11" s="2100" t="str">
        <f>IF(TITLE_IST_PUB_CHANGE="",IF(TITLE_IST_PUB="","",TITLE_IST_PUB),TITLE_IST_PUB_CHANGE)</f>
        <v>www.udmurt.ru</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415</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288</v>
      </c>
      <c r="M14" s="1971"/>
      <c r="N14" s="1971"/>
      <c r="O14" s="1971"/>
      <c r="P14" s="1971"/>
      <c r="Q14" s="1971"/>
      <c r="R14" s="1971"/>
      <c r="S14" s="1971"/>
      <c r="T14" s="1971"/>
      <c r="U14" s="1971"/>
      <c r="V14" s="1971"/>
      <c r="W14" s="1971"/>
      <c r="X14" s="1971" t="s">
        <v>289</v>
      </c>
    </row>
    <row customHeight="1" ht="14.25">
      <c r="J15" s="377"/>
      <c r="K15" s="377"/>
      <c r="L15" s="2125" t="s">
        <v>86</v>
      </c>
      <c r="M15" s="2062" t="s">
        <v>416</v>
      </c>
      <c r="N15" s="289"/>
      <c r="O15" s="2126" t="s">
        <v>2146</v>
      </c>
      <c r="P15" s="2127"/>
      <c r="Q15" s="2127"/>
      <c r="R15" s="2127"/>
      <c r="S15" s="2127"/>
      <c r="T15" s="2127"/>
      <c r="U15" s="2128"/>
      <c r="V15" s="2129" t="s">
        <v>418</v>
      </c>
      <c r="W15" s="2132" t="s">
        <v>1062</v>
      </c>
      <c r="X15" s="1971"/>
    </row>
    <row customHeight="1" ht="33.75">
      <c r="J16" s="377"/>
      <c r="K16" s="377"/>
      <c r="L16" s="2125"/>
      <c r="M16" s="2062"/>
      <c r="N16" s="1038"/>
      <c r="O16" s="2135" t="s">
        <v>421</v>
      </c>
      <c r="P16" s="2135" t="s">
        <v>422</v>
      </c>
      <c r="Q16" s="2118" t="s">
        <v>423</v>
      </c>
      <c r="R16" s="2120"/>
      <c r="S16" s="2118" t="s">
        <v>436</v>
      </c>
      <c r="T16" s="2119"/>
      <c r="U16" s="2120"/>
      <c r="V16" s="2130"/>
      <c r="W16" s="2133"/>
      <c r="X16" s="1971"/>
    </row>
    <row customHeight="1" ht="33.75">
      <c r="A17" s="1288" t="s">
        <v>132</v>
      </c>
      <c r="B17" s="1288" t="s">
        <v>133</v>
      </c>
      <c r="C17" s="1288" t="s">
        <v>134</v>
      </c>
      <c r="D17" s="1288" t="s">
        <v>135</v>
      </c>
      <c r="E17" s="1288"/>
      <c r="J17" s="377"/>
      <c r="K17" s="377"/>
      <c r="L17" s="2125"/>
      <c r="M17" s="2062"/>
      <c r="N17" s="290"/>
      <c r="O17" s="2136"/>
      <c r="P17" s="2136"/>
      <c r="Q17" s="1237" t="s">
        <v>432</v>
      </c>
      <c r="R17" s="1237" t="s">
        <v>433</v>
      </c>
      <c r="S17" s="1322" t="s">
        <v>434</v>
      </c>
      <c r="T17" s="2121" t="s">
        <v>435</v>
      </c>
      <c r="U17" s="2122"/>
      <c r="V17" s="2131"/>
      <c r="W17" s="2134"/>
      <c r="X17" s="1971"/>
    </row>
    <row s="2612" customFormat="1" customHeight="1" ht="11.25">
      <c r="A18" s="1288"/>
      <c r="B18" s="1288"/>
      <c r="C18" s="1288"/>
      <c r="D18" s="1288"/>
      <c r="E18" s="1288"/>
      <c r="F18" s="1316"/>
      <c r="G18" s="1316"/>
      <c r="H18" s="1316"/>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2156</v>
      </c>
      <c r="B19" s="1296" t="s">
        <v>2157</v>
      </c>
      <c r="C19" s="1296" t="s">
        <v>2158</v>
      </c>
      <c r="D19" s="1296" t="s">
        <v>2159</v>
      </c>
      <c r="E19" s="1296"/>
      <c r="F19" s="694"/>
      <c r="G19" s="694"/>
      <c r="H19" s="694"/>
      <c r="I19" s="357"/>
      <c r="J19" s="356"/>
      <c r="K19" s="351"/>
      <c r="L19" s="1323">
        <f>INDEX(PT_DIFFERENTIATION_NUM_NTAR,MATCH(A19,PT_DIFFERENTIATION_NTAR_ID,0))</f>
      </c>
      <c r="M19" s="286" t="s">
        <v>121</v>
      </c>
      <c r="N19" s="288"/>
      <c r="O19" s="2434">
        <f>INDEX(PT_DIFFERENTIATION_NTAR,MATCH(A19,PT_DIFFERENTIATION_NTAR_ID,0))</f>
      </c>
      <c r="P19" s="2434"/>
      <c r="Q19" s="2434"/>
      <c r="R19" s="2434"/>
      <c r="S19" s="2434"/>
      <c r="T19" s="2434"/>
      <c r="U19" s="2434"/>
      <c r="V19" s="2434"/>
      <c r="W19" s="2434"/>
      <c r="X19" s="1286" t="s">
        <v>386</v>
      </c>
      <c r="Z19" s="506"/>
      <c r="AA19" s="506" t="str">
        <f>IF(M19="","",M19)</f>
        <v>Наименование тарифа</v>
      </c>
      <c r="AB19" s="506"/>
      <c r="AC19" s="506"/>
    </row>
    <row customHeight="1" ht="21">
      <c r="A20" s="1296" t="s">
        <v>2156</v>
      </c>
      <c r="B20" s="1296" t="s">
        <v>2157</v>
      </c>
      <c r="C20" s="1296" t="s">
        <v>2158</v>
      </c>
      <c r="D20" s="1296" t="s">
        <v>2159</v>
      </c>
      <c r="E20" s="1296"/>
      <c r="F20" s="694"/>
      <c r="G20" s="694"/>
      <c r="H20" s="694"/>
      <c r="I20" s="1320"/>
      <c r="J20" s="348"/>
      <c r="K20" s="349"/>
      <c r="L20" s="1323">
        <f>INDEX(PT_DIFFERENTIATION_NUM_TER,MATCH(B19,PT_DIFFERENTIATION_TER_ID,0))</f>
      </c>
      <c r="M20" s="298" t="s">
        <v>387</v>
      </c>
      <c r="N20" s="288"/>
      <c r="O20" s="2434">
        <f>INDEX(PT_DIFFERENTIATION_TER,MATCH(B19,PT_DIFFERENTIATION_TER_ID,0))</f>
      </c>
      <c r="P20" s="2434"/>
      <c r="Q20" s="2434"/>
      <c r="R20" s="2434"/>
      <c r="S20" s="2434"/>
      <c r="T20" s="2434"/>
      <c r="U20" s="2434"/>
      <c r="V20" s="2434"/>
      <c r="W20" s="2434"/>
      <c r="X20" s="1286" t="s">
        <v>388</v>
      </c>
      <c r="Z20" s="506"/>
      <c r="AA20" s="506" t="str">
        <f>IF(M20="","",M20)</f>
        <v>Территория действия тарифа</v>
      </c>
      <c r="AB20" s="506"/>
      <c r="AC20" s="506"/>
    </row>
    <row customHeight="1" ht="22.5">
      <c r="A21" s="1296" t="s">
        <v>2156</v>
      </c>
      <c r="B21" s="1296" t="s">
        <v>2157</v>
      </c>
      <c r="C21" s="1296" t="s">
        <v>2158</v>
      </c>
      <c r="D21" s="1296" t="s">
        <v>2159</v>
      </c>
      <c r="E21" s="1296"/>
      <c r="F21" s="694"/>
      <c r="G21" s="694"/>
      <c r="H21" s="694"/>
      <c r="I21" s="350"/>
      <c r="J21" s="348"/>
      <c r="K21" s="349"/>
      <c r="L21" s="1323">
        <f>INDEX(PT_DIFFERENTIATION_NUM_CS,MATCH(C19,PT_DIFFERENTIATION_CS_ID,0))</f>
      </c>
      <c r="M21" s="299" t="s">
        <v>389</v>
      </c>
      <c r="N21" s="288"/>
      <c r="O21" s="2434">
        <f>INDEX(PT_DIFFERENTIATION_CS,MATCH(C19,PT_DIFFERENTIATION_CS_ID,0))</f>
      </c>
      <c r="P21" s="2434"/>
      <c r="Q21" s="2434"/>
      <c r="R21" s="2434"/>
      <c r="S21" s="2434"/>
      <c r="T21" s="2434"/>
      <c r="U21" s="2434"/>
      <c r="V21" s="2434"/>
      <c r="W21" s="2434"/>
      <c r="X21" s="1286" t="s">
        <v>390</v>
      </c>
      <c r="Z21" s="506"/>
      <c r="AA21" s="506" t="str">
        <f>IF(M21="","",M21)</f>
        <v>Наименование системы теплоснабжения </v>
      </c>
      <c r="AB21" s="506"/>
      <c r="AC21" s="506"/>
    </row>
    <row customHeight="1" ht="21">
      <c r="A22" s="1296" t="s">
        <v>2156</v>
      </c>
      <c r="B22" s="1296" t="s">
        <v>2157</v>
      </c>
      <c r="C22" s="1296" t="s">
        <v>2158</v>
      </c>
      <c r="D22" s="1296" t="s">
        <v>2159</v>
      </c>
      <c r="E22" s="1296"/>
      <c r="F22" s="694"/>
      <c r="G22" s="694"/>
      <c r="H22" s="694"/>
      <c r="I22" s="350"/>
      <c r="J22" s="348"/>
      <c r="K22" s="349"/>
      <c r="L22" s="1323">
        <f>INDEX(PT_DIFFERENTIATION_NUM_IST_TE,MATCH(D19,PT_DIFFERENTIATION_IST_TE_ID,0))</f>
      </c>
      <c r="M22" s="300" t="s">
        <v>391</v>
      </c>
      <c r="N22" s="288"/>
      <c r="O22" s="2434">
        <f>INDEX(PT_DIFFERENTIATION_IST_TE,MATCH(D19,PT_DIFFERENTIATION_IST_TE_ID,0))</f>
      </c>
      <c r="P22" s="2434"/>
      <c r="Q22" s="2434"/>
      <c r="R22" s="2434"/>
      <c r="S22" s="2434"/>
      <c r="T22" s="2434"/>
      <c r="U22" s="2434"/>
      <c r="V22" s="2434"/>
      <c r="W22" s="2434"/>
      <c r="X22" s="1286" t="s">
        <v>392</v>
      </c>
      <c r="Z22" s="506"/>
      <c r="AA22" s="506" t="str">
        <f>IF(M22="","",M22)</f>
        <v>Источник тепловой энергии  </v>
      </c>
      <c r="AB22" s="506"/>
      <c r="AC22" s="506"/>
    </row>
    <row customHeight="1" ht="94.5">
      <c r="A23" s="1296" t="s">
        <v>2156</v>
      </c>
      <c r="B23" s="1296" t="s">
        <v>2157</v>
      </c>
      <c r="C23" s="1296" t="s">
        <v>2158</v>
      </c>
      <c r="D23" s="1296" t="s">
        <v>2159</v>
      </c>
      <c r="E23" s="1296"/>
      <c r="F23" s="1969">
        <f>L22&amp;".1"</f>
      </c>
      <c r="I23" s="2111">
        <v>1</v>
      </c>
      <c r="J23" s="1321"/>
      <c r="K23" s="352"/>
      <c r="L23" s="1323">
        <f>$F$23</f>
      </c>
      <c r="M23" s="273" t="s">
        <v>394</v>
      </c>
      <c r="N23" s="288"/>
      <c r="O23" s="2436"/>
      <c r="P23" s="2436"/>
      <c r="Q23" s="2436"/>
      <c r="R23" s="2436"/>
      <c r="S23" s="2436"/>
      <c r="T23" s="2436"/>
      <c r="U23" s="2436"/>
      <c r="V23" s="2436"/>
      <c r="W23" s="2436"/>
      <c r="X23" s="1286" t="s">
        <v>395</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2156</v>
      </c>
      <c r="B24" s="1296" t="s">
        <v>2157</v>
      </c>
      <c r="C24" s="1296" t="s">
        <v>2158</v>
      </c>
      <c r="D24" s="1296" t="s">
        <v>2159</v>
      </c>
      <c r="E24" s="1296"/>
      <c r="F24" s="1969"/>
      <c r="G24" s="1953">
        <f>F23&amp;".1"</f>
      </c>
      <c r="I24" s="2111"/>
      <c r="J24" s="2111">
        <v>1</v>
      </c>
      <c r="K24" s="353"/>
      <c r="L24" s="1323">
        <f>$G$24</f>
      </c>
      <c r="M24" s="274" t="s">
        <v>397</v>
      </c>
      <c r="N24" s="288"/>
      <c r="O24" s="2437"/>
      <c r="P24" s="2438"/>
      <c r="Q24" s="2438"/>
      <c r="R24" s="2438"/>
      <c r="S24" s="2438"/>
      <c r="T24" s="2438"/>
      <c r="U24" s="2438"/>
      <c r="V24" s="2438"/>
      <c r="W24" s="2439"/>
      <c r="X24" s="1286" t="s">
        <v>398</v>
      </c>
      <c r="Z24" s="506"/>
      <c r="AA24" s="506" t="str">
        <f>IF(M24="","",M24)</f>
        <v>Группа потребителей</v>
      </c>
      <c r="AB24" s="506"/>
      <c r="AC24" s="506"/>
    </row>
    <row customHeight="1" ht="11.25">
      <c r="A25" s="1296" t="s">
        <v>2156</v>
      </c>
      <c r="B25" s="1296" t="s">
        <v>2157</v>
      </c>
      <c r="C25" s="1296" t="s">
        <v>2158</v>
      </c>
      <c r="D25" s="1296" t="s">
        <v>2159</v>
      </c>
      <c r="E25" s="1296"/>
      <c r="F25" s="1969"/>
      <c r="G25" s="1953"/>
      <c r="H25" s="1953">
        <f>G24&amp;".1"</f>
      </c>
      <c r="I25" s="2111"/>
      <c r="J25" s="2111"/>
      <c r="K25" s="353">
        <v>1</v>
      </c>
      <c r="L25" s="1323">
        <f>$H$25</f>
      </c>
      <c r="M25" s="1287"/>
      <c r="N25" s="288"/>
      <c r="O25" s="757"/>
      <c r="P25" s="320"/>
      <c r="Q25" s="757"/>
      <c r="R25" s="1285"/>
      <c r="S25" s="2443"/>
      <c r="T25" s="1981" t="s">
        <v>60</v>
      </c>
      <c r="U25" s="2443"/>
      <c r="V25" s="1981" t="s">
        <v>55</v>
      </c>
      <c r="W25" s="320"/>
      <c r="X25" s="2137" t="s">
        <v>400</v>
      </c>
      <c r="Y25" s="517">
        <f>STRCHECKDATE(O26:W26)</f>
      </c>
      <c r="Z25" s="506"/>
      <c r="AA25" s="506" t="str">
        <f>IF(M25="","",M25)</f>
        <v/>
      </c>
      <c r="AB25" s="506"/>
      <c r="AC25" s="506"/>
    </row>
    <row customHeight="1" ht="11.25">
      <c r="A26" s="1296" t="s">
        <v>2156</v>
      </c>
      <c r="B26" s="1296" t="s">
        <v>2157</v>
      </c>
      <c r="C26" s="1296" t="s">
        <v>2158</v>
      </c>
      <c r="D26" s="1296" t="s">
        <v>2159</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2156</v>
      </c>
      <c r="B27" s="1296" t="s">
        <v>2157</v>
      </c>
      <c r="C27" s="1296" t="s">
        <v>2158</v>
      </c>
      <c r="D27" s="1296" t="s">
        <v>2159</v>
      </c>
      <c r="E27" s="1296"/>
      <c r="F27" s="1969"/>
      <c r="G27" s="1953"/>
      <c r="I27" s="2111"/>
      <c r="J27" s="2111"/>
      <c r="K27" s="352"/>
      <c r="L27" s="1308"/>
      <c r="M27" s="276" t="s">
        <v>401</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2156</v>
      </c>
      <c r="B28" s="1296" t="s">
        <v>2157</v>
      </c>
      <c r="C28" s="1296" t="s">
        <v>2158</v>
      </c>
      <c r="D28" s="1296" t="s">
        <v>2159</v>
      </c>
      <c r="E28" s="1296"/>
      <c r="F28" s="1969"/>
      <c r="I28" s="2111"/>
      <c r="J28" s="1321"/>
      <c r="K28" s="352"/>
      <c r="L28" s="1308"/>
      <c r="M28" s="275" t="s">
        <v>402</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2156</v>
      </c>
      <c r="B29" s="1296" t="s">
        <v>2157</v>
      </c>
      <c r="C29" s="1296" t="s">
        <v>2158</v>
      </c>
      <c r="D29" s="1296" t="s">
        <v>2159</v>
      </c>
      <c r="E29" s="1296"/>
      <c r="F29" s="694"/>
      <c r="G29" s="694"/>
      <c r="H29" s="515"/>
      <c r="I29" s="356"/>
      <c r="J29" s="376"/>
      <c r="K29" s="351"/>
      <c r="L29" s="1308"/>
      <c r="M29" s="364" t="s">
        <v>403</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2156</v>
      </c>
      <c r="B30" s="1296" t="s">
        <v>2157</v>
      </c>
      <c r="C30" s="1296" t="s">
        <v>2158</v>
      </c>
      <c r="D30" s="1296"/>
      <c r="E30" s="1296" t="s">
        <v>570</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2156</v>
      </c>
      <c r="B31" s="1296" t="s">
        <v>2157</v>
      </c>
      <c r="C31" s="1296"/>
      <c r="D31" s="1296"/>
      <c r="E31" s="1296" t="s">
        <v>2147</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2160</v>
      </c>
      <c r="B32" s="1296"/>
      <c r="C32" s="1296"/>
      <c r="D32" s="1296"/>
      <c r="E32" s="1296" t="s">
        <v>102</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5436" customFormat="1" customHeight="1" ht="11.25">
      <c r="A33" s="1296"/>
      <c r="B33" s="1296"/>
      <c r="C33" s="1296"/>
      <c r="D33" s="1296"/>
      <c r="E33" s="1296" t="s">
        <v>216</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702</v>
      </c>
      <c r="M35" s="2106" t="s">
        <v>2149</v>
      </c>
      <c r="N35" s="2106"/>
      <c r="O35" s="2106"/>
      <c r="P35" s="2106"/>
      <c r="Q35" s="2106"/>
      <c r="R35" s="2106"/>
      <c r="S35" s="2106"/>
      <c r="T35" s="2106"/>
      <c r="U35" s="2106"/>
      <c r="V35" s="2106"/>
      <c r="W35" s="2106"/>
      <c r="X35" s="2106"/>
    </row>
    <row customHeight="1" ht="104.25">
      <c r="F36" s="1333"/>
      <c r="G36" s="1333"/>
      <c r="H36" s="515"/>
      <c r="I36" s="1333"/>
      <c r="M36" s="2106" t="s">
        <v>2150</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B4234E-488D-758D-F01F-358B827C6F66}"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613" width="10.57421875"/>
    <col min="7" max="8" style="3402" width="9.140625" customWidth="1"/>
    <col min="9" max="9" style="3370" width="3.7109375" customWidth="1"/>
    <col min="10" max="11" style="3371" width="3.7109375" customWidth="1"/>
    <col min="12" max="12" style="2940" width="12.7109375" customWidth="1"/>
    <col min="13" max="13" style="2940" width="47.421875" customWidth="1"/>
    <col min="14" max="14" style="2940" width="2.7109375" hidden="1" customWidth="1"/>
    <col min="15" max="18" style="2940" width="23.7109375" customWidth="1"/>
    <col min="19" max="19" style="2940" width="11.7109375" customWidth="1"/>
    <col min="20" max="20" style="2940" width="3.7109375" customWidth="1"/>
    <col min="21" max="21" style="2940" width="11.7109375" customWidth="1"/>
    <col min="22" max="22" style="2940" width="8.57421875" hidden="1" customWidth="1"/>
    <col min="23" max="23" style="2940" width="4.7109375" customWidth="1"/>
    <col min="24" max="24" style="2940" width="115.7109375" customWidth="1"/>
    <col min="25" max="29" style="2613"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2161</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5"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5" customFormat="1" customHeight="1" ht="18.75">
      <c r="A8" s="368"/>
      <c r="B8" s="368"/>
      <c r="C8" s="368"/>
      <c r="D8" s="368"/>
      <c r="E8" s="368"/>
      <c r="F8" s="368"/>
      <c r="G8" s="368"/>
      <c r="H8" s="368"/>
      <c r="L8" s="265"/>
      <c r="M8" s="283" t="s">
        <v>411</v>
      </c>
      <c r="N8" s="292"/>
      <c r="O8" s="2449">
        <f>IF(datePr_ch="",IF(datePr="","",datePr),datePr_ch)</f>
      </c>
      <c r="P8" s="2450"/>
      <c r="Q8" s="2450"/>
      <c r="R8" s="2450"/>
      <c r="S8" s="2450"/>
      <c r="T8" s="2451"/>
      <c r="U8" s="1266"/>
      <c r="Y8" s="368"/>
      <c r="Z8" s="368"/>
      <c r="AA8" s="368"/>
      <c r="AB8" s="368"/>
      <c r="AC8" s="368"/>
    </row>
    <row s="3305" customFormat="1" customHeight="1" ht="18.75">
      <c r="A9" s="368"/>
      <c r="B9" s="368"/>
      <c r="C9" s="368"/>
      <c r="D9" s="368"/>
      <c r="E9" s="368"/>
      <c r="F9" s="368"/>
      <c r="G9" s="368"/>
      <c r="H9" s="368"/>
      <c r="L9" s="318"/>
      <c r="M9" s="283" t="s">
        <v>412</v>
      </c>
      <c r="N9" s="292"/>
      <c r="O9" s="2449">
        <f>IF(numberPr_ch="",IF(numberPr="","",numberPr),numberPr_ch)</f>
      </c>
      <c r="P9" s="2450"/>
      <c r="Q9" s="2450"/>
      <c r="R9" s="2450"/>
      <c r="S9" s="2450"/>
      <c r="T9" s="2451"/>
      <c r="U9" s="1266"/>
      <c r="Y9" s="368"/>
      <c r="Z9" s="368"/>
      <c r="AA9" s="368"/>
      <c r="AB9" s="368"/>
      <c r="AC9" s="368"/>
    </row>
    <row s="3305"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6" customFormat="1" customHeight="1" ht="18.75" hidden="1">
      <c r="A11" s="1270"/>
      <c r="B11" s="1270"/>
      <c r="C11" s="1270"/>
      <c r="D11" s="1270"/>
      <c r="E11" s="1270"/>
      <c r="F11" s="1270"/>
      <c r="G11" s="1270"/>
      <c r="H11" s="1270"/>
      <c r="L11" s="318"/>
      <c r="M11" s="315"/>
      <c r="O11" s="1271"/>
      <c r="P11" s="1271"/>
      <c r="Q11" s="368" t="s">
        <v>2162</v>
      </c>
      <c r="R11" s="368" t="s">
        <v>2163</v>
      </c>
      <c r="S11" s="1271"/>
      <c r="T11" s="1271"/>
      <c r="U11" s="1266"/>
      <c r="Y11" s="1270"/>
      <c r="Z11" s="1270"/>
      <c r="AA11" s="1270"/>
      <c r="AB11" s="1270"/>
      <c r="AC11" s="1270"/>
    </row>
    <row s="3305"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415</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288</v>
      </c>
      <c r="M14" s="1971"/>
      <c r="N14" s="1971"/>
      <c r="O14" s="1971"/>
      <c r="P14" s="1971"/>
      <c r="Q14" s="1971"/>
      <c r="R14" s="1971"/>
      <c r="S14" s="1971"/>
      <c r="T14" s="1971"/>
      <c r="U14" s="1971"/>
      <c r="V14" s="1971"/>
      <c r="W14" s="1971"/>
      <c r="X14" s="1971" t="s">
        <v>289</v>
      </c>
    </row>
    <row customHeight="1" ht="14.25">
      <c r="J15" s="377"/>
      <c r="K15" s="377"/>
      <c r="L15" s="2062" t="s">
        <v>86</v>
      </c>
      <c r="M15" s="2062" t="s">
        <v>2164</v>
      </c>
      <c r="N15" s="1232"/>
      <c r="O15" s="2062" t="s">
        <v>2165</v>
      </c>
      <c r="P15" s="2061" t="s">
        <v>2166</v>
      </c>
      <c r="Q15" s="2061" t="s">
        <v>2146</v>
      </c>
      <c r="R15" s="2061"/>
      <c r="S15" s="2061"/>
      <c r="T15" s="2061"/>
      <c r="U15" s="2061"/>
      <c r="V15" s="2062" t="s">
        <v>418</v>
      </c>
      <c r="W15" s="2447" t="s">
        <v>1062</v>
      </c>
      <c r="X15" s="1971"/>
    </row>
    <row customHeight="1" ht="25.5">
      <c r="J16" s="377"/>
      <c r="K16" s="377"/>
      <c r="L16" s="2062"/>
      <c r="M16" s="2062"/>
      <c r="N16" s="1232"/>
      <c r="O16" s="2062"/>
      <c r="P16" s="2061"/>
      <c r="Q16" s="2061" t="s">
        <v>2167</v>
      </c>
      <c r="R16" s="2061"/>
      <c r="S16" s="2153" t="s">
        <v>436</v>
      </c>
      <c r="T16" s="2153"/>
      <c r="U16" s="2153"/>
      <c r="V16" s="2062"/>
      <c r="W16" s="2447"/>
      <c r="X16" s="1971"/>
    </row>
    <row customHeight="1" ht="14.25">
      <c r="J17" s="377"/>
      <c r="K17" s="377"/>
      <c r="L17" s="2062"/>
      <c r="M17" s="2062"/>
      <c r="N17" s="1232"/>
      <c r="O17" s="2062"/>
      <c r="P17" s="2061"/>
      <c r="Q17" s="1232" t="s">
        <v>465</v>
      </c>
      <c r="R17" s="1232" t="s">
        <v>466</v>
      </c>
      <c r="S17" s="1236" t="s">
        <v>434</v>
      </c>
      <c r="T17" s="2444" t="s">
        <v>435</v>
      </c>
      <c r="U17" s="2444"/>
      <c r="V17" s="2062"/>
      <c r="W17" s="2447"/>
      <c r="X17" s="1971"/>
    </row>
    <row customHeight="1" ht="14.25">
      <c r="J18" s="377"/>
      <c r="K18" s="279">
        <v>1</v>
      </c>
      <c r="L18" s="454" t="s">
        <v>107</v>
      </c>
      <c r="M18" s="454" t="s">
        <v>108</v>
      </c>
      <c r="N18" s="1268" t="s">
        <v>108</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121</v>
      </c>
      <c r="N19" s="305"/>
      <c r="O19" s="2331"/>
      <c r="P19" s="2331"/>
      <c r="Q19" s="2331"/>
      <c r="R19" s="2331"/>
      <c r="S19" s="2331"/>
      <c r="T19" s="2331"/>
      <c r="U19" s="2331"/>
      <c r="V19" s="2331"/>
      <c r="W19" s="2331"/>
      <c r="X19" s="341" t="s">
        <v>386</v>
      </c>
    </row>
    <row customHeight="1" ht="22.5">
      <c r="A20" s="2111"/>
      <c r="B20" s="2111">
        <v>1</v>
      </c>
      <c r="C20" s="524"/>
      <c r="D20" s="524"/>
      <c r="E20" s="524"/>
      <c r="F20" s="524"/>
      <c r="G20" s="386"/>
      <c r="H20" s="1235"/>
      <c r="I20" s="359"/>
      <c r="J20" s="1242"/>
      <c r="K20" s="1163"/>
      <c r="L20" s="1241">
        <f>MERGEVALUE(A20)&amp;"."&amp;MERGEVALUE(B20)</f>
      </c>
      <c r="M20" s="298" t="s">
        <v>387</v>
      </c>
      <c r="N20" s="305"/>
      <c r="O20" s="2331"/>
      <c r="P20" s="2331"/>
      <c r="Q20" s="2331"/>
      <c r="R20" s="2331"/>
      <c r="S20" s="2331"/>
      <c r="T20" s="2331"/>
      <c r="U20" s="2331"/>
      <c r="V20" s="2331"/>
      <c r="W20" s="2331"/>
      <c r="X20" s="341" t="s">
        <v>388</v>
      </c>
    </row>
    <row customHeight="1" ht="22.5">
      <c r="A21" s="2111"/>
      <c r="B21" s="2111"/>
      <c r="C21" s="2111">
        <v>1</v>
      </c>
      <c r="D21" s="524"/>
      <c r="E21" s="524"/>
      <c r="F21" s="524"/>
      <c r="G21" s="386"/>
      <c r="H21" s="1235"/>
      <c r="I21" s="360"/>
      <c r="J21" s="1242"/>
      <c r="K21" s="1163"/>
      <c r="L21" s="1241">
        <f>MERGEVALUE(A21)&amp;"."&amp;MERGEVALUE(B21)&amp;"."&amp;MERGEVALUE(C21)</f>
      </c>
      <c r="M21" s="299" t="s">
        <v>389</v>
      </c>
      <c r="N21" s="305"/>
      <c r="O21" s="2331"/>
      <c r="P21" s="2331"/>
      <c r="Q21" s="2331"/>
      <c r="R21" s="2331"/>
      <c r="S21" s="2331"/>
      <c r="T21" s="2331"/>
      <c r="U21" s="2331"/>
      <c r="V21" s="2331"/>
      <c r="W21" s="2331"/>
      <c r="X21" s="341" t="s">
        <v>390</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391</v>
      </c>
      <c r="N22" s="305"/>
      <c r="O22" s="2331"/>
      <c r="P22" s="2331"/>
      <c r="Q22" s="2331"/>
      <c r="R22" s="2331"/>
      <c r="S22" s="2331"/>
      <c r="T22" s="2331"/>
      <c r="U22" s="2331"/>
      <c r="V22" s="2331"/>
      <c r="W22" s="2331"/>
      <c r="X22" s="333" t="s">
        <v>2168</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55</v>
      </c>
      <c r="U23" s="1274"/>
      <c r="V23" s="1230" t="s">
        <v>55</v>
      </c>
      <c r="W23" s="1275"/>
      <c r="X23" s="2015" t="s">
        <v>2169</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454</v>
      </c>
      <c r="N25" s="363"/>
      <c r="O25" s="317"/>
      <c r="P25" s="317"/>
      <c r="Q25" s="317"/>
      <c r="R25" s="317"/>
      <c r="S25" s="321"/>
      <c r="T25" s="367"/>
      <c r="U25" s="366"/>
      <c r="V25" s="363"/>
      <c r="W25" s="363"/>
      <c r="X25" s="2017"/>
    </row>
    <row s="5436" customFormat="1" customHeight="1" ht="14.25">
      <c r="A26" s="2111"/>
      <c r="B26" s="2111"/>
      <c r="C26" s="2111"/>
      <c r="D26" s="385"/>
      <c r="E26" s="385"/>
      <c r="F26" s="385"/>
      <c r="G26" s="386"/>
      <c r="H26" s="385"/>
      <c r="I26" s="360"/>
      <c r="J26" s="376"/>
      <c r="K26" s="378"/>
      <c r="L26" s="297"/>
      <c r="M26" s="372" t="s">
        <v>570</v>
      </c>
      <c r="N26" s="363"/>
      <c r="O26" s="317"/>
      <c r="P26" s="317"/>
      <c r="Q26" s="317"/>
      <c r="R26" s="317"/>
      <c r="S26" s="321"/>
      <c r="T26" s="367"/>
      <c r="U26" s="366"/>
      <c r="V26" s="363"/>
      <c r="W26" s="367"/>
      <c r="X26" s="1277"/>
      <c r="Y26" s="383"/>
      <c r="Z26" s="383"/>
      <c r="AA26" s="383"/>
      <c r="AB26" s="383"/>
      <c r="AC26" s="383"/>
    </row>
    <row s="5436" customFormat="1" customHeight="1" ht="14.25">
      <c r="A27" s="2111"/>
      <c r="B27" s="2111"/>
      <c r="C27" s="385"/>
      <c r="D27" s="385"/>
      <c r="E27" s="385"/>
      <c r="F27" s="385"/>
      <c r="G27" s="386"/>
      <c r="H27" s="385"/>
      <c r="I27" s="356"/>
      <c r="J27" s="376"/>
      <c r="K27" s="378"/>
      <c r="L27" s="297"/>
      <c r="M27" s="363" t="s">
        <v>2147</v>
      </c>
      <c r="N27" s="363"/>
      <c r="O27" s="317"/>
      <c r="P27" s="317"/>
      <c r="Q27" s="317"/>
      <c r="R27" s="317"/>
      <c r="S27" s="321"/>
      <c r="T27" s="367"/>
      <c r="U27" s="366"/>
      <c r="V27" s="363"/>
      <c r="W27" s="367"/>
      <c r="X27" s="319"/>
      <c r="Y27" s="383"/>
      <c r="Z27" s="383"/>
      <c r="AA27" s="383"/>
      <c r="AB27" s="383"/>
      <c r="AC27" s="383"/>
    </row>
    <row s="5436" customFormat="1" customHeight="1" ht="14.25">
      <c r="A28" s="2111"/>
      <c r="B28" s="385"/>
      <c r="C28" s="385"/>
      <c r="D28" s="385"/>
      <c r="E28" s="385"/>
      <c r="F28" s="385"/>
      <c r="G28" s="386"/>
      <c r="H28" s="385"/>
      <c r="I28" s="356"/>
      <c r="J28" s="376"/>
      <c r="K28" s="378"/>
      <c r="L28" s="297"/>
      <c r="M28" s="421" t="s">
        <v>102</v>
      </c>
      <c r="N28" s="363"/>
      <c r="O28" s="317"/>
      <c r="P28" s="317"/>
      <c r="Q28" s="317"/>
      <c r="R28" s="317"/>
      <c r="S28" s="321"/>
      <c r="T28" s="367"/>
      <c r="U28" s="366"/>
      <c r="V28" s="363"/>
      <c r="W28" s="367"/>
      <c r="X28" s="319"/>
      <c r="Y28" s="383"/>
      <c r="Z28" s="383"/>
      <c r="AA28" s="383"/>
      <c r="AB28" s="383"/>
      <c r="AC28" s="383"/>
    </row>
    <row s="5436" customFormat="1" customHeight="1" ht="14.25">
      <c r="G29" s="365"/>
      <c r="H29" s="378"/>
      <c r="I29" s="375"/>
      <c r="J29" s="376"/>
      <c r="L29" s="297"/>
      <c r="M29" s="422" t="s">
        <v>216</v>
      </c>
      <c r="N29" s="363"/>
      <c r="O29" s="317"/>
      <c r="P29" s="317"/>
      <c r="Q29" s="317"/>
      <c r="R29" s="317"/>
      <c r="S29" s="321"/>
      <c r="T29" s="367"/>
      <c r="U29" s="366"/>
      <c r="V29" s="363"/>
      <c r="W29" s="367"/>
      <c r="X29" s="319"/>
      <c r="Y29" s="383"/>
      <c r="Z29" s="383"/>
      <c r="AA29" s="383"/>
      <c r="AB29" s="383"/>
      <c r="AC29" s="383"/>
    </row>
    <row r="31" customHeight="1" ht="14.25">
      <c r="L31" s="49">
        <v>1</v>
      </c>
      <c r="M31" s="2106" t="s">
        <v>2170</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BC27EC-F3A5-B818-2C8E-211BF0851E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C226C-30F8-41AB-0B93-08AF912EC1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E6A6C4-3154-F149-89D2-4D6E5C2E27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D1263E-AAF9-4532-999D-4007AB607F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73248D-FAB2-AC3A-537B-630055F7A0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C12E56-4056-B568-989C-1983506306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391F8F-65D2-DD83-5704-32878C8DDC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5B8E0F-73A3-762A-E698-F04153E6982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C89CA2-F4C9-C1EA-EB3A-59D94AAC2F14}"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2171</v>
      </c>
      <c r="B1" s="770" t="s">
        <v>2172</v>
      </c>
      <c r="C1" s="2452" t="s">
        <v>2173</v>
      </c>
      <c r="D1" s="2453"/>
      <c r="E1" s="842" t="s">
        <v>2174</v>
      </c>
    </row>
    <row customHeight="1" ht="11.25">
      <c r="A2" s="763"/>
      <c r="B2" s="771" t="s">
        <v>22</v>
      </c>
      <c r="C2" s="759"/>
      <c r="D2" s="770"/>
      <c r="E2" s="842"/>
    </row>
    <row customHeight="1" ht="11.25">
      <c r="A3" s="774"/>
      <c r="B3" s="772" t="s">
        <v>29</v>
      </c>
      <c r="C3" s="759"/>
      <c r="D3" s="770"/>
      <c r="E3" s="842"/>
    </row>
    <row customHeight="1" ht="11.25">
      <c r="A4" s="775"/>
      <c r="B4" s="772" t="s">
        <v>1668</v>
      </c>
      <c r="C4" s="759"/>
      <c r="D4" s="770"/>
      <c r="E4" s="842"/>
    </row>
    <row customHeight="1" ht="11.25">
      <c r="A5" s="787"/>
      <c r="B5" s="772" t="s">
        <v>1662</v>
      </c>
      <c r="C5" s="762" t="s">
        <v>1910</v>
      </c>
      <c r="D5" s="886" t="s">
        <v>2175</v>
      </c>
      <c r="E5" s="842"/>
    </row>
    <row s="5436" customFormat="1" customHeight="1" ht="11.25">
      <c r="A6" s="773"/>
      <c r="B6" s="772" t="s">
        <v>1672</v>
      </c>
      <c r="C6" s="759"/>
      <c r="D6" s="770"/>
      <c r="E6" s="842"/>
    </row>
    <row customHeight="1" ht="11.25">
      <c r="A7" s="761"/>
      <c r="B7" s="772" t="s">
        <v>1680</v>
      </c>
      <c r="C7" s="759"/>
      <c r="D7" s="770"/>
      <c r="E7" s="842"/>
    </row>
    <row customHeight="1" ht="11.25">
      <c r="A8" s="762"/>
      <c r="B8" s="772" t="s">
        <v>1675</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04B9E-B012-91FF-594F-022FDFF4D3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999B1-F64F-51B7-E2B7-77F8DAAF64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7BA986-D78A-354C-BDD9-051B141D9D81}" mc:Ignorable="x14ac xr xr2 xr3">
  <sheetPr>
    <tabColor rgb="FFFFCC99"/>
  </sheetPr>
  <dimension ref="A1:I758"/>
  <sheetViews>
    <sheetView topLeftCell="A1" showGridLines="0" workbookViewId="0">
      <selection activeCell="A1" sqref="A1"/>
    </sheetView>
  </sheetViews>
  <sheetFormatPr defaultColWidth="9.140625" customHeight="1" defaultRowHeight="11.25"/>
  <cols>
    <col min="1" max="2" style="6025" width="9.140625"/>
    <col min="3" max="3" style="6025" width="20.7109375" customWidth="1"/>
    <col min="4" max="4" style="6025" width="25.140625" customWidth="1"/>
    <col min="5" max="9" style="6025" width="9.140625"/>
  </cols>
  <sheetData>
    <row customHeight="1" ht="11.25">
      <c r="A1" s="53" t="s">
        <v>2176</v>
      </c>
      <c r="B1" s="53" t="s">
        <v>2177</v>
      </c>
      <c r="C1" s="53" t="s">
        <v>2178</v>
      </c>
      <c r="D1" s="53" t="s">
        <v>2179</v>
      </c>
      <c r="E1" s="53" t="s">
        <v>2180</v>
      </c>
      <c r="F1" s="53" t="s">
        <v>2181</v>
      </c>
      <c r="G1" s="53" t="s">
        <v>2182</v>
      </c>
      <c r="H1" s="53" t="s">
        <v>2183</v>
      </c>
      <c r="I1" s="53" t="s">
        <v>2184</v>
      </c>
    </row>
    <row customHeight="1" ht="11.25">
      <c r="A2" s="6026" t="s">
        <v>2185</v>
      </c>
      <c r="B2" s="6026" t="s">
        <v>14</v>
      </c>
      <c r="C2" s="6026" t="s">
        <v>2186</v>
      </c>
      <c r="D2" s="6026" t="s">
        <v>2187</v>
      </c>
      <c r="E2" s="6026" t="s">
        <v>2188</v>
      </c>
      <c r="F2" s="6026" t="s">
        <v>2189</v>
      </c>
      <c r="G2" s="6026" t="s">
        <v>24</v>
      </c>
      <c r="H2" s="6026" t="s">
        <v>24</v>
      </c>
      <c r="I2" s="6026" t="s">
        <v>706</v>
      </c>
    </row>
    <row customHeight="1" ht="11.25">
      <c r="A3" s="6026" t="s">
        <v>2185</v>
      </c>
      <c r="B3" s="6026" t="s">
        <v>14</v>
      </c>
      <c r="C3" s="6026" t="s">
        <v>2190</v>
      </c>
      <c r="D3" s="6026" t="s">
        <v>2191</v>
      </c>
      <c r="E3" s="6026" t="s">
        <v>2192</v>
      </c>
      <c r="F3" s="6026" t="s">
        <v>2193</v>
      </c>
      <c r="G3" s="6026" t="s">
        <v>24</v>
      </c>
      <c r="H3" s="6026" t="s">
        <v>24</v>
      </c>
      <c r="I3" s="6026" t="s">
        <v>706</v>
      </c>
    </row>
    <row customHeight="1" ht="11.25">
      <c r="A4" s="6026" t="s">
        <v>2185</v>
      </c>
      <c r="B4" s="6026" t="s">
        <v>14</v>
      </c>
      <c r="C4" s="6026" t="s">
        <v>2194</v>
      </c>
      <c r="D4" s="6026" t="s">
        <v>2195</v>
      </c>
      <c r="E4" s="6026" t="s">
        <v>2196</v>
      </c>
      <c r="F4" s="6026" t="s">
        <v>2197</v>
      </c>
      <c r="G4" s="6026" t="s">
        <v>24</v>
      </c>
      <c r="H4" s="6026" t="s">
        <v>24</v>
      </c>
      <c r="I4" s="6026" t="s">
        <v>706</v>
      </c>
    </row>
    <row customHeight="1" ht="11.25">
      <c r="A5" s="6026" t="s">
        <v>2185</v>
      </c>
      <c r="B5" s="6026" t="s">
        <v>14</v>
      </c>
      <c r="C5" s="6026" t="s">
        <v>2198</v>
      </c>
      <c r="D5" s="6026" t="s">
        <v>2195</v>
      </c>
      <c r="E5" s="6026" t="s">
        <v>2196</v>
      </c>
      <c r="F5" s="6026" t="s">
        <v>2199</v>
      </c>
      <c r="G5" s="6026" t="s">
        <v>2200</v>
      </c>
      <c r="H5" s="6026" t="s">
        <v>24</v>
      </c>
      <c r="I5" s="6026" t="s">
        <v>706</v>
      </c>
    </row>
    <row customHeight="1" ht="11.25">
      <c r="A6" s="6026" t="s">
        <v>2185</v>
      </c>
      <c r="B6" s="6026" t="s">
        <v>14</v>
      </c>
      <c r="C6" s="6026" t="s">
        <v>2201</v>
      </c>
      <c r="D6" s="6026" t="s">
        <v>2202</v>
      </c>
      <c r="E6" s="6026" t="s">
        <v>2203</v>
      </c>
      <c r="F6" s="6026" t="s">
        <v>2204</v>
      </c>
      <c r="G6" s="6026" t="s">
        <v>24</v>
      </c>
      <c r="H6" s="6026" t="s">
        <v>24</v>
      </c>
      <c r="I6" s="6026" t="s">
        <v>706</v>
      </c>
    </row>
    <row customHeight="1" ht="11.25">
      <c r="A7" s="6026" t="s">
        <v>2185</v>
      </c>
      <c r="B7" s="6026" t="s">
        <v>14</v>
      </c>
      <c r="C7" s="6026" t="s">
        <v>2205</v>
      </c>
      <c r="D7" s="6026" t="s">
        <v>2206</v>
      </c>
      <c r="E7" s="6026" t="s">
        <v>2207</v>
      </c>
      <c r="F7" s="6026" t="s">
        <v>2208</v>
      </c>
      <c r="G7" s="6026" t="s">
        <v>24</v>
      </c>
      <c r="H7" s="6026" t="s">
        <v>24</v>
      </c>
      <c r="I7" s="6026" t="s">
        <v>706</v>
      </c>
    </row>
    <row customHeight="1" ht="11.25">
      <c r="A8" s="6026" t="s">
        <v>2185</v>
      </c>
      <c r="B8" s="6026" t="s">
        <v>14</v>
      </c>
      <c r="C8" s="6026" t="s">
        <v>2209</v>
      </c>
      <c r="D8" s="6026" t="s">
        <v>2210</v>
      </c>
      <c r="E8" s="6026" t="s">
        <v>2211</v>
      </c>
      <c r="F8" s="6026" t="s">
        <v>2212</v>
      </c>
      <c r="G8" s="6026" t="s">
        <v>24</v>
      </c>
      <c r="H8" s="6026" t="s">
        <v>24</v>
      </c>
      <c r="I8" s="6026" t="s">
        <v>706</v>
      </c>
    </row>
    <row customHeight="1" ht="11.25">
      <c r="A9" s="6026" t="s">
        <v>2185</v>
      </c>
      <c r="B9" s="6026" t="s">
        <v>14</v>
      </c>
      <c r="C9" s="6026" t="s">
        <v>2213</v>
      </c>
      <c r="D9" s="6026" t="s">
        <v>2214</v>
      </c>
      <c r="E9" s="6026" t="s">
        <v>2215</v>
      </c>
      <c r="F9" s="6026" t="s">
        <v>2216</v>
      </c>
      <c r="G9" s="6026" t="s">
        <v>24</v>
      </c>
      <c r="H9" s="6026" t="s">
        <v>24</v>
      </c>
      <c r="I9" s="6026" t="s">
        <v>706</v>
      </c>
    </row>
    <row customHeight="1" ht="11.25">
      <c r="A10" s="6026" t="s">
        <v>2185</v>
      </c>
      <c r="B10" s="6026" t="s">
        <v>14</v>
      </c>
      <c r="C10" s="6026" t="s">
        <v>2217</v>
      </c>
      <c r="D10" s="6026" t="s">
        <v>2218</v>
      </c>
      <c r="E10" s="6026" t="s">
        <v>2219</v>
      </c>
      <c r="F10" s="6026" t="s">
        <v>2208</v>
      </c>
      <c r="G10" s="6026" t="s">
        <v>24</v>
      </c>
      <c r="H10" s="6026" t="s">
        <v>24</v>
      </c>
      <c r="I10" s="6026" t="s">
        <v>706</v>
      </c>
    </row>
    <row customHeight="1" ht="11.25">
      <c r="A11" s="6026" t="s">
        <v>2185</v>
      </c>
      <c r="B11" s="6026" t="s">
        <v>14</v>
      </c>
      <c r="C11" s="6026" t="s">
        <v>2220</v>
      </c>
      <c r="D11" s="6026" t="s">
        <v>2221</v>
      </c>
      <c r="E11" s="6026" t="s">
        <v>2222</v>
      </c>
      <c r="F11" s="6026" t="s">
        <v>2216</v>
      </c>
      <c r="G11" s="6026" t="s">
        <v>24</v>
      </c>
      <c r="H11" s="6026" t="s">
        <v>24</v>
      </c>
      <c r="I11" s="6026" t="s">
        <v>706</v>
      </c>
    </row>
    <row customHeight="1" ht="11.25">
      <c r="A12" s="6026" t="s">
        <v>2185</v>
      </c>
      <c r="B12" s="6026" t="s">
        <v>14</v>
      </c>
      <c r="C12" s="6026" t="s">
        <v>2223</v>
      </c>
      <c r="D12" s="6026" t="s">
        <v>2224</v>
      </c>
      <c r="E12" s="6026" t="s">
        <v>2225</v>
      </c>
      <c r="F12" s="6026" t="s">
        <v>2204</v>
      </c>
      <c r="G12" s="6026" t="s">
        <v>24</v>
      </c>
      <c r="H12" s="6026" t="s">
        <v>24</v>
      </c>
      <c r="I12" s="6026" t="s">
        <v>706</v>
      </c>
    </row>
    <row customHeight="1" ht="11.25">
      <c r="A13" s="6026" t="s">
        <v>2185</v>
      </c>
      <c r="B13" s="6026" t="s">
        <v>14</v>
      </c>
      <c r="C13" s="6026" t="s">
        <v>2226</v>
      </c>
      <c r="D13" s="6026" t="s">
        <v>2227</v>
      </c>
      <c r="E13" s="6026" t="s">
        <v>2228</v>
      </c>
      <c r="F13" s="6026" t="s">
        <v>2208</v>
      </c>
      <c r="G13" s="6026" t="s">
        <v>24</v>
      </c>
      <c r="H13" s="6026" t="s">
        <v>24</v>
      </c>
      <c r="I13" s="6026" t="s">
        <v>706</v>
      </c>
    </row>
    <row customHeight="1" ht="11.25">
      <c r="A14" s="6026" t="s">
        <v>2185</v>
      </c>
      <c r="B14" s="6026" t="s">
        <v>14</v>
      </c>
      <c r="C14" s="6026" t="s">
        <v>2229</v>
      </c>
      <c r="D14" s="6026" t="s">
        <v>2230</v>
      </c>
      <c r="E14" s="6026" t="s">
        <v>2231</v>
      </c>
      <c r="F14" s="6026" t="s">
        <v>2232</v>
      </c>
      <c r="G14" s="6026" t="s">
        <v>24</v>
      </c>
      <c r="H14" s="6026" t="s">
        <v>24</v>
      </c>
      <c r="I14" s="6026" t="s">
        <v>706</v>
      </c>
    </row>
    <row customHeight="1" ht="11.25">
      <c r="A15" s="6026" t="s">
        <v>2185</v>
      </c>
      <c r="B15" s="6026" t="s">
        <v>14</v>
      </c>
      <c r="C15" s="6026" t="s">
        <v>2233</v>
      </c>
      <c r="D15" s="6026" t="s">
        <v>2234</v>
      </c>
      <c r="E15" s="6026" t="s">
        <v>2235</v>
      </c>
      <c r="F15" s="6026" t="s">
        <v>2232</v>
      </c>
      <c r="G15" s="6026" t="s">
        <v>24</v>
      </c>
      <c r="H15" s="6026" t="s">
        <v>24</v>
      </c>
      <c r="I15" s="6026" t="s">
        <v>706</v>
      </c>
    </row>
    <row customHeight="1" ht="11.25">
      <c r="A16" s="6026" t="s">
        <v>2185</v>
      </c>
      <c r="B16" s="6026" t="s">
        <v>14</v>
      </c>
      <c r="C16" s="6026" t="s">
        <v>2236</v>
      </c>
      <c r="D16" s="6026" t="s">
        <v>2237</v>
      </c>
      <c r="E16" s="6026" t="s">
        <v>2238</v>
      </c>
      <c r="F16" s="6026" t="s">
        <v>2216</v>
      </c>
      <c r="G16" s="6026" t="s">
        <v>24</v>
      </c>
      <c r="H16" s="6026" t="s">
        <v>24</v>
      </c>
      <c r="I16" s="6026" t="s">
        <v>706</v>
      </c>
    </row>
    <row customHeight="1" ht="11.25">
      <c r="A17" s="6026" t="s">
        <v>2185</v>
      </c>
      <c r="B17" s="6026" t="s">
        <v>14</v>
      </c>
      <c r="C17" s="6026" t="s">
        <v>2239</v>
      </c>
      <c r="D17" s="6026" t="s">
        <v>45</v>
      </c>
      <c r="E17" s="6026" t="s">
        <v>48</v>
      </c>
      <c r="F17" s="6026" t="s">
        <v>50</v>
      </c>
      <c r="G17" s="6026" t="s">
        <v>24</v>
      </c>
      <c r="H17" s="6026" t="s">
        <v>24</v>
      </c>
      <c r="I17" s="6026" t="s">
        <v>706</v>
      </c>
    </row>
    <row customHeight="1" ht="11.25">
      <c r="A18" s="6026" t="s">
        <v>2185</v>
      </c>
      <c r="B18" s="6026" t="s">
        <v>14</v>
      </c>
      <c r="C18" s="6026" t="s">
        <v>2240</v>
      </c>
      <c r="D18" s="6026" t="s">
        <v>2241</v>
      </c>
      <c r="E18" s="6026" t="s">
        <v>2242</v>
      </c>
      <c r="F18" s="6026" t="s">
        <v>2204</v>
      </c>
      <c r="G18" s="6026" t="s">
        <v>2243</v>
      </c>
      <c r="H18" s="6026" t="s">
        <v>24</v>
      </c>
      <c r="I18" s="6026" t="s">
        <v>706</v>
      </c>
    </row>
    <row customHeight="1" ht="11.25">
      <c r="A19" s="6026" t="s">
        <v>2185</v>
      </c>
      <c r="B19" s="6026" t="s">
        <v>14</v>
      </c>
      <c r="C19" s="6026" t="s">
        <v>2244</v>
      </c>
      <c r="D19" s="6026" t="s">
        <v>2245</v>
      </c>
      <c r="E19" s="6026" t="s">
        <v>2246</v>
      </c>
      <c r="F19" s="6026" t="s">
        <v>2247</v>
      </c>
      <c r="G19" s="6026" t="s">
        <v>24</v>
      </c>
      <c r="H19" s="6026" t="s">
        <v>24</v>
      </c>
      <c r="I19" s="6026" t="s">
        <v>706</v>
      </c>
    </row>
    <row customHeight="1" ht="11.25">
      <c r="A20" s="6026" t="s">
        <v>2185</v>
      </c>
      <c r="B20" s="6026" t="s">
        <v>14</v>
      </c>
      <c r="C20" s="6026" t="s">
        <v>2248</v>
      </c>
      <c r="D20" s="6026" t="s">
        <v>2249</v>
      </c>
      <c r="E20" s="6026" t="s">
        <v>2250</v>
      </c>
      <c r="F20" s="6026" t="s">
        <v>2251</v>
      </c>
      <c r="G20" s="6026" t="s">
        <v>24</v>
      </c>
      <c r="H20" s="6026" t="s">
        <v>24</v>
      </c>
      <c r="I20" s="6026" t="s">
        <v>706</v>
      </c>
    </row>
    <row customHeight="1" ht="11.25">
      <c r="A21" s="6026" t="s">
        <v>2185</v>
      </c>
      <c r="B21" s="6026" t="s">
        <v>14</v>
      </c>
      <c r="C21" s="6026" t="s">
        <v>2252</v>
      </c>
      <c r="D21" s="6026" t="s">
        <v>2253</v>
      </c>
      <c r="E21" s="6026" t="s">
        <v>2254</v>
      </c>
      <c r="F21" s="6026" t="s">
        <v>2247</v>
      </c>
      <c r="G21" s="6026" t="s">
        <v>24</v>
      </c>
      <c r="H21" s="6026" t="s">
        <v>24</v>
      </c>
      <c r="I21" s="6026" t="s">
        <v>706</v>
      </c>
    </row>
    <row customHeight="1" ht="11.25">
      <c r="A22" s="6026" t="s">
        <v>2185</v>
      </c>
      <c r="B22" s="6026" t="s">
        <v>14</v>
      </c>
      <c r="C22" s="6026" t="s">
        <v>2255</v>
      </c>
      <c r="D22" s="6026" t="s">
        <v>2256</v>
      </c>
      <c r="E22" s="6026" t="s">
        <v>2257</v>
      </c>
      <c r="F22" s="6026" t="s">
        <v>2216</v>
      </c>
      <c r="G22" s="6026" t="s">
        <v>24</v>
      </c>
      <c r="H22" s="6026" t="s">
        <v>24</v>
      </c>
      <c r="I22" s="6026" t="s">
        <v>706</v>
      </c>
    </row>
    <row customHeight="1" ht="11.25">
      <c r="A23" s="6026" t="s">
        <v>2185</v>
      </c>
      <c r="B23" s="6026" t="s">
        <v>14</v>
      </c>
      <c r="C23" s="6026" t="s">
        <v>2258</v>
      </c>
      <c r="D23" s="6026" t="s">
        <v>2259</v>
      </c>
      <c r="E23" s="6026" t="s">
        <v>2260</v>
      </c>
      <c r="F23" s="6026" t="s">
        <v>2216</v>
      </c>
      <c r="G23" s="6026" t="s">
        <v>24</v>
      </c>
      <c r="H23" s="6026" t="s">
        <v>24</v>
      </c>
      <c r="I23" s="6026" t="s">
        <v>706</v>
      </c>
    </row>
    <row customHeight="1" ht="11.25">
      <c r="A24" s="6026" t="s">
        <v>2185</v>
      </c>
      <c r="B24" s="6026" t="s">
        <v>14</v>
      </c>
      <c r="C24" s="6026" t="s">
        <v>2261</v>
      </c>
      <c r="D24" s="6026" t="s">
        <v>2262</v>
      </c>
      <c r="E24" s="6026" t="s">
        <v>2263</v>
      </c>
      <c r="F24" s="6026" t="s">
        <v>2204</v>
      </c>
      <c r="G24" s="6026" t="s">
        <v>24</v>
      </c>
      <c r="H24" s="6026" t="s">
        <v>24</v>
      </c>
      <c r="I24" s="6026" t="s">
        <v>706</v>
      </c>
    </row>
    <row customHeight="1" ht="11.25">
      <c r="A25" s="6026" t="s">
        <v>2185</v>
      </c>
      <c r="B25" s="6026" t="s">
        <v>14</v>
      </c>
      <c r="C25" s="6026" t="s">
        <v>2264</v>
      </c>
      <c r="D25" s="6026" t="s">
        <v>2265</v>
      </c>
      <c r="E25" s="6026" t="s">
        <v>2266</v>
      </c>
      <c r="F25" s="6026" t="s">
        <v>2189</v>
      </c>
      <c r="G25" s="6026" t="s">
        <v>24</v>
      </c>
      <c r="H25" s="6026" t="s">
        <v>24</v>
      </c>
      <c r="I25" s="6026" t="s">
        <v>706</v>
      </c>
    </row>
    <row customHeight="1" ht="11.25">
      <c r="A26" s="6026" t="s">
        <v>2185</v>
      </c>
      <c r="B26" s="6026" t="s">
        <v>14</v>
      </c>
      <c r="C26" s="6026" t="s">
        <v>2267</v>
      </c>
      <c r="D26" s="6026" t="s">
        <v>2268</v>
      </c>
      <c r="E26" s="6026" t="s">
        <v>2266</v>
      </c>
      <c r="F26" s="6026" t="s">
        <v>50</v>
      </c>
      <c r="G26" s="6026" t="s">
        <v>24</v>
      </c>
      <c r="H26" s="6026" t="s">
        <v>24</v>
      </c>
      <c r="I26" s="6026" t="s">
        <v>706</v>
      </c>
    </row>
    <row customHeight="1" ht="11.25">
      <c r="A27" s="6026" t="s">
        <v>2185</v>
      </c>
      <c r="B27" s="6026" t="s">
        <v>14</v>
      </c>
      <c r="C27" s="6026" t="s">
        <v>2269</v>
      </c>
      <c r="D27" s="6026" t="s">
        <v>2270</v>
      </c>
      <c r="E27" s="6026" t="s">
        <v>2266</v>
      </c>
      <c r="F27" s="6026" t="s">
        <v>2271</v>
      </c>
      <c r="G27" s="6026" t="s">
        <v>24</v>
      </c>
      <c r="H27" s="6026" t="s">
        <v>24</v>
      </c>
      <c r="I27" s="6026" t="s">
        <v>706</v>
      </c>
    </row>
    <row customHeight="1" ht="11.25">
      <c r="A28" s="6026" t="s">
        <v>2185</v>
      </c>
      <c r="B28" s="6026" t="s">
        <v>14</v>
      </c>
      <c r="C28" s="6026" t="s">
        <v>2272</v>
      </c>
      <c r="D28" s="6026" t="s">
        <v>2273</v>
      </c>
      <c r="E28" s="6026" t="s">
        <v>2266</v>
      </c>
      <c r="F28" s="6026" t="s">
        <v>2274</v>
      </c>
      <c r="G28" s="6026" t="s">
        <v>24</v>
      </c>
      <c r="H28" s="6026" t="s">
        <v>24</v>
      </c>
      <c r="I28" s="6026" t="s">
        <v>706</v>
      </c>
    </row>
    <row customHeight="1" ht="11.25">
      <c r="A29" s="6026" t="s">
        <v>2185</v>
      </c>
      <c r="B29" s="6026" t="s">
        <v>14</v>
      </c>
      <c r="C29" s="6026" t="s">
        <v>2275</v>
      </c>
      <c r="D29" s="6026" t="s">
        <v>2276</v>
      </c>
      <c r="E29" s="6026" t="s">
        <v>2266</v>
      </c>
      <c r="F29" s="6026" t="s">
        <v>2277</v>
      </c>
      <c r="G29" s="6026" t="s">
        <v>24</v>
      </c>
      <c r="H29" s="6026" t="s">
        <v>24</v>
      </c>
      <c r="I29" s="6026" t="s">
        <v>706</v>
      </c>
    </row>
    <row customHeight="1" ht="11.25">
      <c r="A30" s="6026" t="s">
        <v>2185</v>
      </c>
      <c r="B30" s="6026" t="s">
        <v>14</v>
      </c>
      <c r="C30" s="6026" t="s">
        <v>2278</v>
      </c>
      <c r="D30" s="6026" t="s">
        <v>2279</v>
      </c>
      <c r="E30" s="6026" t="s">
        <v>2280</v>
      </c>
      <c r="F30" s="6026" t="s">
        <v>2216</v>
      </c>
      <c r="G30" s="6026" t="s">
        <v>24</v>
      </c>
      <c r="H30" s="6026" t="s">
        <v>24</v>
      </c>
      <c r="I30" s="6026" t="s">
        <v>706</v>
      </c>
    </row>
    <row customHeight="1" ht="11.25">
      <c r="A31" s="6026" t="s">
        <v>2185</v>
      </c>
      <c r="B31" s="6026" t="s">
        <v>14</v>
      </c>
      <c r="C31" s="6026" t="s">
        <v>2281</v>
      </c>
      <c r="D31" s="6026" t="s">
        <v>2282</v>
      </c>
      <c r="E31" s="6026" t="s">
        <v>2283</v>
      </c>
      <c r="F31" s="6026" t="s">
        <v>2284</v>
      </c>
      <c r="G31" s="6026" t="s">
        <v>24</v>
      </c>
      <c r="H31" s="6026" t="s">
        <v>24</v>
      </c>
      <c r="I31" s="6026" t="s">
        <v>706</v>
      </c>
    </row>
    <row customHeight="1" ht="11.25">
      <c r="A32" s="6026" t="s">
        <v>2185</v>
      </c>
      <c r="B32" s="6026" t="s">
        <v>14</v>
      </c>
      <c r="C32" s="6026" t="s">
        <v>2285</v>
      </c>
      <c r="D32" s="6026" t="s">
        <v>2286</v>
      </c>
      <c r="E32" s="6026" t="s">
        <v>2287</v>
      </c>
      <c r="F32" s="6026" t="s">
        <v>2288</v>
      </c>
      <c r="G32" s="6026" t="s">
        <v>24</v>
      </c>
      <c r="H32" s="6026" t="s">
        <v>24</v>
      </c>
      <c r="I32" s="6026" t="s">
        <v>706</v>
      </c>
    </row>
    <row customHeight="1" ht="11.25">
      <c r="A33" s="6026" t="s">
        <v>2185</v>
      </c>
      <c r="B33" s="6026" t="s">
        <v>14</v>
      </c>
      <c r="C33" s="6026" t="s">
        <v>2289</v>
      </c>
      <c r="D33" s="6026" t="s">
        <v>2290</v>
      </c>
      <c r="E33" s="6026" t="s">
        <v>2291</v>
      </c>
      <c r="F33" s="6026" t="s">
        <v>2292</v>
      </c>
      <c r="G33" s="6026" t="s">
        <v>24</v>
      </c>
      <c r="H33" s="6026" t="s">
        <v>24</v>
      </c>
      <c r="I33" s="6026" t="s">
        <v>706</v>
      </c>
    </row>
    <row customHeight="1" ht="11.25">
      <c r="A34" s="6026" t="s">
        <v>2185</v>
      </c>
      <c r="B34" s="6026" t="s">
        <v>14</v>
      </c>
      <c r="C34" s="6026" t="s">
        <v>2293</v>
      </c>
      <c r="D34" s="6026" t="s">
        <v>2294</v>
      </c>
      <c r="E34" s="6026" t="s">
        <v>2295</v>
      </c>
      <c r="F34" s="6026" t="s">
        <v>2189</v>
      </c>
      <c r="G34" s="6026" t="s">
        <v>24</v>
      </c>
      <c r="H34" s="6026" t="s">
        <v>24</v>
      </c>
      <c r="I34" s="6026" t="s">
        <v>706</v>
      </c>
    </row>
    <row customHeight="1" ht="11.25">
      <c r="A35" s="6026" t="s">
        <v>2185</v>
      </c>
      <c r="B35" s="6026" t="s">
        <v>14</v>
      </c>
      <c r="C35" s="6026" t="s">
        <v>2296</v>
      </c>
      <c r="D35" s="6026" t="s">
        <v>2297</v>
      </c>
      <c r="E35" s="6026" t="s">
        <v>2298</v>
      </c>
      <c r="F35" s="6026" t="s">
        <v>2208</v>
      </c>
      <c r="G35" s="6026" t="s">
        <v>24</v>
      </c>
      <c r="H35" s="6026" t="s">
        <v>24</v>
      </c>
      <c r="I35" s="6026" t="s">
        <v>706</v>
      </c>
    </row>
    <row customHeight="1" ht="11.25">
      <c r="A36" s="6026" t="s">
        <v>2185</v>
      </c>
      <c r="B36" s="6026" t="s">
        <v>14</v>
      </c>
      <c r="C36" s="6026" t="s">
        <v>2299</v>
      </c>
      <c r="D36" s="6026" t="s">
        <v>2300</v>
      </c>
      <c r="E36" s="6026" t="s">
        <v>2301</v>
      </c>
      <c r="F36" s="6026" t="s">
        <v>2204</v>
      </c>
      <c r="G36" s="6026" t="s">
        <v>24</v>
      </c>
      <c r="H36" s="6026" t="s">
        <v>24</v>
      </c>
      <c r="I36" s="6026" t="s">
        <v>706</v>
      </c>
    </row>
    <row customHeight="1" ht="11.25">
      <c r="A37" s="6026" t="s">
        <v>2185</v>
      </c>
      <c r="B37" s="6026" t="s">
        <v>14</v>
      </c>
      <c r="C37" s="6026" t="s">
        <v>2302</v>
      </c>
      <c r="D37" s="6026" t="s">
        <v>2303</v>
      </c>
      <c r="E37" s="6026" t="s">
        <v>2304</v>
      </c>
      <c r="F37" s="6026" t="s">
        <v>2305</v>
      </c>
      <c r="G37" s="6026" t="s">
        <v>24</v>
      </c>
      <c r="H37" s="6026" t="s">
        <v>24</v>
      </c>
      <c r="I37" s="6026" t="s">
        <v>706</v>
      </c>
    </row>
    <row customHeight="1" ht="11.25">
      <c r="A38" s="6026" t="s">
        <v>2185</v>
      </c>
      <c r="B38" s="6026" t="s">
        <v>14</v>
      </c>
      <c r="C38" s="6026" t="s">
        <v>2306</v>
      </c>
      <c r="D38" s="6026" t="s">
        <v>2307</v>
      </c>
      <c r="E38" s="6026" t="s">
        <v>2308</v>
      </c>
      <c r="F38" s="6026" t="s">
        <v>2189</v>
      </c>
      <c r="G38" s="6026" t="s">
        <v>24</v>
      </c>
      <c r="H38" s="6026" t="s">
        <v>24</v>
      </c>
      <c r="I38" s="6026" t="s">
        <v>706</v>
      </c>
    </row>
    <row customHeight="1" ht="11.25">
      <c r="A39" s="6026" t="s">
        <v>2185</v>
      </c>
      <c r="B39" s="6026" t="s">
        <v>14</v>
      </c>
      <c r="C39" s="6026" t="s">
        <v>2309</v>
      </c>
      <c r="D39" s="6026" t="s">
        <v>2310</v>
      </c>
      <c r="E39" s="6026" t="s">
        <v>2283</v>
      </c>
      <c r="F39" s="6026" t="s">
        <v>2311</v>
      </c>
      <c r="G39" s="6026" t="s">
        <v>24</v>
      </c>
      <c r="H39" s="6026" t="s">
        <v>24</v>
      </c>
      <c r="I39" s="6026" t="s">
        <v>706</v>
      </c>
    </row>
    <row customHeight="1" ht="11.25">
      <c r="A40" s="6026" t="s">
        <v>2185</v>
      </c>
      <c r="B40" s="6026" t="s">
        <v>14</v>
      </c>
      <c r="C40" s="6026" t="s">
        <v>2312</v>
      </c>
      <c r="D40" s="6026" t="s">
        <v>2313</v>
      </c>
      <c r="E40" s="6026" t="s">
        <v>2314</v>
      </c>
      <c r="F40" s="6026" t="s">
        <v>2189</v>
      </c>
      <c r="G40" s="6026" t="s">
        <v>24</v>
      </c>
      <c r="H40" s="6026" t="s">
        <v>24</v>
      </c>
      <c r="I40" s="6026" t="s">
        <v>706</v>
      </c>
    </row>
    <row customHeight="1" ht="11.25">
      <c r="A41" s="6026" t="s">
        <v>2185</v>
      </c>
      <c r="B41" s="6026" t="s">
        <v>14</v>
      </c>
      <c r="C41" s="6026" t="s">
        <v>2315</v>
      </c>
      <c r="D41" s="6026" t="s">
        <v>2316</v>
      </c>
      <c r="E41" s="6026" t="s">
        <v>2317</v>
      </c>
      <c r="F41" s="6026" t="s">
        <v>2292</v>
      </c>
      <c r="G41" s="6026" t="s">
        <v>24</v>
      </c>
      <c r="H41" s="6026" t="s">
        <v>24</v>
      </c>
      <c r="I41" s="6026" t="s">
        <v>706</v>
      </c>
    </row>
    <row customHeight="1" ht="11.25">
      <c r="A42" s="6026" t="s">
        <v>2185</v>
      </c>
      <c r="B42" s="6026" t="s">
        <v>14</v>
      </c>
      <c r="C42" s="6026" t="s">
        <v>2318</v>
      </c>
      <c r="D42" s="6026" t="s">
        <v>2319</v>
      </c>
      <c r="E42" s="6026" t="s">
        <v>2320</v>
      </c>
      <c r="F42" s="6026" t="s">
        <v>559</v>
      </c>
      <c r="G42" s="6026" t="s">
        <v>24</v>
      </c>
      <c r="H42" s="6026" t="s">
        <v>24</v>
      </c>
      <c r="I42" s="6026" t="s">
        <v>706</v>
      </c>
    </row>
    <row customHeight="1" ht="11.25">
      <c r="A43" s="6026" t="s">
        <v>2185</v>
      </c>
      <c r="B43" s="6026" t="s">
        <v>14</v>
      </c>
      <c r="C43" s="6026" t="s">
        <v>2321</v>
      </c>
      <c r="D43" s="6026" t="s">
        <v>2322</v>
      </c>
      <c r="E43" s="6026" t="s">
        <v>2323</v>
      </c>
      <c r="F43" s="6026" t="s">
        <v>559</v>
      </c>
      <c r="G43" s="6026" t="s">
        <v>24</v>
      </c>
      <c r="H43" s="6026" t="s">
        <v>24</v>
      </c>
      <c r="I43" s="6026" t="s">
        <v>706</v>
      </c>
    </row>
    <row customHeight="1" ht="11.25">
      <c r="A44" s="6026" t="s">
        <v>2185</v>
      </c>
      <c r="B44" s="6026" t="s">
        <v>14</v>
      </c>
      <c r="C44" s="6026" t="s">
        <v>2324</v>
      </c>
      <c r="D44" s="6026" t="s">
        <v>2325</v>
      </c>
      <c r="E44" s="6026" t="s">
        <v>2326</v>
      </c>
      <c r="F44" s="6026" t="s">
        <v>559</v>
      </c>
      <c r="G44" s="6026" t="s">
        <v>24</v>
      </c>
      <c r="H44" s="6026" t="s">
        <v>24</v>
      </c>
      <c r="I44" s="6026" t="s">
        <v>706</v>
      </c>
    </row>
    <row customHeight="1" ht="11.25">
      <c r="A45" s="6026" t="s">
        <v>2185</v>
      </c>
      <c r="B45" s="6026" t="s">
        <v>14</v>
      </c>
      <c r="C45" s="6026" t="s">
        <v>2327</v>
      </c>
      <c r="D45" s="6026" t="s">
        <v>2328</v>
      </c>
      <c r="E45" s="6026" t="s">
        <v>2329</v>
      </c>
      <c r="F45" s="6026" t="s">
        <v>559</v>
      </c>
      <c r="G45" s="6026" t="s">
        <v>24</v>
      </c>
      <c r="H45" s="6026" t="s">
        <v>24</v>
      </c>
      <c r="I45" s="6026" t="s">
        <v>706</v>
      </c>
    </row>
    <row customHeight="1" ht="11.25">
      <c r="A46" s="6026" t="s">
        <v>2185</v>
      </c>
      <c r="B46" s="6026" t="s">
        <v>14</v>
      </c>
      <c r="C46" s="6026" t="s">
        <v>2330</v>
      </c>
      <c r="D46" s="6026" t="s">
        <v>2331</v>
      </c>
      <c r="E46" s="6026" t="s">
        <v>2332</v>
      </c>
      <c r="F46" s="6026" t="s">
        <v>559</v>
      </c>
      <c r="G46" s="6026" t="s">
        <v>24</v>
      </c>
      <c r="H46" s="6026" t="s">
        <v>24</v>
      </c>
      <c r="I46" s="6026" t="s">
        <v>706</v>
      </c>
    </row>
    <row customHeight="1" ht="11.25">
      <c r="A47" s="6026" t="s">
        <v>2185</v>
      </c>
      <c r="B47" s="6026" t="s">
        <v>14</v>
      </c>
      <c r="C47" s="6026" t="s">
        <v>2333</v>
      </c>
      <c r="D47" s="6026" t="s">
        <v>2334</v>
      </c>
      <c r="E47" s="6026" t="s">
        <v>2335</v>
      </c>
      <c r="F47" s="6026" t="s">
        <v>559</v>
      </c>
      <c r="G47" s="6026" t="s">
        <v>24</v>
      </c>
      <c r="H47" s="6026" t="s">
        <v>24</v>
      </c>
      <c r="I47" s="6026" t="s">
        <v>706</v>
      </c>
    </row>
    <row customHeight="1" ht="11.25">
      <c r="A48" s="6026" t="s">
        <v>2185</v>
      </c>
      <c r="B48" s="6026" t="s">
        <v>14</v>
      </c>
      <c r="C48" s="6026" t="s">
        <v>2336</v>
      </c>
      <c r="D48" s="6026" t="s">
        <v>2337</v>
      </c>
      <c r="E48" s="6026" t="s">
        <v>2338</v>
      </c>
      <c r="F48" s="6026" t="s">
        <v>2271</v>
      </c>
      <c r="G48" s="6026" t="s">
        <v>24</v>
      </c>
      <c r="H48" s="6026" t="s">
        <v>24</v>
      </c>
      <c r="I48" s="6026" t="s">
        <v>706</v>
      </c>
    </row>
    <row customHeight="1" ht="11.25">
      <c r="A49" s="6026" t="s">
        <v>2185</v>
      </c>
      <c r="B49" s="6026" t="s">
        <v>14</v>
      </c>
      <c r="C49" s="6026" t="s">
        <v>2339</v>
      </c>
      <c r="D49" s="6026" t="s">
        <v>2340</v>
      </c>
      <c r="E49" s="6026" t="s">
        <v>2341</v>
      </c>
      <c r="F49" s="6026" t="s">
        <v>2342</v>
      </c>
      <c r="G49" s="6026" t="s">
        <v>24</v>
      </c>
      <c r="H49" s="6026" t="s">
        <v>24</v>
      </c>
      <c r="I49" s="6026" t="s">
        <v>706</v>
      </c>
    </row>
    <row customHeight="1" ht="11.25">
      <c r="A50" s="6026" t="s">
        <v>2185</v>
      </c>
      <c r="B50" s="6026" t="s">
        <v>14</v>
      </c>
      <c r="C50" s="6026" t="s">
        <v>2343</v>
      </c>
      <c r="D50" s="6026" t="s">
        <v>2344</v>
      </c>
      <c r="E50" s="6026" t="s">
        <v>2345</v>
      </c>
      <c r="F50" s="6026" t="s">
        <v>2346</v>
      </c>
      <c r="G50" s="6026" t="s">
        <v>24</v>
      </c>
      <c r="H50" s="6026" t="s">
        <v>24</v>
      </c>
      <c r="I50" s="6026" t="s">
        <v>706</v>
      </c>
    </row>
    <row customHeight="1" ht="11.25">
      <c r="A51" s="6026" t="s">
        <v>2185</v>
      </c>
      <c r="B51" s="6026" t="s">
        <v>14</v>
      </c>
      <c r="C51" s="6026" t="s">
        <v>2347</v>
      </c>
      <c r="D51" s="6026" t="s">
        <v>2348</v>
      </c>
      <c r="E51" s="6026" t="s">
        <v>2349</v>
      </c>
      <c r="F51" s="6026" t="s">
        <v>2342</v>
      </c>
      <c r="G51" s="6026" t="s">
        <v>24</v>
      </c>
      <c r="H51" s="6026" t="s">
        <v>24</v>
      </c>
      <c r="I51" s="6026" t="s">
        <v>706</v>
      </c>
    </row>
    <row customHeight="1" ht="11.25">
      <c r="A52" s="6026" t="s">
        <v>2185</v>
      </c>
      <c r="B52" s="6026" t="s">
        <v>14</v>
      </c>
      <c r="C52" s="6026" t="s">
        <v>24</v>
      </c>
      <c r="D52" s="6026" t="s">
        <v>2350</v>
      </c>
      <c r="E52" s="6026" t="s">
        <v>2351</v>
      </c>
      <c r="F52" s="6026" t="s">
        <v>2204</v>
      </c>
      <c r="G52" s="6026" t="s">
        <v>24</v>
      </c>
      <c r="H52" s="6026" t="s">
        <v>24</v>
      </c>
      <c r="I52" s="6026" t="s">
        <v>706</v>
      </c>
    </row>
    <row customHeight="1" ht="11.25">
      <c r="A53" s="6026" t="s">
        <v>2185</v>
      </c>
      <c r="B53" s="6026" t="s">
        <v>14</v>
      </c>
      <c r="C53" s="6026" t="s">
        <v>2352</v>
      </c>
      <c r="D53" s="6026" t="s">
        <v>2353</v>
      </c>
      <c r="E53" s="6026" t="s">
        <v>2354</v>
      </c>
      <c r="F53" s="6026" t="s">
        <v>2292</v>
      </c>
      <c r="G53" s="6026" t="s">
        <v>24</v>
      </c>
      <c r="H53" s="6026" t="s">
        <v>24</v>
      </c>
      <c r="I53" s="6026" t="s">
        <v>706</v>
      </c>
    </row>
    <row customHeight="1" ht="11.25">
      <c r="A54" s="6026" t="s">
        <v>2185</v>
      </c>
      <c r="B54" s="6026" t="s">
        <v>14</v>
      </c>
      <c r="C54" s="6026" t="s">
        <v>2355</v>
      </c>
      <c r="D54" s="6026" t="s">
        <v>2356</v>
      </c>
      <c r="E54" s="6026" t="s">
        <v>2357</v>
      </c>
      <c r="F54" s="6026" t="s">
        <v>2292</v>
      </c>
      <c r="G54" s="6026" t="s">
        <v>2358</v>
      </c>
      <c r="H54" s="6026" t="s">
        <v>24</v>
      </c>
      <c r="I54" s="6026" t="s">
        <v>706</v>
      </c>
    </row>
    <row customHeight="1" ht="11.25">
      <c r="A55" s="6026" t="s">
        <v>2185</v>
      </c>
      <c r="B55" s="6026" t="s">
        <v>14</v>
      </c>
      <c r="C55" s="6026" t="s">
        <v>2359</v>
      </c>
      <c r="D55" s="6026" t="s">
        <v>2360</v>
      </c>
      <c r="E55" s="6026" t="s">
        <v>2361</v>
      </c>
      <c r="F55" s="6026" t="s">
        <v>2216</v>
      </c>
      <c r="G55" s="6026" t="s">
        <v>24</v>
      </c>
      <c r="H55" s="6026" t="s">
        <v>24</v>
      </c>
      <c r="I55" s="6026" t="s">
        <v>706</v>
      </c>
    </row>
    <row customHeight="1" ht="11.25">
      <c r="A56" s="6026" t="s">
        <v>2185</v>
      </c>
      <c r="B56" s="6026" t="s">
        <v>14</v>
      </c>
      <c r="C56" s="6026" t="s">
        <v>2362</v>
      </c>
      <c r="D56" s="6026" t="s">
        <v>2363</v>
      </c>
      <c r="E56" s="6026" t="s">
        <v>2364</v>
      </c>
      <c r="F56" s="6026" t="s">
        <v>2365</v>
      </c>
      <c r="G56" s="6026" t="s">
        <v>24</v>
      </c>
      <c r="H56" s="6026" t="s">
        <v>24</v>
      </c>
      <c r="I56" s="6026" t="s">
        <v>706</v>
      </c>
    </row>
    <row customHeight="1" ht="11.25">
      <c r="A57" s="6026" t="s">
        <v>2185</v>
      </c>
      <c r="B57" s="6026" t="s">
        <v>14</v>
      </c>
      <c r="C57" s="6026" t="s">
        <v>2366</v>
      </c>
      <c r="D57" s="6026" t="s">
        <v>2367</v>
      </c>
      <c r="E57" s="6026" t="s">
        <v>2368</v>
      </c>
      <c r="F57" s="6026" t="s">
        <v>2369</v>
      </c>
      <c r="G57" s="6026" t="s">
        <v>24</v>
      </c>
      <c r="H57" s="6026" t="s">
        <v>2370</v>
      </c>
      <c r="I57" s="6026" t="s">
        <v>706</v>
      </c>
    </row>
    <row customHeight="1" ht="11.25">
      <c r="A58" s="6026" t="s">
        <v>2185</v>
      </c>
      <c r="B58" s="6026" t="s">
        <v>14</v>
      </c>
      <c r="C58" s="6026" t="s">
        <v>2371</v>
      </c>
      <c r="D58" s="6026" t="s">
        <v>2372</v>
      </c>
      <c r="E58" s="6026" t="s">
        <v>2373</v>
      </c>
      <c r="F58" s="6026" t="s">
        <v>2342</v>
      </c>
      <c r="G58" s="6026" t="s">
        <v>24</v>
      </c>
      <c r="H58" s="6026" t="s">
        <v>24</v>
      </c>
      <c r="I58" s="6026" t="s">
        <v>706</v>
      </c>
    </row>
    <row customHeight="1" ht="11.25">
      <c r="A59" s="6026" t="s">
        <v>2185</v>
      </c>
      <c r="B59" s="6026" t="s">
        <v>14</v>
      </c>
      <c r="C59" s="6026" t="s">
        <v>2374</v>
      </c>
      <c r="D59" s="6026" t="s">
        <v>2375</v>
      </c>
      <c r="E59" s="6026" t="s">
        <v>2376</v>
      </c>
      <c r="F59" s="6026" t="s">
        <v>2288</v>
      </c>
      <c r="G59" s="6026" t="s">
        <v>24</v>
      </c>
      <c r="H59" s="6026" t="s">
        <v>24</v>
      </c>
      <c r="I59" s="6026" t="s">
        <v>706</v>
      </c>
    </row>
    <row customHeight="1" ht="11.25">
      <c r="A60" s="6026" t="s">
        <v>2185</v>
      </c>
      <c r="B60" s="6026" t="s">
        <v>14</v>
      </c>
      <c r="C60" s="6026" t="s">
        <v>2377</v>
      </c>
      <c r="D60" s="6026" t="s">
        <v>2378</v>
      </c>
      <c r="E60" s="6026" t="s">
        <v>2379</v>
      </c>
      <c r="F60" s="6026" t="s">
        <v>2380</v>
      </c>
      <c r="G60" s="6026" t="s">
        <v>24</v>
      </c>
      <c r="H60" s="6026" t="s">
        <v>24</v>
      </c>
      <c r="I60" s="6026" t="s">
        <v>706</v>
      </c>
    </row>
    <row customHeight="1" ht="11.25">
      <c r="A61" s="6026" t="s">
        <v>2185</v>
      </c>
      <c r="B61" s="6026" t="s">
        <v>14</v>
      </c>
      <c r="C61" s="6026" t="s">
        <v>2381</v>
      </c>
      <c r="D61" s="6026" t="s">
        <v>2382</v>
      </c>
      <c r="E61" s="6026" t="s">
        <v>2383</v>
      </c>
      <c r="F61" s="6026" t="s">
        <v>2288</v>
      </c>
      <c r="G61" s="6026" t="s">
        <v>24</v>
      </c>
      <c r="H61" s="6026" t="s">
        <v>24</v>
      </c>
      <c r="I61" s="6026" t="s">
        <v>706</v>
      </c>
    </row>
    <row customHeight="1" ht="11.25">
      <c r="A62" s="6026" t="s">
        <v>2185</v>
      </c>
      <c r="B62" s="6026" t="s">
        <v>14</v>
      </c>
      <c r="C62" s="6026" t="s">
        <v>2384</v>
      </c>
      <c r="D62" s="6026" t="s">
        <v>2385</v>
      </c>
      <c r="E62" s="6026" t="s">
        <v>2386</v>
      </c>
      <c r="F62" s="6026" t="s">
        <v>2292</v>
      </c>
      <c r="G62" s="6026" t="s">
        <v>24</v>
      </c>
      <c r="H62" s="6026" t="s">
        <v>24</v>
      </c>
      <c r="I62" s="6026" t="s">
        <v>706</v>
      </c>
    </row>
    <row customHeight="1" ht="11.25">
      <c r="A63" s="6026" t="s">
        <v>2185</v>
      </c>
      <c r="B63" s="6026" t="s">
        <v>14</v>
      </c>
      <c r="C63" s="6026" t="s">
        <v>2387</v>
      </c>
      <c r="D63" s="6026" t="s">
        <v>2388</v>
      </c>
      <c r="E63" s="6026" t="s">
        <v>2389</v>
      </c>
      <c r="F63" s="6026" t="s">
        <v>2247</v>
      </c>
      <c r="G63" s="6026" t="s">
        <v>24</v>
      </c>
      <c r="H63" s="6026" t="s">
        <v>24</v>
      </c>
      <c r="I63" s="6026" t="s">
        <v>706</v>
      </c>
    </row>
    <row customHeight="1" ht="11.25">
      <c r="A64" s="6026" t="s">
        <v>2185</v>
      </c>
      <c r="B64" s="6026" t="s">
        <v>14</v>
      </c>
      <c r="C64" s="6026" t="s">
        <v>2390</v>
      </c>
      <c r="D64" s="6026" t="s">
        <v>2391</v>
      </c>
      <c r="E64" s="6026" t="s">
        <v>2392</v>
      </c>
      <c r="F64" s="6026" t="s">
        <v>2216</v>
      </c>
      <c r="G64" s="6026" t="s">
        <v>24</v>
      </c>
      <c r="H64" s="6026" t="s">
        <v>24</v>
      </c>
      <c r="I64" s="6026" t="s">
        <v>706</v>
      </c>
    </row>
    <row customHeight="1" ht="11.25">
      <c r="A65" s="6026" t="s">
        <v>2185</v>
      </c>
      <c r="B65" s="6026" t="s">
        <v>14</v>
      </c>
      <c r="C65" s="6026" t="s">
        <v>2393</v>
      </c>
      <c r="D65" s="6026" t="s">
        <v>2394</v>
      </c>
      <c r="E65" s="6026" t="s">
        <v>2395</v>
      </c>
      <c r="F65" s="6026" t="s">
        <v>2342</v>
      </c>
      <c r="G65" s="6026" t="s">
        <v>24</v>
      </c>
      <c r="H65" s="6026" t="s">
        <v>24</v>
      </c>
      <c r="I65" s="6026" t="s">
        <v>706</v>
      </c>
    </row>
    <row customHeight="1" ht="11.25">
      <c r="A66" s="6026" t="s">
        <v>2185</v>
      </c>
      <c r="B66" s="6026" t="s">
        <v>14</v>
      </c>
      <c r="C66" s="6026" t="s">
        <v>2396</v>
      </c>
      <c r="D66" s="6026" t="s">
        <v>2397</v>
      </c>
      <c r="E66" s="6026" t="s">
        <v>2398</v>
      </c>
      <c r="F66" s="6026" t="s">
        <v>2288</v>
      </c>
      <c r="G66" s="6026" t="s">
        <v>24</v>
      </c>
      <c r="H66" s="6026" t="s">
        <v>24</v>
      </c>
      <c r="I66" s="6026" t="s">
        <v>706</v>
      </c>
    </row>
    <row customHeight="1" ht="11.25">
      <c r="A67" s="6026" t="s">
        <v>2185</v>
      </c>
      <c r="B67" s="6026" t="s">
        <v>14</v>
      </c>
      <c r="C67" s="6026" t="s">
        <v>2399</v>
      </c>
      <c r="D67" s="6026" t="s">
        <v>2400</v>
      </c>
      <c r="E67" s="6026" t="s">
        <v>2401</v>
      </c>
      <c r="F67" s="6026" t="s">
        <v>2292</v>
      </c>
      <c r="G67" s="6026" t="s">
        <v>24</v>
      </c>
      <c r="H67" s="6026" t="s">
        <v>24</v>
      </c>
      <c r="I67" s="6026" t="s">
        <v>706</v>
      </c>
    </row>
    <row customHeight="1" ht="11.25">
      <c r="A68" s="6026" t="s">
        <v>2185</v>
      </c>
      <c r="B68" s="6026" t="s">
        <v>14</v>
      </c>
      <c r="C68" s="6026" t="s">
        <v>2402</v>
      </c>
      <c r="D68" s="6026" t="s">
        <v>2403</v>
      </c>
      <c r="E68" s="6026" t="s">
        <v>2404</v>
      </c>
      <c r="F68" s="6026" t="s">
        <v>2292</v>
      </c>
      <c r="G68" s="6026" t="s">
        <v>24</v>
      </c>
      <c r="H68" s="6026" t="s">
        <v>24</v>
      </c>
      <c r="I68" s="6026" t="s">
        <v>706</v>
      </c>
    </row>
    <row customHeight="1" ht="11.25">
      <c r="A69" s="6026" t="s">
        <v>2185</v>
      </c>
      <c r="B69" s="6026" t="s">
        <v>14</v>
      </c>
      <c r="C69" s="6026" t="s">
        <v>2405</v>
      </c>
      <c r="D69" s="6026" t="s">
        <v>2406</v>
      </c>
      <c r="E69" s="6026" t="s">
        <v>2407</v>
      </c>
      <c r="F69" s="6026" t="s">
        <v>2342</v>
      </c>
      <c r="G69" s="6026" t="s">
        <v>24</v>
      </c>
      <c r="H69" s="6026" t="s">
        <v>24</v>
      </c>
      <c r="I69" s="6026" t="s">
        <v>706</v>
      </c>
    </row>
    <row customHeight="1" ht="11.25">
      <c r="A70" s="6026" t="s">
        <v>2185</v>
      </c>
      <c r="B70" s="6026" t="s">
        <v>14</v>
      </c>
      <c r="C70" s="6026" t="s">
        <v>2408</v>
      </c>
      <c r="D70" s="6026" t="s">
        <v>2409</v>
      </c>
      <c r="E70" s="6026" t="s">
        <v>2410</v>
      </c>
      <c r="F70" s="6026" t="s">
        <v>2216</v>
      </c>
      <c r="G70" s="6026" t="s">
        <v>24</v>
      </c>
      <c r="H70" s="6026" t="s">
        <v>24</v>
      </c>
      <c r="I70" s="6026" t="s">
        <v>706</v>
      </c>
    </row>
    <row customHeight="1" ht="11.25">
      <c r="A71" s="6026" t="s">
        <v>2185</v>
      </c>
      <c r="B71" s="6026" t="s">
        <v>14</v>
      </c>
      <c r="C71" s="6026" t="s">
        <v>2411</v>
      </c>
      <c r="D71" s="6026" t="s">
        <v>2412</v>
      </c>
      <c r="E71" s="6026" t="s">
        <v>2413</v>
      </c>
      <c r="F71" s="6026" t="s">
        <v>2247</v>
      </c>
      <c r="G71" s="6026" t="s">
        <v>24</v>
      </c>
      <c r="H71" s="6026" t="s">
        <v>24</v>
      </c>
      <c r="I71" s="6026" t="s">
        <v>706</v>
      </c>
    </row>
    <row customHeight="1" ht="11.25">
      <c r="A72" s="6026" t="s">
        <v>2185</v>
      </c>
      <c r="B72" s="6026" t="s">
        <v>14</v>
      </c>
      <c r="C72" s="6026" t="s">
        <v>2414</v>
      </c>
      <c r="D72" s="6026" t="s">
        <v>2415</v>
      </c>
      <c r="E72" s="6026" t="s">
        <v>2416</v>
      </c>
      <c r="F72" s="6026" t="s">
        <v>2288</v>
      </c>
      <c r="G72" s="6026" t="s">
        <v>24</v>
      </c>
      <c r="H72" s="6026" t="s">
        <v>24</v>
      </c>
      <c r="I72" s="6026" t="s">
        <v>706</v>
      </c>
    </row>
    <row customHeight="1" ht="11.25">
      <c r="A73" s="6026" t="s">
        <v>2185</v>
      </c>
      <c r="B73" s="6026" t="s">
        <v>14</v>
      </c>
      <c r="C73" s="6026" t="s">
        <v>2417</v>
      </c>
      <c r="D73" s="6026" t="s">
        <v>2418</v>
      </c>
      <c r="E73" s="6026" t="s">
        <v>2419</v>
      </c>
      <c r="F73" s="6026" t="s">
        <v>2208</v>
      </c>
      <c r="G73" s="6026" t="s">
        <v>24</v>
      </c>
      <c r="H73" s="6026" t="s">
        <v>24</v>
      </c>
      <c r="I73" s="6026" t="s">
        <v>706</v>
      </c>
    </row>
    <row customHeight="1" ht="11.25">
      <c r="A74" s="6026" t="s">
        <v>2185</v>
      </c>
      <c r="B74" s="6026" t="s">
        <v>14</v>
      </c>
      <c r="C74" s="6026" t="s">
        <v>2420</v>
      </c>
      <c r="D74" s="6026" t="s">
        <v>2421</v>
      </c>
      <c r="E74" s="6026" t="s">
        <v>2422</v>
      </c>
      <c r="F74" s="6026" t="s">
        <v>2208</v>
      </c>
      <c r="G74" s="6026" t="s">
        <v>24</v>
      </c>
      <c r="H74" s="6026" t="s">
        <v>24</v>
      </c>
      <c r="I74" s="6026" t="s">
        <v>706</v>
      </c>
    </row>
    <row customHeight="1" ht="11.25">
      <c r="A75" s="6026" t="s">
        <v>2185</v>
      </c>
      <c r="B75" s="6026" t="s">
        <v>14</v>
      </c>
      <c r="C75" s="6026" t="s">
        <v>2423</v>
      </c>
      <c r="D75" s="6026" t="s">
        <v>2424</v>
      </c>
      <c r="E75" s="6026" t="s">
        <v>2422</v>
      </c>
      <c r="F75" s="6026" t="s">
        <v>2425</v>
      </c>
      <c r="G75" s="6026" t="s">
        <v>24</v>
      </c>
      <c r="H75" s="6026" t="s">
        <v>24</v>
      </c>
      <c r="I75" s="6026" t="s">
        <v>706</v>
      </c>
    </row>
    <row customHeight="1" ht="11.25">
      <c r="A76" s="6026" t="s">
        <v>2185</v>
      </c>
      <c r="B76" s="6026" t="s">
        <v>14</v>
      </c>
      <c r="C76" s="6026" t="s">
        <v>2426</v>
      </c>
      <c r="D76" s="6026" t="s">
        <v>2427</v>
      </c>
      <c r="E76" s="6026" t="s">
        <v>2428</v>
      </c>
      <c r="F76" s="6026" t="s">
        <v>2380</v>
      </c>
      <c r="G76" s="6026" t="s">
        <v>2429</v>
      </c>
      <c r="H76" s="6026" t="s">
        <v>24</v>
      </c>
      <c r="I76" s="6026" t="s">
        <v>706</v>
      </c>
    </row>
    <row customHeight="1" ht="11.25">
      <c r="A77" s="6026" t="s">
        <v>2185</v>
      </c>
      <c r="B77" s="6026" t="s">
        <v>14</v>
      </c>
      <c r="C77" s="6026" t="s">
        <v>2430</v>
      </c>
      <c r="D77" s="6026" t="s">
        <v>2431</v>
      </c>
      <c r="E77" s="6026" t="s">
        <v>2432</v>
      </c>
      <c r="F77" s="6026" t="s">
        <v>2380</v>
      </c>
      <c r="G77" s="6026" t="s">
        <v>2433</v>
      </c>
      <c r="H77" s="6026" t="s">
        <v>24</v>
      </c>
      <c r="I77" s="6026" t="s">
        <v>706</v>
      </c>
    </row>
    <row customHeight="1" ht="11.25">
      <c r="A78" s="6026" t="s">
        <v>2185</v>
      </c>
      <c r="B78" s="6026" t="s">
        <v>14</v>
      </c>
      <c r="C78" s="6026" t="s">
        <v>2434</v>
      </c>
      <c r="D78" s="6026" t="s">
        <v>2435</v>
      </c>
      <c r="E78" s="6026" t="s">
        <v>2436</v>
      </c>
      <c r="F78" s="6026" t="s">
        <v>2342</v>
      </c>
      <c r="G78" s="6026" t="s">
        <v>24</v>
      </c>
      <c r="H78" s="6026" t="s">
        <v>24</v>
      </c>
      <c r="I78" s="6026" t="s">
        <v>706</v>
      </c>
    </row>
    <row customHeight="1" ht="11.25">
      <c r="A79" s="6026" t="s">
        <v>2185</v>
      </c>
      <c r="B79" s="6026" t="s">
        <v>14</v>
      </c>
      <c r="C79" s="6026" t="s">
        <v>2437</v>
      </c>
      <c r="D79" s="6026" t="s">
        <v>2438</v>
      </c>
      <c r="E79" s="6026" t="s">
        <v>2439</v>
      </c>
      <c r="F79" s="6026" t="s">
        <v>2189</v>
      </c>
      <c r="G79" s="6026" t="s">
        <v>24</v>
      </c>
      <c r="H79" s="6026" t="s">
        <v>24</v>
      </c>
      <c r="I79" s="6026" t="s">
        <v>706</v>
      </c>
    </row>
    <row customHeight="1" ht="11.25">
      <c r="A80" s="6026" t="s">
        <v>2185</v>
      </c>
      <c r="B80" s="6026" t="s">
        <v>14</v>
      </c>
      <c r="C80" s="6026" t="s">
        <v>2440</v>
      </c>
      <c r="D80" s="6026" t="s">
        <v>2441</v>
      </c>
      <c r="E80" s="6026" t="s">
        <v>2442</v>
      </c>
      <c r="F80" s="6026" t="s">
        <v>2204</v>
      </c>
      <c r="G80" s="6026" t="s">
        <v>24</v>
      </c>
      <c r="H80" s="6026" t="s">
        <v>2443</v>
      </c>
      <c r="I80" s="6026" t="s">
        <v>706</v>
      </c>
    </row>
    <row customHeight="1" ht="11.25">
      <c r="A81" s="6026" t="s">
        <v>2185</v>
      </c>
      <c r="B81" s="6026" t="s">
        <v>14</v>
      </c>
      <c r="C81" s="6026" t="s">
        <v>2444</v>
      </c>
      <c r="D81" s="6026" t="s">
        <v>2445</v>
      </c>
      <c r="E81" s="6026" t="s">
        <v>2446</v>
      </c>
      <c r="F81" s="6026" t="s">
        <v>2380</v>
      </c>
      <c r="G81" s="6026" t="s">
        <v>24</v>
      </c>
      <c r="H81" s="6026" t="s">
        <v>24</v>
      </c>
      <c r="I81" s="6026" t="s">
        <v>706</v>
      </c>
    </row>
    <row customHeight="1" ht="11.25">
      <c r="A82" s="6026" t="s">
        <v>2185</v>
      </c>
      <c r="B82" s="6026" t="s">
        <v>14</v>
      </c>
      <c r="C82" s="6026" t="s">
        <v>2447</v>
      </c>
      <c r="D82" s="6026" t="s">
        <v>2448</v>
      </c>
      <c r="E82" s="6026" t="s">
        <v>2449</v>
      </c>
      <c r="F82" s="6026" t="s">
        <v>2247</v>
      </c>
      <c r="G82" s="6026" t="s">
        <v>24</v>
      </c>
      <c r="H82" s="6026" t="s">
        <v>24</v>
      </c>
      <c r="I82" s="6026" t="s">
        <v>706</v>
      </c>
    </row>
    <row customHeight="1" ht="11.25">
      <c r="A83" s="6026" t="s">
        <v>2185</v>
      </c>
      <c r="B83" s="6026" t="s">
        <v>14</v>
      </c>
      <c r="C83" s="6026" t="s">
        <v>2450</v>
      </c>
      <c r="D83" s="6026" t="s">
        <v>2451</v>
      </c>
      <c r="E83" s="6026" t="s">
        <v>2452</v>
      </c>
      <c r="F83" s="6026" t="s">
        <v>2292</v>
      </c>
      <c r="G83" s="6026" t="s">
        <v>24</v>
      </c>
      <c r="H83" s="6026" t="s">
        <v>24</v>
      </c>
      <c r="I83" s="6026" t="s">
        <v>706</v>
      </c>
    </row>
    <row customHeight="1" ht="11.25">
      <c r="A84" s="6026" t="s">
        <v>2185</v>
      </c>
      <c r="B84" s="6026" t="s">
        <v>14</v>
      </c>
      <c r="C84" s="6026" t="s">
        <v>2453</v>
      </c>
      <c r="D84" s="6026" t="s">
        <v>2454</v>
      </c>
      <c r="E84" s="6026" t="s">
        <v>2455</v>
      </c>
      <c r="F84" s="6026" t="s">
        <v>2380</v>
      </c>
      <c r="G84" s="6026" t="s">
        <v>24</v>
      </c>
      <c r="H84" s="6026" t="s">
        <v>24</v>
      </c>
      <c r="I84" s="6026" t="s">
        <v>706</v>
      </c>
    </row>
    <row customHeight="1" ht="11.25">
      <c r="A85" s="6026" t="s">
        <v>2185</v>
      </c>
      <c r="B85" s="6026" t="s">
        <v>14</v>
      </c>
      <c r="C85" s="6026" t="s">
        <v>2456</v>
      </c>
      <c r="D85" s="6026" t="s">
        <v>2457</v>
      </c>
      <c r="E85" s="6026" t="s">
        <v>2458</v>
      </c>
      <c r="F85" s="6026" t="s">
        <v>2292</v>
      </c>
      <c r="G85" s="6026" t="s">
        <v>24</v>
      </c>
      <c r="H85" s="6026" t="s">
        <v>24</v>
      </c>
      <c r="I85" s="6026" t="s">
        <v>706</v>
      </c>
    </row>
    <row customHeight="1" ht="11.25">
      <c r="A86" s="6026" t="s">
        <v>2185</v>
      </c>
      <c r="B86" s="6026" t="s">
        <v>14</v>
      </c>
      <c r="C86" s="6026" t="s">
        <v>2459</v>
      </c>
      <c r="D86" s="6026" t="s">
        <v>2460</v>
      </c>
      <c r="E86" s="6026" t="s">
        <v>2461</v>
      </c>
      <c r="F86" s="6026" t="s">
        <v>2204</v>
      </c>
      <c r="G86" s="6026" t="s">
        <v>24</v>
      </c>
      <c r="H86" s="6026" t="s">
        <v>24</v>
      </c>
      <c r="I86" s="6026" t="s">
        <v>706</v>
      </c>
    </row>
    <row customHeight="1" ht="11.25">
      <c r="A87" s="6026" t="s">
        <v>2185</v>
      </c>
      <c r="B87" s="6026" t="s">
        <v>14</v>
      </c>
      <c r="C87" s="6026" t="s">
        <v>2462</v>
      </c>
      <c r="D87" s="6026" t="s">
        <v>2463</v>
      </c>
      <c r="E87" s="6026" t="s">
        <v>2464</v>
      </c>
      <c r="F87" s="6026" t="s">
        <v>2232</v>
      </c>
      <c r="G87" s="6026" t="s">
        <v>24</v>
      </c>
      <c r="H87" s="6026" t="s">
        <v>24</v>
      </c>
      <c r="I87" s="6026" t="s">
        <v>706</v>
      </c>
    </row>
    <row customHeight="1" ht="11.25">
      <c r="A88" s="6026" t="s">
        <v>2185</v>
      </c>
      <c r="B88" s="6026" t="s">
        <v>14</v>
      </c>
      <c r="C88" s="6026" t="s">
        <v>2465</v>
      </c>
      <c r="D88" s="6026" t="s">
        <v>2466</v>
      </c>
      <c r="E88" s="6026" t="s">
        <v>2467</v>
      </c>
      <c r="F88" s="6026" t="s">
        <v>2342</v>
      </c>
      <c r="G88" s="6026" t="s">
        <v>24</v>
      </c>
      <c r="H88" s="6026" t="s">
        <v>24</v>
      </c>
      <c r="I88" s="6026" t="s">
        <v>706</v>
      </c>
    </row>
    <row customHeight="1" ht="11.25">
      <c r="A89" s="6026" t="s">
        <v>2185</v>
      </c>
      <c r="B89" s="6026" t="s">
        <v>14</v>
      </c>
      <c r="C89" s="6026" t="s">
        <v>2468</v>
      </c>
      <c r="D89" s="6026" t="s">
        <v>2469</v>
      </c>
      <c r="E89" s="6026" t="s">
        <v>2470</v>
      </c>
      <c r="F89" s="6026" t="s">
        <v>2471</v>
      </c>
      <c r="G89" s="6026" t="s">
        <v>24</v>
      </c>
      <c r="H89" s="6026" t="s">
        <v>24</v>
      </c>
      <c r="I89" s="6026" t="s">
        <v>706</v>
      </c>
    </row>
    <row customHeight="1" ht="11.25">
      <c r="A90" s="6026" t="s">
        <v>2185</v>
      </c>
      <c r="B90" s="6026" t="s">
        <v>14</v>
      </c>
      <c r="C90" s="6026" t="s">
        <v>2472</v>
      </c>
      <c r="D90" s="6026" t="s">
        <v>2473</v>
      </c>
      <c r="E90" s="6026" t="s">
        <v>2474</v>
      </c>
      <c r="F90" s="6026" t="s">
        <v>2380</v>
      </c>
      <c r="G90" s="6026" t="s">
        <v>24</v>
      </c>
      <c r="H90" s="6026" t="s">
        <v>24</v>
      </c>
      <c r="I90" s="6026" t="s">
        <v>706</v>
      </c>
    </row>
    <row customHeight="1" ht="11.25">
      <c r="A91" s="6026" t="s">
        <v>2185</v>
      </c>
      <c r="B91" s="6026" t="s">
        <v>14</v>
      </c>
      <c r="C91" s="6026" t="s">
        <v>2475</v>
      </c>
      <c r="D91" s="6026" t="s">
        <v>2476</v>
      </c>
      <c r="E91" s="6026" t="s">
        <v>2477</v>
      </c>
      <c r="F91" s="6026" t="s">
        <v>2208</v>
      </c>
      <c r="G91" s="6026" t="s">
        <v>24</v>
      </c>
      <c r="H91" s="6026" t="s">
        <v>24</v>
      </c>
      <c r="I91" s="6026" t="s">
        <v>706</v>
      </c>
    </row>
    <row customHeight="1" ht="11.25">
      <c r="A92" s="6026" t="s">
        <v>2185</v>
      </c>
      <c r="B92" s="6026" t="s">
        <v>14</v>
      </c>
      <c r="C92" s="6026" t="s">
        <v>2478</v>
      </c>
      <c r="D92" s="6026" t="s">
        <v>2479</v>
      </c>
      <c r="E92" s="6026" t="s">
        <v>2480</v>
      </c>
      <c r="F92" s="6026" t="s">
        <v>2208</v>
      </c>
      <c r="G92" s="6026" t="s">
        <v>24</v>
      </c>
      <c r="H92" s="6026" t="s">
        <v>24</v>
      </c>
      <c r="I92" s="6026" t="s">
        <v>706</v>
      </c>
    </row>
    <row customHeight="1" ht="11.25">
      <c r="A93" s="6026" t="s">
        <v>2185</v>
      </c>
      <c r="B93" s="6026" t="s">
        <v>14</v>
      </c>
      <c r="C93" s="6026" t="s">
        <v>2481</v>
      </c>
      <c r="D93" s="6026" t="s">
        <v>2482</v>
      </c>
      <c r="E93" s="6026" t="s">
        <v>2483</v>
      </c>
      <c r="F93" s="6026" t="s">
        <v>2208</v>
      </c>
      <c r="G93" s="6026" t="s">
        <v>24</v>
      </c>
      <c r="H93" s="6026" t="s">
        <v>24</v>
      </c>
      <c r="I93" s="6026" t="s">
        <v>706</v>
      </c>
    </row>
    <row customHeight="1" ht="11.25">
      <c r="A94" s="6026" t="s">
        <v>2185</v>
      </c>
      <c r="B94" s="6026" t="s">
        <v>14</v>
      </c>
      <c r="C94" s="6026" t="s">
        <v>2484</v>
      </c>
      <c r="D94" s="6026" t="s">
        <v>2485</v>
      </c>
      <c r="E94" s="6026" t="s">
        <v>2486</v>
      </c>
      <c r="F94" s="6026" t="s">
        <v>2342</v>
      </c>
      <c r="G94" s="6026" t="s">
        <v>24</v>
      </c>
      <c r="H94" s="6026" t="s">
        <v>24</v>
      </c>
      <c r="I94" s="6026" t="s">
        <v>706</v>
      </c>
    </row>
    <row customHeight="1" ht="11.25">
      <c r="A95" s="6026" t="s">
        <v>2185</v>
      </c>
      <c r="B95" s="6026" t="s">
        <v>14</v>
      </c>
      <c r="C95" s="6026" t="s">
        <v>2487</v>
      </c>
      <c r="D95" s="6026" t="s">
        <v>2488</v>
      </c>
      <c r="E95" s="6026" t="s">
        <v>2489</v>
      </c>
      <c r="F95" s="6026" t="s">
        <v>2189</v>
      </c>
      <c r="G95" s="6026" t="s">
        <v>24</v>
      </c>
      <c r="H95" s="6026" t="s">
        <v>24</v>
      </c>
      <c r="I95" s="6026" t="s">
        <v>706</v>
      </c>
    </row>
    <row customHeight="1" ht="11.25">
      <c r="A96" s="6026" t="s">
        <v>2185</v>
      </c>
      <c r="B96" s="6026" t="s">
        <v>14</v>
      </c>
      <c r="C96" s="6026" t="s">
        <v>2490</v>
      </c>
      <c r="D96" s="6026" t="s">
        <v>2491</v>
      </c>
      <c r="E96" s="6026" t="s">
        <v>2492</v>
      </c>
      <c r="F96" s="6026" t="s">
        <v>2247</v>
      </c>
      <c r="G96" s="6026" t="s">
        <v>24</v>
      </c>
      <c r="H96" s="6026" t="s">
        <v>24</v>
      </c>
      <c r="I96" s="6026" t="s">
        <v>706</v>
      </c>
    </row>
    <row customHeight="1" ht="11.25">
      <c r="A97" s="6026" t="s">
        <v>2185</v>
      </c>
      <c r="B97" s="6026" t="s">
        <v>14</v>
      </c>
      <c r="C97" s="6026" t="s">
        <v>2493</v>
      </c>
      <c r="D97" s="6026" t="s">
        <v>2494</v>
      </c>
      <c r="E97" s="6026" t="s">
        <v>2495</v>
      </c>
      <c r="F97" s="6026" t="s">
        <v>2216</v>
      </c>
      <c r="G97" s="6026" t="s">
        <v>24</v>
      </c>
      <c r="H97" s="6026" t="s">
        <v>24</v>
      </c>
      <c r="I97" s="6026" t="s">
        <v>706</v>
      </c>
    </row>
    <row customHeight="1" ht="11.25">
      <c r="A98" s="6026" t="s">
        <v>2185</v>
      </c>
      <c r="B98" s="6026" t="s">
        <v>14</v>
      </c>
      <c r="C98" s="6026" t="s">
        <v>2496</v>
      </c>
      <c r="D98" s="6026" t="s">
        <v>2497</v>
      </c>
      <c r="E98" s="6026" t="s">
        <v>2498</v>
      </c>
      <c r="F98" s="6026" t="s">
        <v>2204</v>
      </c>
      <c r="G98" s="6026" t="s">
        <v>24</v>
      </c>
      <c r="H98" s="6026" t="s">
        <v>24</v>
      </c>
      <c r="I98" s="6026" t="s">
        <v>706</v>
      </c>
    </row>
    <row customHeight="1" ht="11.25">
      <c r="A99" s="6026" t="s">
        <v>2185</v>
      </c>
      <c r="B99" s="6026" t="s">
        <v>14</v>
      </c>
      <c r="C99" s="6026" t="s">
        <v>2499</v>
      </c>
      <c r="D99" s="6026" t="s">
        <v>2500</v>
      </c>
      <c r="E99" s="6026" t="s">
        <v>2501</v>
      </c>
      <c r="F99" s="6026" t="s">
        <v>2342</v>
      </c>
      <c r="G99" s="6026" t="s">
        <v>24</v>
      </c>
      <c r="H99" s="6026" t="s">
        <v>24</v>
      </c>
      <c r="I99" s="6026" t="s">
        <v>706</v>
      </c>
    </row>
    <row customHeight="1" ht="11.25">
      <c r="A100" s="6026" t="s">
        <v>2185</v>
      </c>
      <c r="B100" s="6026" t="s">
        <v>14</v>
      </c>
      <c r="C100" s="6026" t="s">
        <v>2502</v>
      </c>
      <c r="D100" s="6026" t="s">
        <v>2503</v>
      </c>
      <c r="E100" s="6026" t="s">
        <v>2504</v>
      </c>
      <c r="F100" s="6026" t="s">
        <v>2204</v>
      </c>
      <c r="G100" s="6026" t="s">
        <v>24</v>
      </c>
      <c r="H100" s="6026" t="s">
        <v>24</v>
      </c>
      <c r="I100" s="6026" t="s">
        <v>706</v>
      </c>
    </row>
    <row customHeight="1" ht="11.25">
      <c r="A101" s="6026" t="s">
        <v>2185</v>
      </c>
      <c r="B101" s="6026" t="s">
        <v>14</v>
      </c>
      <c r="C101" s="6026" t="s">
        <v>2505</v>
      </c>
      <c r="D101" s="6026" t="s">
        <v>2506</v>
      </c>
      <c r="E101" s="6026" t="s">
        <v>2507</v>
      </c>
      <c r="F101" s="6026" t="s">
        <v>2216</v>
      </c>
      <c r="G101" s="6026" t="s">
        <v>24</v>
      </c>
      <c r="H101" s="6026" t="s">
        <v>24</v>
      </c>
      <c r="I101" s="6026" t="s">
        <v>706</v>
      </c>
    </row>
    <row customHeight="1" ht="11.25">
      <c r="A102" s="6026" t="s">
        <v>2185</v>
      </c>
      <c r="B102" s="6026" t="s">
        <v>14</v>
      </c>
      <c r="C102" s="6026" t="s">
        <v>2508</v>
      </c>
      <c r="D102" s="6026" t="s">
        <v>2509</v>
      </c>
      <c r="E102" s="6026" t="s">
        <v>2510</v>
      </c>
      <c r="F102" s="6026" t="s">
        <v>2216</v>
      </c>
      <c r="G102" s="6026" t="s">
        <v>2511</v>
      </c>
      <c r="H102" s="6026" t="s">
        <v>24</v>
      </c>
      <c r="I102" s="6026" t="s">
        <v>706</v>
      </c>
    </row>
    <row customHeight="1" ht="11.25">
      <c r="A103" s="6026" t="s">
        <v>2185</v>
      </c>
      <c r="B103" s="6026" t="s">
        <v>14</v>
      </c>
      <c r="C103" s="6026" t="s">
        <v>2512</v>
      </c>
      <c r="D103" s="6026" t="s">
        <v>2513</v>
      </c>
      <c r="E103" s="6026" t="s">
        <v>2514</v>
      </c>
      <c r="F103" s="6026" t="s">
        <v>2515</v>
      </c>
      <c r="G103" s="6026" t="s">
        <v>24</v>
      </c>
      <c r="H103" s="6026" t="s">
        <v>24</v>
      </c>
      <c r="I103" s="6026" t="s">
        <v>706</v>
      </c>
    </row>
    <row customHeight="1" ht="11.25">
      <c r="A104" s="6026" t="s">
        <v>2185</v>
      </c>
      <c r="B104" s="6026" t="s">
        <v>14</v>
      </c>
      <c r="C104" s="6026" t="s">
        <v>2516</v>
      </c>
      <c r="D104" s="6026" t="s">
        <v>2517</v>
      </c>
      <c r="E104" s="6026" t="s">
        <v>2518</v>
      </c>
      <c r="F104" s="6026" t="s">
        <v>2519</v>
      </c>
      <c r="G104" s="6026" t="s">
        <v>2520</v>
      </c>
      <c r="H104" s="6026" t="s">
        <v>24</v>
      </c>
      <c r="I104" s="6026" t="s">
        <v>706</v>
      </c>
    </row>
    <row customHeight="1" ht="11.25">
      <c r="A105" s="6026" t="s">
        <v>2185</v>
      </c>
      <c r="B105" s="6026" t="s">
        <v>14</v>
      </c>
      <c r="C105" s="6026" t="s">
        <v>2521</v>
      </c>
      <c r="D105" s="6026" t="s">
        <v>2522</v>
      </c>
      <c r="E105" s="6026" t="s">
        <v>2523</v>
      </c>
      <c r="F105" s="6026" t="s">
        <v>2189</v>
      </c>
      <c r="G105" s="6026" t="s">
        <v>24</v>
      </c>
      <c r="H105" s="6026" t="s">
        <v>24</v>
      </c>
      <c r="I105" s="6026" t="s">
        <v>706</v>
      </c>
    </row>
    <row customHeight="1" ht="11.25">
      <c r="A106" s="6026" t="s">
        <v>2185</v>
      </c>
      <c r="B106" s="6026" t="s">
        <v>14</v>
      </c>
      <c r="C106" s="6026" t="s">
        <v>2524</v>
      </c>
      <c r="D106" s="6026" t="s">
        <v>2525</v>
      </c>
      <c r="E106" s="6026" t="s">
        <v>2526</v>
      </c>
      <c r="F106" s="6026" t="s">
        <v>2216</v>
      </c>
      <c r="G106" s="6026" t="s">
        <v>24</v>
      </c>
      <c r="H106" s="6026" t="s">
        <v>2527</v>
      </c>
      <c r="I106" s="6026" t="s">
        <v>706</v>
      </c>
    </row>
    <row customHeight="1" ht="11.25">
      <c r="A107" s="6026" t="s">
        <v>2185</v>
      </c>
      <c r="B107" s="6026" t="s">
        <v>14</v>
      </c>
      <c r="C107" s="6026" t="s">
        <v>2528</v>
      </c>
      <c r="D107" s="6026" t="s">
        <v>2529</v>
      </c>
      <c r="E107" s="6026" t="s">
        <v>2530</v>
      </c>
      <c r="F107" s="6026" t="s">
        <v>2208</v>
      </c>
      <c r="G107" s="6026" t="s">
        <v>24</v>
      </c>
      <c r="H107" s="6026" t="s">
        <v>24</v>
      </c>
      <c r="I107" s="6026" t="s">
        <v>706</v>
      </c>
    </row>
    <row customHeight="1" ht="11.25">
      <c r="A108" s="6026" t="s">
        <v>2185</v>
      </c>
      <c r="B108" s="6026" t="s">
        <v>14</v>
      </c>
      <c r="C108" s="6026" t="s">
        <v>2531</v>
      </c>
      <c r="D108" s="6026" t="s">
        <v>2532</v>
      </c>
      <c r="E108" s="6026" t="s">
        <v>2533</v>
      </c>
      <c r="F108" s="6026" t="s">
        <v>2247</v>
      </c>
      <c r="G108" s="6026" t="s">
        <v>24</v>
      </c>
      <c r="H108" s="6026" t="s">
        <v>24</v>
      </c>
      <c r="I108" s="6026" t="s">
        <v>706</v>
      </c>
    </row>
    <row customHeight="1" ht="11.25">
      <c r="A109" s="6026" t="s">
        <v>2185</v>
      </c>
      <c r="B109" s="6026" t="s">
        <v>14</v>
      </c>
      <c r="C109" s="6026" t="s">
        <v>2534</v>
      </c>
      <c r="D109" s="6026" t="s">
        <v>2535</v>
      </c>
      <c r="E109" s="6026" t="s">
        <v>2536</v>
      </c>
      <c r="F109" s="6026" t="s">
        <v>2292</v>
      </c>
      <c r="G109" s="6026" t="s">
        <v>24</v>
      </c>
      <c r="H109" s="6026" t="s">
        <v>24</v>
      </c>
      <c r="I109" s="6026" t="s">
        <v>706</v>
      </c>
    </row>
    <row customHeight="1" ht="11.25">
      <c r="A110" s="6026" t="s">
        <v>2185</v>
      </c>
      <c r="B110" s="6026" t="s">
        <v>14</v>
      </c>
      <c r="C110" s="6026" t="s">
        <v>2537</v>
      </c>
      <c r="D110" s="6026" t="s">
        <v>2538</v>
      </c>
      <c r="E110" s="6026" t="s">
        <v>2539</v>
      </c>
      <c r="F110" s="6026" t="s">
        <v>2540</v>
      </c>
      <c r="G110" s="6026" t="s">
        <v>24</v>
      </c>
      <c r="H110" s="6026" t="s">
        <v>24</v>
      </c>
      <c r="I110" s="6026" t="s">
        <v>706</v>
      </c>
    </row>
    <row customHeight="1" ht="11.25">
      <c r="A111" s="6026" t="s">
        <v>2185</v>
      </c>
      <c r="B111" s="6026" t="s">
        <v>14</v>
      </c>
      <c r="C111" s="6026" t="s">
        <v>2541</v>
      </c>
      <c r="D111" s="6026" t="s">
        <v>2542</v>
      </c>
      <c r="E111" s="6026" t="s">
        <v>2543</v>
      </c>
      <c r="F111" s="6026" t="s">
        <v>2544</v>
      </c>
      <c r="G111" s="6026" t="s">
        <v>24</v>
      </c>
      <c r="H111" s="6026" t="s">
        <v>24</v>
      </c>
      <c r="I111" s="6026" t="s">
        <v>706</v>
      </c>
    </row>
    <row customHeight="1" ht="11.25">
      <c r="A112" s="6026" t="s">
        <v>2185</v>
      </c>
      <c r="B112" s="6026" t="s">
        <v>14</v>
      </c>
      <c r="C112" s="6026" t="s">
        <v>2545</v>
      </c>
      <c r="D112" s="6026" t="s">
        <v>2546</v>
      </c>
      <c r="E112" s="6026" t="s">
        <v>2547</v>
      </c>
      <c r="F112" s="6026" t="s">
        <v>2548</v>
      </c>
      <c r="G112" s="6026" t="s">
        <v>24</v>
      </c>
      <c r="H112" s="6026" t="s">
        <v>24</v>
      </c>
      <c r="I112" s="6026" t="s">
        <v>706</v>
      </c>
    </row>
    <row customHeight="1" ht="11.25">
      <c r="A113" s="6026" t="s">
        <v>2185</v>
      </c>
      <c r="B113" s="6026" t="s">
        <v>14</v>
      </c>
      <c r="C113" s="6026" t="s">
        <v>2549</v>
      </c>
      <c r="D113" s="6026" t="s">
        <v>2550</v>
      </c>
      <c r="E113" s="6026" t="s">
        <v>2551</v>
      </c>
      <c r="F113" s="6026" t="s">
        <v>2342</v>
      </c>
      <c r="G113" s="6026" t="s">
        <v>24</v>
      </c>
      <c r="H113" s="6026" t="s">
        <v>24</v>
      </c>
      <c r="I113" s="6026" t="s">
        <v>706</v>
      </c>
    </row>
    <row customHeight="1" ht="11.25">
      <c r="A114" s="6026" t="s">
        <v>2185</v>
      </c>
      <c r="B114" s="6026" t="s">
        <v>14</v>
      </c>
      <c r="C114" s="6026" t="s">
        <v>2552</v>
      </c>
      <c r="D114" s="6026" t="s">
        <v>2553</v>
      </c>
      <c r="E114" s="6026" t="s">
        <v>2554</v>
      </c>
      <c r="F114" s="6026" t="s">
        <v>2216</v>
      </c>
      <c r="G114" s="6026" t="s">
        <v>24</v>
      </c>
      <c r="H114" s="6026" t="s">
        <v>24</v>
      </c>
      <c r="I114" s="6026" t="s">
        <v>706</v>
      </c>
    </row>
    <row customHeight="1" ht="11.25">
      <c r="A115" s="6026" t="s">
        <v>2185</v>
      </c>
      <c r="B115" s="6026" t="s">
        <v>14</v>
      </c>
      <c r="C115" s="6026" t="s">
        <v>2555</v>
      </c>
      <c r="D115" s="6026" t="s">
        <v>2556</v>
      </c>
      <c r="E115" s="6026" t="s">
        <v>2557</v>
      </c>
      <c r="F115" s="6026" t="s">
        <v>2204</v>
      </c>
      <c r="G115" s="6026" t="s">
        <v>24</v>
      </c>
      <c r="H115" s="6026" t="s">
        <v>24</v>
      </c>
      <c r="I115" s="6026" t="s">
        <v>706</v>
      </c>
    </row>
    <row customHeight="1" ht="11.25">
      <c r="A116" s="6026" t="s">
        <v>2185</v>
      </c>
      <c r="B116" s="6026" t="s">
        <v>14</v>
      </c>
      <c r="C116" s="6026" t="s">
        <v>2558</v>
      </c>
      <c r="D116" s="6026" t="s">
        <v>2559</v>
      </c>
      <c r="E116" s="6026" t="s">
        <v>2560</v>
      </c>
      <c r="F116" s="6026" t="s">
        <v>2208</v>
      </c>
      <c r="G116" s="6026" t="s">
        <v>24</v>
      </c>
      <c r="H116" s="6026" t="s">
        <v>24</v>
      </c>
      <c r="I116" s="6026" t="s">
        <v>706</v>
      </c>
    </row>
    <row customHeight="1" ht="11.25">
      <c r="A117" s="6026" t="s">
        <v>2185</v>
      </c>
      <c r="B117" s="6026" t="s">
        <v>14</v>
      </c>
      <c r="C117" s="6026" t="s">
        <v>2561</v>
      </c>
      <c r="D117" s="6026" t="s">
        <v>2562</v>
      </c>
      <c r="E117" s="6026" t="s">
        <v>2563</v>
      </c>
      <c r="F117" s="6026" t="s">
        <v>2189</v>
      </c>
      <c r="G117" s="6026" t="s">
        <v>24</v>
      </c>
      <c r="H117" s="6026" t="s">
        <v>2564</v>
      </c>
      <c r="I117" s="6026" t="s">
        <v>706</v>
      </c>
    </row>
    <row customHeight="1" ht="11.25">
      <c r="A118" s="6026" t="s">
        <v>2185</v>
      </c>
      <c r="B118" s="6026" t="s">
        <v>14</v>
      </c>
      <c r="C118" s="6026" t="s">
        <v>2565</v>
      </c>
      <c r="D118" s="6026" t="s">
        <v>2566</v>
      </c>
      <c r="E118" s="6026" t="s">
        <v>2567</v>
      </c>
      <c r="F118" s="6026" t="s">
        <v>2208</v>
      </c>
      <c r="G118" s="6026" t="s">
        <v>24</v>
      </c>
      <c r="H118" s="6026" t="s">
        <v>24</v>
      </c>
      <c r="I118" s="6026" t="s">
        <v>706</v>
      </c>
    </row>
    <row customHeight="1" ht="11.25">
      <c r="A119" s="6026" t="s">
        <v>2185</v>
      </c>
      <c r="B119" s="6026" t="s">
        <v>14</v>
      </c>
      <c r="C119" s="6026" t="s">
        <v>2568</v>
      </c>
      <c r="D119" s="6026" t="s">
        <v>2569</v>
      </c>
      <c r="E119" s="6026" t="s">
        <v>2570</v>
      </c>
      <c r="F119" s="6026" t="s">
        <v>2288</v>
      </c>
      <c r="G119" s="6026" t="s">
        <v>24</v>
      </c>
      <c r="H119" s="6026" t="s">
        <v>24</v>
      </c>
      <c r="I119" s="6026" t="s">
        <v>706</v>
      </c>
    </row>
    <row customHeight="1" ht="11.25">
      <c r="A120" s="6026" t="s">
        <v>2185</v>
      </c>
      <c r="B120" s="6026" t="s">
        <v>14</v>
      </c>
      <c r="C120" s="6026" t="s">
        <v>2571</v>
      </c>
      <c r="D120" s="6026" t="s">
        <v>2572</v>
      </c>
      <c r="E120" s="6026" t="s">
        <v>2573</v>
      </c>
      <c r="F120" s="6026" t="s">
        <v>2204</v>
      </c>
      <c r="G120" s="6026" t="s">
        <v>24</v>
      </c>
      <c r="H120" s="6026" t="s">
        <v>24</v>
      </c>
      <c r="I120" s="6026" t="s">
        <v>706</v>
      </c>
    </row>
    <row customHeight="1" ht="11.25">
      <c r="A121" s="6026" t="s">
        <v>2185</v>
      </c>
      <c r="B121" s="6026" t="s">
        <v>14</v>
      </c>
      <c r="C121" s="6026" t="s">
        <v>2574</v>
      </c>
      <c r="D121" s="6026" t="s">
        <v>2575</v>
      </c>
      <c r="E121" s="6026" t="s">
        <v>2576</v>
      </c>
      <c r="F121" s="6026" t="s">
        <v>2189</v>
      </c>
      <c r="G121" s="6026" t="s">
        <v>24</v>
      </c>
      <c r="H121" s="6026" t="s">
        <v>24</v>
      </c>
      <c r="I121" s="6026" t="s">
        <v>706</v>
      </c>
    </row>
    <row customHeight="1" ht="11.25">
      <c r="A122" s="6026" t="s">
        <v>2185</v>
      </c>
      <c r="B122" s="6026" t="s">
        <v>14</v>
      </c>
      <c r="C122" s="6026" t="s">
        <v>2577</v>
      </c>
      <c r="D122" s="6026" t="s">
        <v>2578</v>
      </c>
      <c r="E122" s="6026" t="s">
        <v>2579</v>
      </c>
      <c r="F122" s="6026" t="s">
        <v>2216</v>
      </c>
      <c r="G122" s="6026" t="s">
        <v>24</v>
      </c>
      <c r="H122" s="6026" t="s">
        <v>24</v>
      </c>
      <c r="I122" s="6026" t="s">
        <v>706</v>
      </c>
    </row>
    <row customHeight="1" ht="11.25">
      <c r="A123" s="6026" t="s">
        <v>2185</v>
      </c>
      <c r="B123" s="6026" t="s">
        <v>14</v>
      </c>
      <c r="C123" s="6026" t="s">
        <v>2580</v>
      </c>
      <c r="D123" s="6026" t="s">
        <v>2581</v>
      </c>
      <c r="E123" s="6026" t="s">
        <v>2582</v>
      </c>
      <c r="F123" s="6026" t="s">
        <v>2189</v>
      </c>
      <c r="G123" s="6026" t="s">
        <v>24</v>
      </c>
      <c r="H123" s="6026" t="s">
        <v>24</v>
      </c>
      <c r="I123" s="6026" t="s">
        <v>706</v>
      </c>
    </row>
    <row customHeight="1" ht="11.25">
      <c r="A124" s="6026" t="s">
        <v>2185</v>
      </c>
      <c r="B124" s="6026" t="s">
        <v>14</v>
      </c>
      <c r="C124" s="6026" t="s">
        <v>2583</v>
      </c>
      <c r="D124" s="6026" t="s">
        <v>2584</v>
      </c>
      <c r="E124" s="6026" t="s">
        <v>2585</v>
      </c>
      <c r="F124" s="6026" t="s">
        <v>2208</v>
      </c>
      <c r="G124" s="6026" t="s">
        <v>24</v>
      </c>
      <c r="H124" s="6026" t="s">
        <v>24</v>
      </c>
      <c r="I124" s="6026" t="s">
        <v>706</v>
      </c>
    </row>
    <row customHeight="1" ht="11.25">
      <c r="A125" s="6026" t="s">
        <v>2185</v>
      </c>
      <c r="B125" s="6026" t="s">
        <v>14</v>
      </c>
      <c r="C125" s="6026" t="s">
        <v>2586</v>
      </c>
      <c r="D125" s="6026" t="s">
        <v>2587</v>
      </c>
      <c r="E125" s="6026" t="s">
        <v>2588</v>
      </c>
      <c r="F125" s="6026" t="s">
        <v>2208</v>
      </c>
      <c r="G125" s="6026" t="s">
        <v>24</v>
      </c>
      <c r="H125" s="6026" t="s">
        <v>24</v>
      </c>
      <c r="I125" s="6026" t="s">
        <v>706</v>
      </c>
    </row>
    <row customHeight="1" ht="11.25">
      <c r="A126" s="6026" t="s">
        <v>2185</v>
      </c>
      <c r="B126" s="6026" t="s">
        <v>14</v>
      </c>
      <c r="C126" s="6026" t="s">
        <v>2589</v>
      </c>
      <c r="D126" s="6026" t="s">
        <v>2590</v>
      </c>
      <c r="E126" s="6026" t="s">
        <v>2591</v>
      </c>
      <c r="F126" s="6026" t="s">
        <v>2216</v>
      </c>
      <c r="G126" s="6026" t="s">
        <v>24</v>
      </c>
      <c r="H126" s="6026" t="s">
        <v>24</v>
      </c>
      <c r="I126" s="6026" t="s">
        <v>706</v>
      </c>
    </row>
    <row customHeight="1" ht="11.25">
      <c r="A127" s="6026" t="s">
        <v>2185</v>
      </c>
      <c r="B127" s="6026" t="s">
        <v>14</v>
      </c>
      <c r="C127" s="6026" t="s">
        <v>2592</v>
      </c>
      <c r="D127" s="6026" t="s">
        <v>2593</v>
      </c>
      <c r="E127" s="6026" t="s">
        <v>2594</v>
      </c>
      <c r="F127" s="6026" t="s">
        <v>2380</v>
      </c>
      <c r="G127" s="6026" t="s">
        <v>24</v>
      </c>
      <c r="H127" s="6026" t="s">
        <v>24</v>
      </c>
      <c r="I127" s="6026" t="s">
        <v>706</v>
      </c>
    </row>
    <row customHeight="1" ht="11.25">
      <c r="A128" s="6026" t="s">
        <v>2185</v>
      </c>
      <c r="B128" s="6026" t="s">
        <v>14</v>
      </c>
      <c r="C128" s="6026" t="s">
        <v>2595</v>
      </c>
      <c r="D128" s="6026" t="s">
        <v>2596</v>
      </c>
      <c r="E128" s="6026" t="s">
        <v>2597</v>
      </c>
      <c r="F128" s="6026" t="s">
        <v>2380</v>
      </c>
      <c r="G128" s="6026" t="s">
        <v>24</v>
      </c>
      <c r="H128" s="6026" t="s">
        <v>2598</v>
      </c>
      <c r="I128" s="6026" t="s">
        <v>706</v>
      </c>
    </row>
    <row customHeight="1" ht="11.25">
      <c r="A129" s="6026" t="s">
        <v>2185</v>
      </c>
      <c r="B129" s="6026" t="s">
        <v>14</v>
      </c>
      <c r="C129" s="6026" t="s">
        <v>2599</v>
      </c>
      <c r="D129" s="6026" t="s">
        <v>2600</v>
      </c>
      <c r="E129" s="6026" t="s">
        <v>2601</v>
      </c>
      <c r="F129" s="6026" t="s">
        <v>2216</v>
      </c>
      <c r="G129" s="6026" t="s">
        <v>24</v>
      </c>
      <c r="H129" s="6026" t="s">
        <v>24</v>
      </c>
      <c r="I129" s="6026" t="s">
        <v>706</v>
      </c>
    </row>
    <row customHeight="1" ht="11.25">
      <c r="A130" s="6026" t="s">
        <v>2185</v>
      </c>
      <c r="B130" s="6026" t="s">
        <v>14</v>
      </c>
      <c r="C130" s="6026" t="s">
        <v>2602</v>
      </c>
      <c r="D130" s="6026" t="s">
        <v>2603</v>
      </c>
      <c r="E130" s="6026" t="s">
        <v>2604</v>
      </c>
      <c r="F130" s="6026" t="s">
        <v>2247</v>
      </c>
      <c r="G130" s="6026" t="s">
        <v>24</v>
      </c>
      <c r="H130" s="6026" t="s">
        <v>24</v>
      </c>
      <c r="I130" s="6026" t="s">
        <v>706</v>
      </c>
    </row>
    <row customHeight="1" ht="11.25">
      <c r="A131" s="6026" t="s">
        <v>2185</v>
      </c>
      <c r="B131" s="6026" t="s">
        <v>14</v>
      </c>
      <c r="C131" s="6026" t="s">
        <v>2605</v>
      </c>
      <c r="D131" s="6026" t="s">
        <v>2606</v>
      </c>
      <c r="E131" s="6026" t="s">
        <v>2607</v>
      </c>
      <c r="F131" s="6026" t="s">
        <v>2208</v>
      </c>
      <c r="G131" s="6026" t="s">
        <v>24</v>
      </c>
      <c r="H131" s="6026" t="s">
        <v>24</v>
      </c>
      <c r="I131" s="6026" t="s">
        <v>706</v>
      </c>
    </row>
    <row customHeight="1" ht="11.25">
      <c r="A132" s="6026" t="s">
        <v>2185</v>
      </c>
      <c r="B132" s="6026" t="s">
        <v>14</v>
      </c>
      <c r="C132" s="6026" t="s">
        <v>2608</v>
      </c>
      <c r="D132" s="6026" t="s">
        <v>2609</v>
      </c>
      <c r="E132" s="6026" t="s">
        <v>2610</v>
      </c>
      <c r="F132" s="6026" t="s">
        <v>2288</v>
      </c>
      <c r="G132" s="6026" t="s">
        <v>24</v>
      </c>
      <c r="H132" s="6026" t="s">
        <v>24</v>
      </c>
      <c r="I132" s="6026" t="s">
        <v>706</v>
      </c>
    </row>
    <row customHeight="1" ht="11.25">
      <c r="A133" s="6026" t="s">
        <v>2185</v>
      </c>
      <c r="B133" s="6026" t="s">
        <v>14</v>
      </c>
      <c r="C133" s="6026" t="s">
        <v>2611</v>
      </c>
      <c r="D133" s="6026" t="s">
        <v>2612</v>
      </c>
      <c r="E133" s="6026" t="s">
        <v>2613</v>
      </c>
      <c r="F133" s="6026" t="s">
        <v>2288</v>
      </c>
      <c r="G133" s="6026" t="s">
        <v>24</v>
      </c>
      <c r="H133" s="6026" t="s">
        <v>24</v>
      </c>
      <c r="I133" s="6026" t="s">
        <v>706</v>
      </c>
    </row>
    <row customHeight="1" ht="11.25">
      <c r="A134" s="6026" t="s">
        <v>2185</v>
      </c>
      <c r="B134" s="6026" t="s">
        <v>14</v>
      </c>
      <c r="C134" s="6026" t="s">
        <v>2614</v>
      </c>
      <c r="D134" s="6026" t="s">
        <v>2615</v>
      </c>
      <c r="E134" s="6026" t="s">
        <v>2616</v>
      </c>
      <c r="F134" s="6026" t="s">
        <v>2380</v>
      </c>
      <c r="G134" s="6026" t="s">
        <v>24</v>
      </c>
      <c r="H134" s="6026" t="s">
        <v>24</v>
      </c>
      <c r="I134" s="6026" t="s">
        <v>706</v>
      </c>
    </row>
    <row customHeight="1" ht="11.25">
      <c r="A135" s="6026" t="s">
        <v>2185</v>
      </c>
      <c r="B135" s="6026" t="s">
        <v>14</v>
      </c>
      <c r="C135" s="6026" t="s">
        <v>2617</v>
      </c>
      <c r="D135" s="6026" t="s">
        <v>2618</v>
      </c>
      <c r="E135" s="6026" t="s">
        <v>2619</v>
      </c>
      <c r="F135" s="6026" t="s">
        <v>2380</v>
      </c>
      <c r="G135" s="6026" t="s">
        <v>24</v>
      </c>
      <c r="H135" s="6026" t="s">
        <v>2620</v>
      </c>
      <c r="I135" s="6026" t="s">
        <v>706</v>
      </c>
    </row>
    <row customHeight="1" ht="11.25">
      <c r="A136" s="6026" t="s">
        <v>2185</v>
      </c>
      <c r="B136" s="6026" t="s">
        <v>14</v>
      </c>
      <c r="C136" s="6026" t="s">
        <v>2621</v>
      </c>
      <c r="D136" s="6026" t="s">
        <v>2622</v>
      </c>
      <c r="E136" s="6026" t="s">
        <v>2623</v>
      </c>
      <c r="F136" s="6026" t="s">
        <v>2216</v>
      </c>
      <c r="G136" s="6026" t="s">
        <v>24</v>
      </c>
      <c r="H136" s="6026" t="s">
        <v>24</v>
      </c>
      <c r="I136" s="6026" t="s">
        <v>706</v>
      </c>
    </row>
    <row customHeight="1" ht="11.25">
      <c r="A137" s="6026" t="s">
        <v>2185</v>
      </c>
      <c r="B137" s="6026" t="s">
        <v>14</v>
      </c>
      <c r="C137" s="6026" t="s">
        <v>2624</v>
      </c>
      <c r="D137" s="6026" t="s">
        <v>2625</v>
      </c>
      <c r="E137" s="6026" t="s">
        <v>2626</v>
      </c>
      <c r="F137" s="6026" t="s">
        <v>2380</v>
      </c>
      <c r="G137" s="6026" t="s">
        <v>24</v>
      </c>
      <c r="H137" s="6026" t="s">
        <v>24</v>
      </c>
      <c r="I137" s="6026" t="s">
        <v>706</v>
      </c>
    </row>
    <row customHeight="1" ht="11.25">
      <c r="A138" s="6026" t="s">
        <v>2185</v>
      </c>
      <c r="B138" s="6026" t="s">
        <v>14</v>
      </c>
      <c r="C138" s="6026" t="s">
        <v>2627</v>
      </c>
      <c r="D138" s="6026" t="s">
        <v>2628</v>
      </c>
      <c r="E138" s="6026" t="s">
        <v>2629</v>
      </c>
      <c r="F138" s="6026" t="s">
        <v>2189</v>
      </c>
      <c r="G138" s="6026" t="s">
        <v>24</v>
      </c>
      <c r="H138" s="6026" t="s">
        <v>24</v>
      </c>
      <c r="I138" s="6026" t="s">
        <v>706</v>
      </c>
    </row>
    <row customHeight="1" ht="11.25">
      <c r="A139" s="6026" t="s">
        <v>2185</v>
      </c>
      <c r="B139" s="6026" t="s">
        <v>14</v>
      </c>
      <c r="C139" s="6026" t="s">
        <v>2630</v>
      </c>
      <c r="D139" s="6026" t="s">
        <v>2631</v>
      </c>
      <c r="E139" s="6026" t="s">
        <v>2632</v>
      </c>
      <c r="F139" s="6026" t="s">
        <v>2380</v>
      </c>
      <c r="G139" s="6026" t="s">
        <v>24</v>
      </c>
      <c r="H139" s="6026" t="s">
        <v>24</v>
      </c>
      <c r="I139" s="6026" t="s">
        <v>706</v>
      </c>
    </row>
    <row customHeight="1" ht="11.25">
      <c r="A140" s="6026" t="s">
        <v>2185</v>
      </c>
      <c r="B140" s="6026" t="s">
        <v>14</v>
      </c>
      <c r="C140" s="6026" t="s">
        <v>2633</v>
      </c>
      <c r="D140" s="6026" t="s">
        <v>2634</v>
      </c>
      <c r="E140" s="6026" t="s">
        <v>2635</v>
      </c>
      <c r="F140" s="6026" t="s">
        <v>2216</v>
      </c>
      <c r="G140" s="6026" t="s">
        <v>24</v>
      </c>
      <c r="H140" s="6026" t="s">
        <v>24</v>
      </c>
      <c r="I140" s="6026" t="s">
        <v>706</v>
      </c>
    </row>
    <row customHeight="1" ht="11.25">
      <c r="A141" s="6026" t="s">
        <v>2185</v>
      </c>
      <c r="B141" s="6026" t="s">
        <v>14</v>
      </c>
      <c r="C141" s="6026" t="s">
        <v>2636</v>
      </c>
      <c r="D141" s="6026" t="s">
        <v>2637</v>
      </c>
      <c r="E141" s="6026" t="s">
        <v>2638</v>
      </c>
      <c r="F141" s="6026" t="s">
        <v>2189</v>
      </c>
      <c r="G141" s="6026" t="s">
        <v>24</v>
      </c>
      <c r="H141" s="6026" t="s">
        <v>24</v>
      </c>
      <c r="I141" s="6026" t="s">
        <v>706</v>
      </c>
    </row>
    <row customHeight="1" ht="11.25">
      <c r="A142" s="6026" t="s">
        <v>2185</v>
      </c>
      <c r="B142" s="6026" t="s">
        <v>14</v>
      </c>
      <c r="C142" s="6026" t="s">
        <v>2639</v>
      </c>
      <c r="D142" s="6026" t="s">
        <v>2640</v>
      </c>
      <c r="E142" s="6026" t="s">
        <v>2641</v>
      </c>
      <c r="F142" s="6026" t="s">
        <v>2642</v>
      </c>
      <c r="G142" s="6026" t="s">
        <v>24</v>
      </c>
      <c r="H142" s="6026" t="s">
        <v>2643</v>
      </c>
      <c r="I142" s="6026" t="s">
        <v>706</v>
      </c>
    </row>
    <row customHeight="1" ht="11.25">
      <c r="A143" s="6026" t="s">
        <v>2185</v>
      </c>
      <c r="B143" s="6026" t="s">
        <v>14</v>
      </c>
      <c r="C143" s="6026" t="s">
        <v>2644</v>
      </c>
      <c r="D143" s="6026" t="s">
        <v>2645</v>
      </c>
      <c r="E143" s="6026" t="s">
        <v>2646</v>
      </c>
      <c r="F143" s="6026" t="s">
        <v>2647</v>
      </c>
      <c r="G143" s="6026" t="s">
        <v>24</v>
      </c>
      <c r="H143" s="6026" t="s">
        <v>24</v>
      </c>
      <c r="I143" s="6026" t="s">
        <v>706</v>
      </c>
    </row>
    <row customHeight="1" ht="11.25">
      <c r="A144" s="6026" t="s">
        <v>2185</v>
      </c>
      <c r="B144" s="6026" t="s">
        <v>14</v>
      </c>
      <c r="C144" s="6026" t="s">
        <v>2648</v>
      </c>
      <c r="D144" s="6026" t="s">
        <v>2649</v>
      </c>
      <c r="E144" s="6026" t="s">
        <v>2650</v>
      </c>
      <c r="F144" s="6026" t="s">
        <v>2247</v>
      </c>
      <c r="G144" s="6026" t="s">
        <v>24</v>
      </c>
      <c r="H144" s="6026" t="s">
        <v>24</v>
      </c>
      <c r="I144" s="6026" t="s">
        <v>706</v>
      </c>
    </row>
    <row customHeight="1" ht="11.25">
      <c r="A145" s="6026" t="s">
        <v>2185</v>
      </c>
      <c r="B145" s="6026" t="s">
        <v>14</v>
      </c>
      <c r="C145" s="6026" t="s">
        <v>2651</v>
      </c>
      <c r="D145" s="6026" t="s">
        <v>2652</v>
      </c>
      <c r="E145" s="6026" t="s">
        <v>2653</v>
      </c>
      <c r="F145" s="6026" t="s">
        <v>2654</v>
      </c>
      <c r="G145" s="6026" t="s">
        <v>24</v>
      </c>
      <c r="H145" s="6026" t="s">
        <v>24</v>
      </c>
      <c r="I145" s="6026" t="s">
        <v>706</v>
      </c>
    </row>
    <row customHeight="1" ht="11.25">
      <c r="A146" s="6026" t="s">
        <v>2185</v>
      </c>
      <c r="B146" s="6026" t="s">
        <v>14</v>
      </c>
      <c r="C146" s="6026" t="s">
        <v>2655</v>
      </c>
      <c r="D146" s="6026" t="s">
        <v>2656</v>
      </c>
      <c r="E146" s="6026" t="s">
        <v>2657</v>
      </c>
      <c r="F146" s="6026" t="s">
        <v>2216</v>
      </c>
      <c r="G146" s="6026" t="s">
        <v>24</v>
      </c>
      <c r="H146" s="6026" t="s">
        <v>24</v>
      </c>
      <c r="I146" s="6026" t="s">
        <v>706</v>
      </c>
    </row>
    <row customHeight="1" ht="11.25">
      <c r="A147" s="6026" t="s">
        <v>2185</v>
      </c>
      <c r="B147" s="6026" t="s">
        <v>14</v>
      </c>
      <c r="C147" s="6026" t="s">
        <v>2658</v>
      </c>
      <c r="D147" s="6026" t="s">
        <v>2659</v>
      </c>
      <c r="E147" s="6026" t="s">
        <v>2660</v>
      </c>
      <c r="F147" s="6026" t="s">
        <v>2380</v>
      </c>
      <c r="G147" s="6026" t="s">
        <v>24</v>
      </c>
      <c r="H147" s="6026" t="s">
        <v>24</v>
      </c>
      <c r="I147" s="6026" t="s">
        <v>706</v>
      </c>
    </row>
    <row customHeight="1" ht="11.25">
      <c r="A148" s="6026" t="s">
        <v>2185</v>
      </c>
      <c r="B148" s="6026" t="s">
        <v>14</v>
      </c>
      <c r="C148" s="6026" t="s">
        <v>2661</v>
      </c>
      <c r="D148" s="6026" t="s">
        <v>2662</v>
      </c>
      <c r="E148" s="6026" t="s">
        <v>2663</v>
      </c>
      <c r="F148" s="6026" t="s">
        <v>2208</v>
      </c>
      <c r="G148" s="6026" t="s">
        <v>24</v>
      </c>
      <c r="H148" s="6026" t="s">
        <v>24</v>
      </c>
      <c r="I148" s="6026" t="s">
        <v>706</v>
      </c>
    </row>
    <row customHeight="1" ht="11.25">
      <c r="A149" s="6026" t="s">
        <v>2185</v>
      </c>
      <c r="B149" s="6026" t="s">
        <v>14</v>
      </c>
      <c r="C149" s="6026" t="s">
        <v>2664</v>
      </c>
      <c r="D149" s="6026" t="s">
        <v>2665</v>
      </c>
      <c r="E149" s="6026" t="s">
        <v>2666</v>
      </c>
      <c r="F149" s="6026" t="s">
        <v>2204</v>
      </c>
      <c r="G149" s="6026" t="s">
        <v>24</v>
      </c>
      <c r="H149" s="6026" t="s">
        <v>24</v>
      </c>
      <c r="I149" s="6026" t="s">
        <v>706</v>
      </c>
    </row>
    <row customHeight="1" ht="11.25">
      <c r="A150" s="6026" t="s">
        <v>2185</v>
      </c>
      <c r="B150" s="6026" t="s">
        <v>14</v>
      </c>
      <c r="C150" s="6026" t="s">
        <v>2667</v>
      </c>
      <c r="D150" s="6026" t="s">
        <v>2668</v>
      </c>
      <c r="E150" s="6026" t="s">
        <v>2669</v>
      </c>
      <c r="F150" s="6026" t="s">
        <v>2342</v>
      </c>
      <c r="G150" s="6026" t="s">
        <v>24</v>
      </c>
      <c r="H150" s="6026" t="s">
        <v>24</v>
      </c>
      <c r="I150" s="6026" t="s">
        <v>706</v>
      </c>
    </row>
    <row customHeight="1" ht="11.25">
      <c r="A151" s="6026" t="s">
        <v>2185</v>
      </c>
      <c r="B151" s="6026" t="s">
        <v>14</v>
      </c>
      <c r="C151" s="6026" t="s">
        <v>2670</v>
      </c>
      <c r="D151" s="6026" t="s">
        <v>2671</v>
      </c>
      <c r="E151" s="6026" t="s">
        <v>2672</v>
      </c>
      <c r="F151" s="6026" t="s">
        <v>2292</v>
      </c>
      <c r="G151" s="6026" t="s">
        <v>24</v>
      </c>
      <c r="H151" s="6026" t="s">
        <v>24</v>
      </c>
      <c r="I151" s="6026" t="s">
        <v>706</v>
      </c>
    </row>
    <row customHeight="1" ht="11.25">
      <c r="A152" s="6026" t="s">
        <v>2185</v>
      </c>
      <c r="B152" s="6026" t="s">
        <v>14</v>
      </c>
      <c r="C152" s="6026" t="s">
        <v>2673</v>
      </c>
      <c r="D152" s="6026" t="s">
        <v>2674</v>
      </c>
      <c r="E152" s="6026" t="s">
        <v>2675</v>
      </c>
      <c r="F152" s="6026" t="s">
        <v>2380</v>
      </c>
      <c r="G152" s="6026" t="s">
        <v>24</v>
      </c>
      <c r="H152" s="6026" t="s">
        <v>24</v>
      </c>
      <c r="I152" s="6026" t="s">
        <v>706</v>
      </c>
    </row>
    <row customHeight="1" ht="11.25">
      <c r="A153" s="6026" t="s">
        <v>2185</v>
      </c>
      <c r="B153" s="6026" t="s">
        <v>14</v>
      </c>
      <c r="C153" s="6026" t="s">
        <v>2676</v>
      </c>
      <c r="D153" s="6026" t="s">
        <v>2677</v>
      </c>
      <c r="E153" s="6026" t="s">
        <v>2678</v>
      </c>
      <c r="F153" s="6026" t="s">
        <v>2216</v>
      </c>
      <c r="G153" s="6026" t="s">
        <v>24</v>
      </c>
      <c r="H153" s="6026" t="s">
        <v>24</v>
      </c>
      <c r="I153" s="6026" t="s">
        <v>706</v>
      </c>
    </row>
    <row customHeight="1" ht="11.25">
      <c r="A154" s="6026" t="s">
        <v>2185</v>
      </c>
      <c r="B154" s="6026" t="s">
        <v>14</v>
      </c>
      <c r="C154" s="6026" t="s">
        <v>2679</v>
      </c>
      <c r="D154" s="6026" t="s">
        <v>2680</v>
      </c>
      <c r="E154" s="6026" t="s">
        <v>2681</v>
      </c>
      <c r="F154" s="6026" t="s">
        <v>2292</v>
      </c>
      <c r="G154" s="6026" t="s">
        <v>24</v>
      </c>
      <c r="H154" s="6026" t="s">
        <v>24</v>
      </c>
      <c r="I154" s="6026" t="s">
        <v>706</v>
      </c>
    </row>
    <row customHeight="1" ht="11.25">
      <c r="A155" s="6026" t="s">
        <v>2185</v>
      </c>
      <c r="B155" s="6026" t="s">
        <v>14</v>
      </c>
      <c r="C155" s="6026" t="s">
        <v>2682</v>
      </c>
      <c r="D155" s="6026" t="s">
        <v>2683</v>
      </c>
      <c r="E155" s="6026" t="s">
        <v>2684</v>
      </c>
      <c r="F155" s="6026" t="s">
        <v>2292</v>
      </c>
      <c r="G155" s="6026" t="s">
        <v>24</v>
      </c>
      <c r="H155" s="6026" t="s">
        <v>24</v>
      </c>
      <c r="I155" s="6026" t="s">
        <v>706</v>
      </c>
    </row>
    <row customHeight="1" ht="11.25">
      <c r="A156" s="6026" t="s">
        <v>2185</v>
      </c>
      <c r="B156" s="6026" t="s">
        <v>14</v>
      </c>
      <c r="C156" s="6026" t="s">
        <v>2685</v>
      </c>
      <c r="D156" s="6026" t="s">
        <v>2686</v>
      </c>
      <c r="E156" s="6026" t="s">
        <v>2687</v>
      </c>
      <c r="F156" s="6026" t="s">
        <v>2342</v>
      </c>
      <c r="G156" s="6026" t="s">
        <v>24</v>
      </c>
      <c r="H156" s="6026" t="s">
        <v>24</v>
      </c>
      <c r="I156" s="6026" t="s">
        <v>706</v>
      </c>
    </row>
    <row customHeight="1" ht="11.25">
      <c r="A157" s="6026" t="s">
        <v>2185</v>
      </c>
      <c r="B157" s="6026" t="s">
        <v>14</v>
      </c>
      <c r="C157" s="6026" t="s">
        <v>2688</v>
      </c>
      <c r="D157" s="6026" t="s">
        <v>2689</v>
      </c>
      <c r="E157" s="6026" t="s">
        <v>2690</v>
      </c>
      <c r="F157" s="6026" t="s">
        <v>2189</v>
      </c>
      <c r="G157" s="6026" t="s">
        <v>24</v>
      </c>
      <c r="H157" s="6026" t="s">
        <v>24</v>
      </c>
      <c r="I157" s="6026" t="s">
        <v>706</v>
      </c>
    </row>
    <row customHeight="1" ht="11.25">
      <c r="A158" s="6026" t="s">
        <v>2185</v>
      </c>
      <c r="B158" s="6026" t="s">
        <v>14</v>
      </c>
      <c r="C158" s="6026" t="s">
        <v>2691</v>
      </c>
      <c r="D158" s="6026" t="s">
        <v>2692</v>
      </c>
      <c r="E158" s="6026" t="s">
        <v>2693</v>
      </c>
      <c r="F158" s="6026" t="s">
        <v>2216</v>
      </c>
      <c r="G158" s="6026" t="s">
        <v>24</v>
      </c>
      <c r="H158" s="6026" t="s">
        <v>24</v>
      </c>
      <c r="I158" s="6026" t="s">
        <v>706</v>
      </c>
    </row>
    <row customHeight="1" ht="11.25">
      <c r="A159" s="6026" t="s">
        <v>2185</v>
      </c>
      <c r="B159" s="6026" t="s">
        <v>14</v>
      </c>
      <c r="C159" s="6026" t="s">
        <v>2694</v>
      </c>
      <c r="D159" s="6026" t="s">
        <v>2695</v>
      </c>
      <c r="E159" s="6026" t="s">
        <v>2696</v>
      </c>
      <c r="F159" s="6026" t="s">
        <v>2380</v>
      </c>
      <c r="G159" s="6026" t="s">
        <v>24</v>
      </c>
      <c r="H159" s="6026" t="s">
        <v>24</v>
      </c>
      <c r="I159" s="6026" t="s">
        <v>706</v>
      </c>
    </row>
    <row customHeight="1" ht="11.25">
      <c r="A160" s="6026" t="s">
        <v>2185</v>
      </c>
      <c r="B160" s="6026" t="s">
        <v>14</v>
      </c>
      <c r="C160" s="6026" t="s">
        <v>2697</v>
      </c>
      <c r="D160" s="6026" t="s">
        <v>2698</v>
      </c>
      <c r="E160" s="6026" t="s">
        <v>2699</v>
      </c>
      <c r="F160" s="6026" t="s">
        <v>2292</v>
      </c>
      <c r="G160" s="6026" t="s">
        <v>24</v>
      </c>
      <c r="H160" s="6026" t="s">
        <v>24</v>
      </c>
      <c r="I160" s="6026" t="s">
        <v>706</v>
      </c>
    </row>
    <row customHeight="1" ht="11.25">
      <c r="A161" s="6026" t="s">
        <v>2185</v>
      </c>
      <c r="B161" s="6026" t="s">
        <v>14</v>
      </c>
      <c r="C161" s="6026" t="s">
        <v>2700</v>
      </c>
      <c r="D161" s="6026" t="s">
        <v>2701</v>
      </c>
      <c r="E161" s="6026" t="s">
        <v>2702</v>
      </c>
      <c r="F161" s="6026" t="s">
        <v>2204</v>
      </c>
      <c r="G161" s="6026" t="s">
        <v>24</v>
      </c>
      <c r="H161" s="6026" t="s">
        <v>24</v>
      </c>
      <c r="I161" s="6026" t="s">
        <v>706</v>
      </c>
    </row>
    <row customHeight="1" ht="11.25">
      <c r="A162" s="6026" t="s">
        <v>2185</v>
      </c>
      <c r="B162" s="6026" t="s">
        <v>14</v>
      </c>
      <c r="C162" s="6026" t="s">
        <v>2703</v>
      </c>
      <c r="D162" s="6026" t="s">
        <v>2704</v>
      </c>
      <c r="E162" s="6026" t="s">
        <v>2705</v>
      </c>
      <c r="F162" s="6026" t="s">
        <v>2216</v>
      </c>
      <c r="G162" s="6026" t="s">
        <v>24</v>
      </c>
      <c r="H162" s="6026" t="s">
        <v>24</v>
      </c>
      <c r="I162" s="6026" t="s">
        <v>706</v>
      </c>
    </row>
    <row customHeight="1" ht="11.25">
      <c r="A163" s="6026" t="s">
        <v>2185</v>
      </c>
      <c r="B163" s="6026" t="s">
        <v>14</v>
      </c>
      <c r="C163" s="6026" t="s">
        <v>2706</v>
      </c>
      <c r="D163" s="6026" t="s">
        <v>2707</v>
      </c>
      <c r="E163" s="6026" t="s">
        <v>2708</v>
      </c>
      <c r="F163" s="6026" t="s">
        <v>2216</v>
      </c>
      <c r="G163" s="6026" t="s">
        <v>24</v>
      </c>
      <c r="H163" s="6026" t="s">
        <v>24</v>
      </c>
      <c r="I163" s="6026" t="s">
        <v>706</v>
      </c>
    </row>
    <row customHeight="1" ht="11.25">
      <c r="A164" s="6026" t="s">
        <v>2185</v>
      </c>
      <c r="B164" s="6026" t="s">
        <v>14</v>
      </c>
      <c r="C164" s="6026" t="s">
        <v>2709</v>
      </c>
      <c r="D164" s="6026" t="s">
        <v>2710</v>
      </c>
      <c r="E164" s="6026" t="s">
        <v>2711</v>
      </c>
      <c r="F164" s="6026" t="s">
        <v>2189</v>
      </c>
      <c r="G164" s="6026" t="s">
        <v>2712</v>
      </c>
      <c r="H164" s="6026" t="s">
        <v>24</v>
      </c>
      <c r="I164" s="6026" t="s">
        <v>706</v>
      </c>
    </row>
    <row customHeight="1" ht="11.25">
      <c r="A165" s="6026" t="s">
        <v>2185</v>
      </c>
      <c r="B165" s="6026" t="s">
        <v>14</v>
      </c>
      <c r="C165" s="6026" t="s">
        <v>2713</v>
      </c>
      <c r="D165" s="6026" t="s">
        <v>2714</v>
      </c>
      <c r="E165" s="6026" t="s">
        <v>2715</v>
      </c>
      <c r="F165" s="6026" t="s">
        <v>2540</v>
      </c>
      <c r="G165" s="6026" t="s">
        <v>24</v>
      </c>
      <c r="H165" s="6026" t="s">
        <v>24</v>
      </c>
      <c r="I165" s="6026" t="s">
        <v>706</v>
      </c>
    </row>
    <row customHeight="1" ht="11.25">
      <c r="A166" s="6026" t="s">
        <v>2185</v>
      </c>
      <c r="B166" s="6026" t="s">
        <v>14</v>
      </c>
      <c r="C166" s="6026" t="s">
        <v>2716</v>
      </c>
      <c r="D166" s="6026" t="s">
        <v>2717</v>
      </c>
      <c r="E166" s="6026" t="s">
        <v>2718</v>
      </c>
      <c r="F166" s="6026" t="s">
        <v>2204</v>
      </c>
      <c r="G166" s="6026" t="s">
        <v>24</v>
      </c>
      <c r="H166" s="6026" t="s">
        <v>24</v>
      </c>
      <c r="I166" s="6026" t="s">
        <v>706</v>
      </c>
    </row>
    <row customHeight="1" ht="11.25">
      <c r="A167" s="6026" t="s">
        <v>2185</v>
      </c>
      <c r="B167" s="6026" t="s">
        <v>14</v>
      </c>
      <c r="C167" s="6026" t="s">
        <v>2719</v>
      </c>
      <c r="D167" s="6026" t="s">
        <v>2720</v>
      </c>
      <c r="E167" s="6026" t="s">
        <v>2721</v>
      </c>
      <c r="F167" s="6026" t="s">
        <v>2292</v>
      </c>
      <c r="G167" s="6026" t="s">
        <v>24</v>
      </c>
      <c r="H167" s="6026" t="s">
        <v>24</v>
      </c>
      <c r="I167" s="6026" t="s">
        <v>706</v>
      </c>
    </row>
    <row customHeight="1" ht="11.25">
      <c r="A168" s="6026" t="s">
        <v>2185</v>
      </c>
      <c r="B168" s="6026" t="s">
        <v>14</v>
      </c>
      <c r="C168" s="6026" t="s">
        <v>2722</v>
      </c>
      <c r="D168" s="6026" t="s">
        <v>2723</v>
      </c>
      <c r="E168" s="6026" t="s">
        <v>2724</v>
      </c>
      <c r="F168" s="6026" t="s">
        <v>2725</v>
      </c>
      <c r="G168" s="6026" t="s">
        <v>24</v>
      </c>
      <c r="H168" s="6026" t="s">
        <v>24</v>
      </c>
      <c r="I168" s="6026" t="s">
        <v>706</v>
      </c>
    </row>
    <row customHeight="1" ht="11.25">
      <c r="A169" s="6026" t="s">
        <v>2185</v>
      </c>
      <c r="B169" s="6026" t="s">
        <v>14</v>
      </c>
      <c r="C169" s="6026" t="s">
        <v>2726</v>
      </c>
      <c r="D169" s="6026" t="s">
        <v>2727</v>
      </c>
      <c r="E169" s="6026" t="s">
        <v>2728</v>
      </c>
      <c r="F169" s="6026" t="s">
        <v>2548</v>
      </c>
      <c r="G169" s="6026" t="s">
        <v>2729</v>
      </c>
      <c r="H169" s="6026" t="s">
        <v>2730</v>
      </c>
      <c r="I169" s="6026" t="s">
        <v>706</v>
      </c>
    </row>
    <row customHeight="1" ht="11.25">
      <c r="A170" s="6026" t="s">
        <v>2185</v>
      </c>
      <c r="B170" s="6026" t="s">
        <v>14</v>
      </c>
      <c r="C170" s="6026" t="s">
        <v>2731</v>
      </c>
      <c r="D170" s="6026" t="s">
        <v>2732</v>
      </c>
      <c r="E170" s="6026" t="s">
        <v>2733</v>
      </c>
      <c r="F170" s="6026" t="s">
        <v>2189</v>
      </c>
      <c r="G170" s="6026" t="s">
        <v>2734</v>
      </c>
      <c r="H170" s="6026" t="s">
        <v>24</v>
      </c>
      <c r="I170" s="6026" t="s">
        <v>706</v>
      </c>
    </row>
    <row customHeight="1" ht="11.25">
      <c r="A171" s="6026" t="s">
        <v>2185</v>
      </c>
      <c r="B171" s="6026" t="s">
        <v>14</v>
      </c>
      <c r="C171" s="6026" t="s">
        <v>2735</v>
      </c>
      <c r="D171" s="6026" t="s">
        <v>2736</v>
      </c>
      <c r="E171" s="6026" t="s">
        <v>2737</v>
      </c>
      <c r="F171" s="6026" t="s">
        <v>2288</v>
      </c>
      <c r="G171" s="6026" t="s">
        <v>24</v>
      </c>
      <c r="H171" s="6026" t="s">
        <v>24</v>
      </c>
      <c r="I171" s="6026" t="s">
        <v>706</v>
      </c>
    </row>
    <row customHeight="1" ht="11.25">
      <c r="A172" s="6026" t="s">
        <v>2185</v>
      </c>
      <c r="B172" s="6026" t="s">
        <v>14</v>
      </c>
      <c r="C172" s="6026" t="s">
        <v>2738</v>
      </c>
      <c r="D172" s="6026" t="s">
        <v>2739</v>
      </c>
      <c r="E172" s="6026" t="s">
        <v>2740</v>
      </c>
      <c r="F172" s="6026" t="s">
        <v>2342</v>
      </c>
      <c r="G172" s="6026" t="s">
        <v>24</v>
      </c>
      <c r="H172" s="6026" t="s">
        <v>24</v>
      </c>
      <c r="I172" s="6026" t="s">
        <v>706</v>
      </c>
    </row>
    <row customHeight="1" ht="11.25">
      <c r="A173" s="6026" t="s">
        <v>2185</v>
      </c>
      <c r="B173" s="6026" t="s">
        <v>14</v>
      </c>
      <c r="C173" s="6026" t="s">
        <v>2741</v>
      </c>
      <c r="D173" s="6026" t="s">
        <v>2742</v>
      </c>
      <c r="E173" s="6026" t="s">
        <v>2743</v>
      </c>
      <c r="F173" s="6026" t="s">
        <v>2380</v>
      </c>
      <c r="G173" s="6026" t="s">
        <v>24</v>
      </c>
      <c r="H173" s="6026" t="s">
        <v>24</v>
      </c>
      <c r="I173" s="6026" t="s">
        <v>706</v>
      </c>
    </row>
    <row customHeight="1" ht="11.25">
      <c r="A174" s="6026" t="s">
        <v>2185</v>
      </c>
      <c r="B174" s="6026" t="s">
        <v>14</v>
      </c>
      <c r="C174" s="6026" t="s">
        <v>2744</v>
      </c>
      <c r="D174" s="6026" t="s">
        <v>2745</v>
      </c>
      <c r="E174" s="6026" t="s">
        <v>2746</v>
      </c>
      <c r="F174" s="6026" t="s">
        <v>2380</v>
      </c>
      <c r="G174" s="6026" t="s">
        <v>24</v>
      </c>
      <c r="H174" s="6026" t="s">
        <v>24</v>
      </c>
      <c r="I174" s="6026" t="s">
        <v>706</v>
      </c>
    </row>
    <row customHeight="1" ht="11.25">
      <c r="A175" s="6026" t="s">
        <v>2185</v>
      </c>
      <c r="B175" s="6026" t="s">
        <v>14</v>
      </c>
      <c r="C175" s="6026" t="s">
        <v>2747</v>
      </c>
      <c r="D175" s="6026" t="s">
        <v>2748</v>
      </c>
      <c r="E175" s="6026" t="s">
        <v>2749</v>
      </c>
      <c r="F175" s="6026" t="s">
        <v>2380</v>
      </c>
      <c r="G175" s="6026" t="s">
        <v>24</v>
      </c>
      <c r="H175" s="6026" t="s">
        <v>24</v>
      </c>
      <c r="I175" s="6026" t="s">
        <v>706</v>
      </c>
    </row>
    <row customHeight="1" ht="11.25">
      <c r="A176" s="6026" t="s">
        <v>2185</v>
      </c>
      <c r="B176" s="6026" t="s">
        <v>14</v>
      </c>
      <c r="C176" s="6026" t="s">
        <v>2750</v>
      </c>
      <c r="D176" s="6026" t="s">
        <v>2751</v>
      </c>
      <c r="E176" s="6026" t="s">
        <v>2752</v>
      </c>
      <c r="F176" s="6026" t="s">
        <v>2197</v>
      </c>
      <c r="G176" s="6026" t="s">
        <v>24</v>
      </c>
      <c r="H176" s="6026" t="s">
        <v>24</v>
      </c>
      <c r="I176" s="6026" t="s">
        <v>706</v>
      </c>
    </row>
    <row customHeight="1" ht="11.25">
      <c r="A177" s="6026" t="s">
        <v>2185</v>
      </c>
      <c r="B177" s="6026" t="s">
        <v>14</v>
      </c>
      <c r="C177" s="6026" t="s">
        <v>2753</v>
      </c>
      <c r="D177" s="6026" t="s">
        <v>2754</v>
      </c>
      <c r="E177" s="6026" t="s">
        <v>2755</v>
      </c>
      <c r="F177" s="6026" t="s">
        <v>2247</v>
      </c>
      <c r="G177" s="6026" t="s">
        <v>24</v>
      </c>
      <c r="H177" s="6026" t="s">
        <v>24</v>
      </c>
      <c r="I177" s="6026" t="s">
        <v>706</v>
      </c>
    </row>
    <row customHeight="1" ht="11.25">
      <c r="A178" s="6026" t="s">
        <v>2185</v>
      </c>
      <c r="B178" s="6026" t="s">
        <v>14</v>
      </c>
      <c r="C178" s="6026" t="s">
        <v>2756</v>
      </c>
      <c r="D178" s="6026" t="s">
        <v>2757</v>
      </c>
      <c r="E178" s="6026" t="s">
        <v>2758</v>
      </c>
      <c r="F178" s="6026" t="s">
        <v>2380</v>
      </c>
      <c r="G178" s="6026" t="s">
        <v>24</v>
      </c>
      <c r="H178" s="6026" t="s">
        <v>24</v>
      </c>
      <c r="I178" s="6026" t="s">
        <v>706</v>
      </c>
    </row>
    <row customHeight="1" ht="11.25">
      <c r="A179" s="6026" t="s">
        <v>2185</v>
      </c>
      <c r="B179" s="6026" t="s">
        <v>14</v>
      </c>
      <c r="C179" s="6026" t="s">
        <v>2759</v>
      </c>
      <c r="D179" s="6026" t="s">
        <v>2760</v>
      </c>
      <c r="E179" s="6026" t="s">
        <v>2761</v>
      </c>
      <c r="F179" s="6026" t="s">
        <v>2380</v>
      </c>
      <c r="G179" s="6026" t="s">
        <v>24</v>
      </c>
      <c r="H179" s="6026" t="s">
        <v>24</v>
      </c>
      <c r="I179" s="6026" t="s">
        <v>706</v>
      </c>
    </row>
    <row customHeight="1" ht="11.25">
      <c r="A180" s="6026" t="s">
        <v>2185</v>
      </c>
      <c r="B180" s="6026" t="s">
        <v>14</v>
      </c>
      <c r="C180" s="6026" t="s">
        <v>2762</v>
      </c>
      <c r="D180" s="6026" t="s">
        <v>2763</v>
      </c>
      <c r="E180" s="6026" t="s">
        <v>2764</v>
      </c>
      <c r="F180" s="6026" t="s">
        <v>2216</v>
      </c>
      <c r="G180" s="6026" t="s">
        <v>24</v>
      </c>
      <c r="H180" s="6026" t="s">
        <v>2765</v>
      </c>
      <c r="I180" s="6026" t="s">
        <v>706</v>
      </c>
    </row>
    <row customHeight="1" ht="11.25">
      <c r="A181" s="6026" t="s">
        <v>2185</v>
      </c>
      <c r="B181" s="6026" t="s">
        <v>14</v>
      </c>
      <c r="C181" s="6026" t="s">
        <v>2766</v>
      </c>
      <c r="D181" s="6026" t="s">
        <v>2767</v>
      </c>
      <c r="E181" s="6026" t="s">
        <v>2768</v>
      </c>
      <c r="F181" s="6026" t="s">
        <v>2247</v>
      </c>
      <c r="G181" s="6026" t="s">
        <v>2769</v>
      </c>
      <c r="H181" s="6026" t="s">
        <v>24</v>
      </c>
      <c r="I181" s="6026" t="s">
        <v>706</v>
      </c>
    </row>
    <row customHeight="1" ht="11.25">
      <c r="A182" s="6026" t="s">
        <v>2185</v>
      </c>
      <c r="B182" s="6026" t="s">
        <v>14</v>
      </c>
      <c r="C182" s="6026" t="s">
        <v>2770</v>
      </c>
      <c r="D182" s="6026" t="s">
        <v>2771</v>
      </c>
      <c r="E182" s="6026" t="s">
        <v>2772</v>
      </c>
      <c r="F182" s="6026" t="s">
        <v>2208</v>
      </c>
      <c r="G182" s="6026" t="s">
        <v>24</v>
      </c>
      <c r="H182" s="6026" t="s">
        <v>24</v>
      </c>
      <c r="I182" s="6026" t="s">
        <v>706</v>
      </c>
    </row>
    <row customHeight="1" ht="11.25">
      <c r="A183" s="6026" t="s">
        <v>2185</v>
      </c>
      <c r="B183" s="6026" t="s">
        <v>14</v>
      </c>
      <c r="C183" s="6026" t="s">
        <v>2773</v>
      </c>
      <c r="D183" s="6026" t="s">
        <v>2774</v>
      </c>
      <c r="E183" s="6026" t="s">
        <v>2775</v>
      </c>
      <c r="F183" s="6026" t="s">
        <v>2776</v>
      </c>
      <c r="G183" s="6026" t="s">
        <v>24</v>
      </c>
      <c r="H183" s="6026" t="s">
        <v>24</v>
      </c>
      <c r="I183" s="6026" t="s">
        <v>706</v>
      </c>
    </row>
    <row customHeight="1" ht="11.25">
      <c r="A184" s="6026" t="s">
        <v>2185</v>
      </c>
      <c r="B184" s="6026" t="s">
        <v>14</v>
      </c>
      <c r="C184" s="6026" t="s">
        <v>2777</v>
      </c>
      <c r="D184" s="6026" t="s">
        <v>2778</v>
      </c>
      <c r="E184" s="6026" t="s">
        <v>2779</v>
      </c>
      <c r="F184" s="6026" t="s">
        <v>2189</v>
      </c>
      <c r="G184" s="6026" t="s">
        <v>24</v>
      </c>
      <c r="H184" s="6026" t="s">
        <v>24</v>
      </c>
      <c r="I184" s="6026" t="s">
        <v>706</v>
      </c>
    </row>
    <row customHeight="1" ht="11.25">
      <c r="A185" s="6026" t="s">
        <v>2185</v>
      </c>
      <c r="B185" s="6026" t="s">
        <v>14</v>
      </c>
      <c r="C185" s="6026" t="s">
        <v>2780</v>
      </c>
      <c r="D185" s="6026" t="s">
        <v>2781</v>
      </c>
      <c r="E185" s="6026" t="s">
        <v>2782</v>
      </c>
      <c r="F185" s="6026" t="s">
        <v>2208</v>
      </c>
      <c r="G185" s="6026" t="s">
        <v>24</v>
      </c>
      <c r="H185" s="6026" t="s">
        <v>24</v>
      </c>
      <c r="I185" s="6026" t="s">
        <v>706</v>
      </c>
    </row>
    <row customHeight="1" ht="11.25">
      <c r="A186" s="6026" t="s">
        <v>2185</v>
      </c>
      <c r="B186" s="6026" t="s">
        <v>14</v>
      </c>
      <c r="C186" s="6026" t="s">
        <v>2783</v>
      </c>
      <c r="D186" s="6026" t="s">
        <v>2784</v>
      </c>
      <c r="E186" s="6026" t="s">
        <v>2785</v>
      </c>
      <c r="F186" s="6026" t="s">
        <v>2380</v>
      </c>
      <c r="G186" s="6026" t="s">
        <v>24</v>
      </c>
      <c r="H186" s="6026" t="s">
        <v>24</v>
      </c>
      <c r="I186" s="6026" t="s">
        <v>706</v>
      </c>
    </row>
    <row customHeight="1" ht="11.25">
      <c r="A187" s="6026" t="s">
        <v>2185</v>
      </c>
      <c r="B187" s="6026" t="s">
        <v>14</v>
      </c>
      <c r="C187" s="6026" t="s">
        <v>2786</v>
      </c>
      <c r="D187" s="6026" t="s">
        <v>2787</v>
      </c>
      <c r="E187" s="6026" t="s">
        <v>2788</v>
      </c>
      <c r="F187" s="6026" t="s">
        <v>2292</v>
      </c>
      <c r="G187" s="6026" t="s">
        <v>2789</v>
      </c>
      <c r="H187" s="6026" t="s">
        <v>24</v>
      </c>
      <c r="I187" s="6026" t="s">
        <v>706</v>
      </c>
    </row>
    <row customHeight="1" ht="11.25">
      <c r="A188" s="6026" t="s">
        <v>2185</v>
      </c>
      <c r="B188" s="6026" t="s">
        <v>14</v>
      </c>
      <c r="C188" s="6026" t="s">
        <v>2790</v>
      </c>
      <c r="D188" s="6026" t="s">
        <v>2791</v>
      </c>
      <c r="E188" s="6026" t="s">
        <v>2792</v>
      </c>
      <c r="F188" s="6026" t="s">
        <v>2247</v>
      </c>
      <c r="G188" s="6026" t="s">
        <v>24</v>
      </c>
      <c r="H188" s="6026" t="s">
        <v>24</v>
      </c>
      <c r="I188" s="6026" t="s">
        <v>706</v>
      </c>
    </row>
    <row customHeight="1" ht="11.25">
      <c r="A189" s="6026" t="s">
        <v>2185</v>
      </c>
      <c r="B189" s="6026" t="s">
        <v>14</v>
      </c>
      <c r="C189" s="6026" t="s">
        <v>2793</v>
      </c>
      <c r="D189" s="6026" t="s">
        <v>2794</v>
      </c>
      <c r="E189" s="6026" t="s">
        <v>2795</v>
      </c>
      <c r="F189" s="6026" t="s">
        <v>2380</v>
      </c>
      <c r="G189" s="6026" t="s">
        <v>24</v>
      </c>
      <c r="H189" s="6026" t="s">
        <v>24</v>
      </c>
      <c r="I189" s="6026" t="s">
        <v>706</v>
      </c>
    </row>
    <row customHeight="1" ht="11.25">
      <c r="A190" s="6026" t="s">
        <v>2185</v>
      </c>
      <c r="B190" s="6026" t="s">
        <v>14</v>
      </c>
      <c r="C190" s="6026" t="s">
        <v>2796</v>
      </c>
      <c r="D190" s="6026" t="s">
        <v>2797</v>
      </c>
      <c r="E190" s="6026" t="s">
        <v>2798</v>
      </c>
      <c r="F190" s="6026" t="s">
        <v>2292</v>
      </c>
      <c r="G190" s="6026" t="s">
        <v>24</v>
      </c>
      <c r="H190" s="6026" t="s">
        <v>24</v>
      </c>
      <c r="I190" s="6026" t="s">
        <v>706</v>
      </c>
    </row>
    <row customHeight="1" ht="11.25">
      <c r="A191" s="6026" t="s">
        <v>2185</v>
      </c>
      <c r="B191" s="6026" t="s">
        <v>14</v>
      </c>
      <c r="C191" s="6026" t="s">
        <v>2799</v>
      </c>
      <c r="D191" s="6026" t="s">
        <v>2797</v>
      </c>
      <c r="E191" s="6026" t="s">
        <v>2800</v>
      </c>
      <c r="F191" s="6026" t="s">
        <v>2247</v>
      </c>
      <c r="G191" s="6026" t="s">
        <v>24</v>
      </c>
      <c r="H191" s="6026" t="s">
        <v>24</v>
      </c>
      <c r="I191" s="6026" t="s">
        <v>706</v>
      </c>
    </row>
    <row customHeight="1" ht="11.25">
      <c r="A192" s="6026" t="s">
        <v>2185</v>
      </c>
      <c r="B192" s="6026" t="s">
        <v>14</v>
      </c>
      <c r="C192" s="6026" t="s">
        <v>2801</v>
      </c>
      <c r="D192" s="6026" t="s">
        <v>2802</v>
      </c>
      <c r="E192" s="6026" t="s">
        <v>2803</v>
      </c>
      <c r="F192" s="6026" t="s">
        <v>2204</v>
      </c>
      <c r="G192" s="6026" t="s">
        <v>2804</v>
      </c>
      <c r="H192" s="6026" t="s">
        <v>24</v>
      </c>
      <c r="I192" s="6026" t="s">
        <v>706</v>
      </c>
    </row>
    <row customHeight="1" ht="11.25">
      <c r="A193" s="6026" t="s">
        <v>2185</v>
      </c>
      <c r="B193" s="6026" t="s">
        <v>14</v>
      </c>
      <c r="C193" s="6026" t="s">
        <v>2805</v>
      </c>
      <c r="D193" s="6026" t="s">
        <v>2806</v>
      </c>
      <c r="E193" s="6026" t="s">
        <v>2807</v>
      </c>
      <c r="F193" s="6026" t="s">
        <v>2380</v>
      </c>
      <c r="G193" s="6026" t="s">
        <v>24</v>
      </c>
      <c r="H193" s="6026" t="s">
        <v>24</v>
      </c>
      <c r="I193" s="6026" t="s">
        <v>706</v>
      </c>
    </row>
    <row customHeight="1" ht="11.25">
      <c r="A194" s="6026" t="s">
        <v>2185</v>
      </c>
      <c r="B194" s="6026" t="s">
        <v>14</v>
      </c>
      <c r="C194" s="6026" t="s">
        <v>2808</v>
      </c>
      <c r="D194" s="6026" t="s">
        <v>2809</v>
      </c>
      <c r="E194" s="6026" t="s">
        <v>2810</v>
      </c>
      <c r="F194" s="6026" t="s">
        <v>2380</v>
      </c>
      <c r="G194" s="6026" t="s">
        <v>24</v>
      </c>
      <c r="H194" s="6026" t="s">
        <v>24</v>
      </c>
      <c r="I194" s="6026" t="s">
        <v>706</v>
      </c>
    </row>
    <row customHeight="1" ht="11.25">
      <c r="A195" s="6026" t="s">
        <v>2185</v>
      </c>
      <c r="B195" s="6026" t="s">
        <v>14</v>
      </c>
      <c r="C195" s="6026" t="s">
        <v>2811</v>
      </c>
      <c r="D195" s="6026" t="s">
        <v>2812</v>
      </c>
      <c r="E195" s="6026" t="s">
        <v>2813</v>
      </c>
      <c r="F195" s="6026" t="s">
        <v>2425</v>
      </c>
      <c r="G195" s="6026" t="s">
        <v>24</v>
      </c>
      <c r="H195" s="6026" t="s">
        <v>24</v>
      </c>
      <c r="I195" s="6026" t="s">
        <v>706</v>
      </c>
    </row>
    <row customHeight="1" ht="11.25">
      <c r="A196" s="6026" t="s">
        <v>2185</v>
      </c>
      <c r="B196" s="6026" t="s">
        <v>14</v>
      </c>
      <c r="C196" s="6026" t="s">
        <v>2814</v>
      </c>
      <c r="D196" s="6026" t="s">
        <v>2815</v>
      </c>
      <c r="E196" s="6026" t="s">
        <v>2816</v>
      </c>
      <c r="F196" s="6026" t="s">
        <v>2204</v>
      </c>
      <c r="G196" s="6026" t="s">
        <v>24</v>
      </c>
      <c r="H196" s="6026" t="s">
        <v>24</v>
      </c>
      <c r="I196" s="6026" t="s">
        <v>706</v>
      </c>
    </row>
    <row customHeight="1" ht="11.25">
      <c r="A197" s="6026" t="s">
        <v>2185</v>
      </c>
      <c r="B197" s="6026" t="s">
        <v>14</v>
      </c>
      <c r="C197" s="6026" t="s">
        <v>2817</v>
      </c>
      <c r="D197" s="6026" t="s">
        <v>2818</v>
      </c>
      <c r="E197" s="6026" t="s">
        <v>2819</v>
      </c>
      <c r="F197" s="6026" t="s">
        <v>2216</v>
      </c>
      <c r="G197" s="6026" t="s">
        <v>24</v>
      </c>
      <c r="H197" s="6026" t="s">
        <v>24</v>
      </c>
      <c r="I197" s="6026" t="s">
        <v>706</v>
      </c>
    </row>
    <row customHeight="1" ht="11.25">
      <c r="A198" s="6026" t="s">
        <v>2185</v>
      </c>
      <c r="B198" s="6026" t="s">
        <v>14</v>
      </c>
      <c r="C198" s="6026" t="s">
        <v>2820</v>
      </c>
      <c r="D198" s="6026" t="s">
        <v>2821</v>
      </c>
      <c r="E198" s="6026" t="s">
        <v>2822</v>
      </c>
      <c r="F198" s="6026" t="s">
        <v>2216</v>
      </c>
      <c r="G198" s="6026" t="s">
        <v>24</v>
      </c>
      <c r="H198" s="6026" t="s">
        <v>24</v>
      </c>
      <c r="I198" s="6026" t="s">
        <v>706</v>
      </c>
    </row>
    <row customHeight="1" ht="11.25">
      <c r="A199" s="6026" t="s">
        <v>2185</v>
      </c>
      <c r="B199" s="6026" t="s">
        <v>14</v>
      </c>
      <c r="C199" s="6026" t="s">
        <v>2823</v>
      </c>
      <c r="D199" s="6026" t="s">
        <v>2824</v>
      </c>
      <c r="E199" s="6026" t="s">
        <v>2825</v>
      </c>
      <c r="F199" s="6026" t="s">
        <v>2189</v>
      </c>
      <c r="G199" s="6026" t="s">
        <v>24</v>
      </c>
      <c r="H199" s="6026" t="s">
        <v>24</v>
      </c>
      <c r="I199" s="6026" t="s">
        <v>706</v>
      </c>
    </row>
    <row customHeight="1" ht="11.25">
      <c r="A200" s="6026" t="s">
        <v>2185</v>
      </c>
      <c r="B200" s="6026" t="s">
        <v>14</v>
      </c>
      <c r="C200" s="6026" t="s">
        <v>2826</v>
      </c>
      <c r="D200" s="6026" t="s">
        <v>2827</v>
      </c>
      <c r="E200" s="6026" t="s">
        <v>2828</v>
      </c>
      <c r="F200" s="6026" t="s">
        <v>2204</v>
      </c>
      <c r="G200" s="6026" t="s">
        <v>24</v>
      </c>
      <c r="H200" s="6026" t="s">
        <v>24</v>
      </c>
      <c r="I200" s="6026" t="s">
        <v>706</v>
      </c>
    </row>
    <row customHeight="1" ht="11.25">
      <c r="A201" s="6026" t="s">
        <v>2185</v>
      </c>
      <c r="B201" s="6026" t="s">
        <v>14</v>
      </c>
      <c r="C201" s="6026" t="s">
        <v>2829</v>
      </c>
      <c r="D201" s="6026" t="s">
        <v>2830</v>
      </c>
      <c r="E201" s="6026" t="s">
        <v>2831</v>
      </c>
      <c r="F201" s="6026" t="s">
        <v>2208</v>
      </c>
      <c r="G201" s="6026" t="s">
        <v>24</v>
      </c>
      <c r="H201" s="6026" t="s">
        <v>24</v>
      </c>
      <c r="I201" s="6026" t="s">
        <v>706</v>
      </c>
    </row>
    <row customHeight="1" ht="11.25">
      <c r="A202" s="6026" t="s">
        <v>2185</v>
      </c>
      <c r="B202" s="6026" t="s">
        <v>14</v>
      </c>
      <c r="C202" s="6026" t="s">
        <v>2832</v>
      </c>
      <c r="D202" s="6026" t="s">
        <v>2833</v>
      </c>
      <c r="E202" s="6026" t="s">
        <v>2834</v>
      </c>
      <c r="F202" s="6026" t="s">
        <v>2216</v>
      </c>
      <c r="G202" s="6026" t="s">
        <v>2835</v>
      </c>
      <c r="H202" s="6026" t="s">
        <v>24</v>
      </c>
      <c r="I202" s="6026" t="s">
        <v>706</v>
      </c>
    </row>
    <row customHeight="1" ht="11.25">
      <c r="A203" s="6026" t="s">
        <v>2185</v>
      </c>
      <c r="B203" s="6026" t="s">
        <v>14</v>
      </c>
      <c r="C203" s="6026" t="s">
        <v>2836</v>
      </c>
      <c r="D203" s="6026" t="s">
        <v>2837</v>
      </c>
      <c r="E203" s="6026" t="s">
        <v>2838</v>
      </c>
      <c r="F203" s="6026" t="s">
        <v>2208</v>
      </c>
      <c r="G203" s="6026" t="s">
        <v>24</v>
      </c>
      <c r="H203" s="6026" t="s">
        <v>24</v>
      </c>
      <c r="I203" s="6026" t="s">
        <v>706</v>
      </c>
    </row>
    <row customHeight="1" ht="11.25">
      <c r="A204" s="6026" t="s">
        <v>2185</v>
      </c>
      <c r="B204" s="6026" t="s">
        <v>14</v>
      </c>
      <c r="C204" s="6026" t="s">
        <v>2839</v>
      </c>
      <c r="D204" s="6026" t="s">
        <v>2840</v>
      </c>
      <c r="E204" s="6026" t="s">
        <v>2841</v>
      </c>
      <c r="F204" s="6026" t="s">
        <v>2208</v>
      </c>
      <c r="G204" s="6026" t="s">
        <v>24</v>
      </c>
      <c r="H204" s="6026" t="s">
        <v>24</v>
      </c>
      <c r="I204" s="6026" t="s">
        <v>706</v>
      </c>
    </row>
    <row customHeight="1" ht="11.25">
      <c r="A205" s="6026" t="s">
        <v>2185</v>
      </c>
      <c r="B205" s="6026" t="s">
        <v>14</v>
      </c>
      <c r="C205" s="6026" t="s">
        <v>2842</v>
      </c>
      <c r="D205" s="6026" t="s">
        <v>2843</v>
      </c>
      <c r="E205" s="6026" t="s">
        <v>2844</v>
      </c>
      <c r="F205" s="6026" t="s">
        <v>2342</v>
      </c>
      <c r="G205" s="6026" t="s">
        <v>24</v>
      </c>
      <c r="H205" s="6026" t="s">
        <v>24</v>
      </c>
      <c r="I205" s="6026" t="s">
        <v>706</v>
      </c>
    </row>
    <row customHeight="1" ht="11.25">
      <c r="A206" s="6026" t="s">
        <v>2185</v>
      </c>
      <c r="B206" s="6026" t="s">
        <v>14</v>
      </c>
      <c r="C206" s="6026" t="s">
        <v>2845</v>
      </c>
      <c r="D206" s="6026" t="s">
        <v>2846</v>
      </c>
      <c r="E206" s="6026" t="s">
        <v>2847</v>
      </c>
      <c r="F206" s="6026" t="s">
        <v>2204</v>
      </c>
      <c r="G206" s="6026" t="s">
        <v>24</v>
      </c>
      <c r="H206" s="6026" t="s">
        <v>24</v>
      </c>
      <c r="I206" s="6026" t="s">
        <v>706</v>
      </c>
    </row>
    <row customHeight="1" ht="11.25">
      <c r="A207" s="6026" t="s">
        <v>2185</v>
      </c>
      <c r="B207" s="6026" t="s">
        <v>14</v>
      </c>
      <c r="C207" s="6026" t="s">
        <v>2848</v>
      </c>
      <c r="D207" s="6026" t="s">
        <v>2849</v>
      </c>
      <c r="E207" s="6026" t="s">
        <v>2850</v>
      </c>
      <c r="F207" s="6026" t="s">
        <v>2247</v>
      </c>
      <c r="G207" s="6026" t="s">
        <v>24</v>
      </c>
      <c r="H207" s="6026" t="s">
        <v>24</v>
      </c>
      <c r="I207" s="6026" t="s">
        <v>706</v>
      </c>
    </row>
    <row customHeight="1" ht="11.25">
      <c r="A208" s="6026" t="s">
        <v>2185</v>
      </c>
      <c r="B208" s="6026" t="s">
        <v>14</v>
      </c>
      <c r="C208" s="6026" t="s">
        <v>2851</v>
      </c>
      <c r="D208" s="6026" t="s">
        <v>2852</v>
      </c>
      <c r="E208" s="6026" t="s">
        <v>2853</v>
      </c>
      <c r="F208" s="6026" t="s">
        <v>2247</v>
      </c>
      <c r="G208" s="6026" t="s">
        <v>24</v>
      </c>
      <c r="H208" s="6026" t="s">
        <v>24</v>
      </c>
      <c r="I208" s="6026" t="s">
        <v>706</v>
      </c>
    </row>
    <row customHeight="1" ht="11.25">
      <c r="A209" s="6026" t="s">
        <v>2185</v>
      </c>
      <c r="B209" s="6026" t="s">
        <v>14</v>
      </c>
      <c r="C209" s="6026" t="s">
        <v>2854</v>
      </c>
      <c r="D209" s="6026" t="s">
        <v>2855</v>
      </c>
      <c r="E209" s="6026" t="s">
        <v>2856</v>
      </c>
      <c r="F209" s="6026" t="s">
        <v>2857</v>
      </c>
      <c r="G209" s="6026" t="s">
        <v>24</v>
      </c>
      <c r="H209" s="6026" t="s">
        <v>24</v>
      </c>
      <c r="I209" s="6026" t="s">
        <v>706</v>
      </c>
    </row>
    <row customHeight="1" ht="11.25">
      <c r="A210" s="6026" t="s">
        <v>2185</v>
      </c>
      <c r="B210" s="6026" t="s">
        <v>14</v>
      </c>
      <c r="C210" s="6026" t="s">
        <v>2858</v>
      </c>
      <c r="D210" s="6026" t="s">
        <v>2859</v>
      </c>
      <c r="E210" s="6026" t="s">
        <v>2860</v>
      </c>
      <c r="F210" s="6026" t="s">
        <v>2208</v>
      </c>
      <c r="G210" s="6026" t="s">
        <v>24</v>
      </c>
      <c r="H210" s="6026" t="s">
        <v>24</v>
      </c>
      <c r="I210" s="6026" t="s">
        <v>706</v>
      </c>
    </row>
    <row customHeight="1" ht="11.25">
      <c r="A211" s="6026" t="s">
        <v>2185</v>
      </c>
      <c r="B211" s="6026" t="s">
        <v>14</v>
      </c>
      <c r="C211" s="6026" t="s">
        <v>2861</v>
      </c>
      <c r="D211" s="6026" t="s">
        <v>2862</v>
      </c>
      <c r="E211" s="6026" t="s">
        <v>2863</v>
      </c>
      <c r="F211" s="6026" t="s">
        <v>2216</v>
      </c>
      <c r="G211" s="6026" t="s">
        <v>24</v>
      </c>
      <c r="H211" s="6026" t="s">
        <v>2864</v>
      </c>
      <c r="I211" s="6026" t="s">
        <v>706</v>
      </c>
    </row>
    <row customHeight="1" ht="11.25">
      <c r="A212" s="6026" t="s">
        <v>2185</v>
      </c>
      <c r="B212" s="6026" t="s">
        <v>14</v>
      </c>
      <c r="C212" s="6026" t="s">
        <v>2865</v>
      </c>
      <c r="D212" s="6026" t="s">
        <v>2866</v>
      </c>
      <c r="E212" s="6026" t="s">
        <v>2867</v>
      </c>
      <c r="F212" s="6026" t="s">
        <v>2380</v>
      </c>
      <c r="G212" s="6026" t="s">
        <v>24</v>
      </c>
      <c r="H212" s="6026" t="s">
        <v>24</v>
      </c>
      <c r="I212" s="6026" t="s">
        <v>706</v>
      </c>
    </row>
    <row customHeight="1" ht="11.25">
      <c r="A213" s="6026" t="s">
        <v>2185</v>
      </c>
      <c r="B213" s="6026" t="s">
        <v>14</v>
      </c>
      <c r="C213" s="6026" t="s">
        <v>2868</v>
      </c>
      <c r="D213" s="6026" t="s">
        <v>2869</v>
      </c>
      <c r="E213" s="6026" t="s">
        <v>2870</v>
      </c>
      <c r="F213" s="6026" t="s">
        <v>2189</v>
      </c>
      <c r="G213" s="6026" t="s">
        <v>24</v>
      </c>
      <c r="H213" s="6026" t="s">
        <v>24</v>
      </c>
      <c r="I213" s="6026" t="s">
        <v>706</v>
      </c>
    </row>
    <row customHeight="1" ht="11.25">
      <c r="A214" s="6026" t="s">
        <v>2185</v>
      </c>
      <c r="B214" s="6026" t="s">
        <v>14</v>
      </c>
      <c r="C214" s="6026" t="s">
        <v>2871</v>
      </c>
      <c r="D214" s="6026" t="s">
        <v>2872</v>
      </c>
      <c r="E214" s="6026" t="s">
        <v>2873</v>
      </c>
      <c r="F214" s="6026" t="s">
        <v>2874</v>
      </c>
      <c r="G214" s="6026" t="s">
        <v>24</v>
      </c>
      <c r="H214" s="6026" t="s">
        <v>24</v>
      </c>
      <c r="I214" s="6026" t="s">
        <v>706</v>
      </c>
    </row>
    <row customHeight="1" ht="11.25">
      <c r="A215" s="6026" t="s">
        <v>2185</v>
      </c>
      <c r="B215" s="6026" t="s">
        <v>14</v>
      </c>
      <c r="C215" s="6026" t="s">
        <v>2875</v>
      </c>
      <c r="D215" s="6026" t="s">
        <v>2876</v>
      </c>
      <c r="E215" s="6026" t="s">
        <v>2877</v>
      </c>
      <c r="F215" s="6026" t="s">
        <v>2292</v>
      </c>
      <c r="G215" s="6026" t="s">
        <v>24</v>
      </c>
      <c r="H215" s="6026" t="s">
        <v>24</v>
      </c>
      <c r="I215" s="6026" t="s">
        <v>706</v>
      </c>
    </row>
    <row customHeight="1" ht="11.25">
      <c r="A216" s="6026" t="s">
        <v>2185</v>
      </c>
      <c r="B216" s="6026" t="s">
        <v>14</v>
      </c>
      <c r="C216" s="6026" t="s">
        <v>2878</v>
      </c>
      <c r="D216" s="6026" t="s">
        <v>2879</v>
      </c>
      <c r="E216" s="6026" t="s">
        <v>2880</v>
      </c>
      <c r="F216" s="6026" t="s">
        <v>2208</v>
      </c>
      <c r="G216" s="6026" t="s">
        <v>24</v>
      </c>
      <c r="H216" s="6026" t="s">
        <v>24</v>
      </c>
      <c r="I216" s="6026" t="s">
        <v>706</v>
      </c>
    </row>
    <row customHeight="1" ht="11.25">
      <c r="A217" s="6026" t="s">
        <v>2185</v>
      </c>
      <c r="B217" s="6026" t="s">
        <v>14</v>
      </c>
      <c r="C217" s="6026" t="s">
        <v>2881</v>
      </c>
      <c r="D217" s="6026" t="s">
        <v>2882</v>
      </c>
      <c r="E217" s="6026" t="s">
        <v>2883</v>
      </c>
      <c r="F217" s="6026" t="s">
        <v>2380</v>
      </c>
      <c r="G217" s="6026" t="s">
        <v>24</v>
      </c>
      <c r="H217" s="6026" t="s">
        <v>24</v>
      </c>
      <c r="I217" s="6026" t="s">
        <v>706</v>
      </c>
    </row>
    <row customHeight="1" ht="11.25">
      <c r="A218" s="6026" t="s">
        <v>2185</v>
      </c>
      <c r="B218" s="6026" t="s">
        <v>14</v>
      </c>
      <c r="C218" s="6026" t="s">
        <v>2884</v>
      </c>
      <c r="D218" s="6026" t="s">
        <v>2885</v>
      </c>
      <c r="E218" s="6026" t="s">
        <v>2886</v>
      </c>
      <c r="F218" s="6026" t="s">
        <v>2216</v>
      </c>
      <c r="G218" s="6026" t="s">
        <v>24</v>
      </c>
      <c r="H218" s="6026" t="s">
        <v>24</v>
      </c>
      <c r="I218" s="6026" t="s">
        <v>706</v>
      </c>
    </row>
    <row customHeight="1" ht="11.25">
      <c r="A219" s="6026" t="s">
        <v>2185</v>
      </c>
      <c r="B219" s="6026" t="s">
        <v>14</v>
      </c>
      <c r="C219" s="6026" t="s">
        <v>2887</v>
      </c>
      <c r="D219" s="6026" t="s">
        <v>2888</v>
      </c>
      <c r="E219" s="6026" t="s">
        <v>2889</v>
      </c>
      <c r="F219" s="6026" t="s">
        <v>2247</v>
      </c>
      <c r="G219" s="6026" t="s">
        <v>24</v>
      </c>
      <c r="H219" s="6026" t="s">
        <v>24</v>
      </c>
      <c r="I219" s="6026" t="s">
        <v>706</v>
      </c>
    </row>
    <row customHeight="1" ht="11.25">
      <c r="A220" s="6026" t="s">
        <v>2185</v>
      </c>
      <c r="B220" s="6026" t="s">
        <v>14</v>
      </c>
      <c r="C220" s="6026" t="s">
        <v>2890</v>
      </c>
      <c r="D220" s="6026" t="s">
        <v>2888</v>
      </c>
      <c r="E220" s="6026" t="s">
        <v>2891</v>
      </c>
      <c r="F220" s="6026" t="s">
        <v>2247</v>
      </c>
      <c r="G220" s="6026" t="s">
        <v>24</v>
      </c>
      <c r="H220" s="6026" t="s">
        <v>24</v>
      </c>
      <c r="I220" s="6026" t="s">
        <v>706</v>
      </c>
    </row>
    <row customHeight="1" ht="11.25">
      <c r="A221" s="6026" t="s">
        <v>2185</v>
      </c>
      <c r="B221" s="6026" t="s">
        <v>14</v>
      </c>
      <c r="C221" s="6026" t="s">
        <v>2892</v>
      </c>
      <c r="D221" s="6026" t="s">
        <v>2893</v>
      </c>
      <c r="E221" s="6026" t="s">
        <v>2894</v>
      </c>
      <c r="F221" s="6026" t="s">
        <v>2204</v>
      </c>
      <c r="G221" s="6026" t="s">
        <v>24</v>
      </c>
      <c r="H221" s="6026" t="s">
        <v>24</v>
      </c>
      <c r="I221" s="6026" t="s">
        <v>706</v>
      </c>
    </row>
    <row customHeight="1" ht="11.25">
      <c r="A222" s="6026" t="s">
        <v>2185</v>
      </c>
      <c r="B222" s="6026" t="s">
        <v>14</v>
      </c>
      <c r="C222" s="6026" t="s">
        <v>2895</v>
      </c>
      <c r="D222" s="6026" t="s">
        <v>2896</v>
      </c>
      <c r="E222" s="6026" t="s">
        <v>2897</v>
      </c>
      <c r="F222" s="6026" t="s">
        <v>2204</v>
      </c>
      <c r="G222" s="6026" t="s">
        <v>24</v>
      </c>
      <c r="H222" s="6026" t="s">
        <v>24</v>
      </c>
      <c r="I222" s="6026" t="s">
        <v>706</v>
      </c>
    </row>
    <row customHeight="1" ht="11.25">
      <c r="A223" s="6026" t="s">
        <v>2185</v>
      </c>
      <c r="B223" s="6026" t="s">
        <v>14</v>
      </c>
      <c r="C223" s="6026" t="s">
        <v>2898</v>
      </c>
      <c r="D223" s="6026" t="s">
        <v>2899</v>
      </c>
      <c r="E223" s="6026" t="s">
        <v>2900</v>
      </c>
      <c r="F223" s="6026" t="s">
        <v>2247</v>
      </c>
      <c r="G223" s="6026" t="s">
        <v>24</v>
      </c>
      <c r="H223" s="6026" t="s">
        <v>24</v>
      </c>
      <c r="I223" s="6026" t="s">
        <v>706</v>
      </c>
    </row>
    <row customHeight="1" ht="11.25">
      <c r="A224" s="6026" t="s">
        <v>2185</v>
      </c>
      <c r="B224" s="6026" t="s">
        <v>14</v>
      </c>
      <c r="C224" s="6026" t="s">
        <v>2901</v>
      </c>
      <c r="D224" s="6026" t="s">
        <v>2902</v>
      </c>
      <c r="E224" s="6026" t="s">
        <v>2903</v>
      </c>
      <c r="F224" s="6026" t="s">
        <v>2189</v>
      </c>
      <c r="G224" s="6026" t="s">
        <v>24</v>
      </c>
      <c r="H224" s="6026" t="s">
        <v>24</v>
      </c>
      <c r="I224" s="6026" t="s">
        <v>706</v>
      </c>
    </row>
    <row customHeight="1" ht="11.25">
      <c r="A225" s="6026" t="s">
        <v>2185</v>
      </c>
      <c r="B225" s="6026" t="s">
        <v>14</v>
      </c>
      <c r="C225" s="6026" t="s">
        <v>2904</v>
      </c>
      <c r="D225" s="6026" t="s">
        <v>2905</v>
      </c>
      <c r="E225" s="6026" t="s">
        <v>2906</v>
      </c>
      <c r="F225" s="6026" t="s">
        <v>2208</v>
      </c>
      <c r="G225" s="6026" t="s">
        <v>24</v>
      </c>
      <c r="H225" s="6026" t="s">
        <v>24</v>
      </c>
      <c r="I225" s="6026" t="s">
        <v>706</v>
      </c>
    </row>
    <row customHeight="1" ht="11.25">
      <c r="A226" s="6026" t="s">
        <v>2185</v>
      </c>
      <c r="B226" s="6026" t="s">
        <v>14</v>
      </c>
      <c r="C226" s="6026" t="s">
        <v>2907</v>
      </c>
      <c r="D226" s="6026" t="s">
        <v>2908</v>
      </c>
      <c r="E226" s="6026" t="s">
        <v>2909</v>
      </c>
      <c r="F226" s="6026" t="s">
        <v>2910</v>
      </c>
      <c r="G226" s="6026" t="s">
        <v>24</v>
      </c>
      <c r="H226" s="6026" t="s">
        <v>24</v>
      </c>
      <c r="I226" s="6026" t="s">
        <v>706</v>
      </c>
    </row>
    <row customHeight="1" ht="11.25">
      <c r="A227" s="6026" t="s">
        <v>2185</v>
      </c>
      <c r="B227" s="6026" t="s">
        <v>14</v>
      </c>
      <c r="C227" s="6026" t="s">
        <v>2911</v>
      </c>
      <c r="D227" s="6026" t="s">
        <v>2912</v>
      </c>
      <c r="E227" s="6026" t="s">
        <v>2913</v>
      </c>
      <c r="F227" s="6026" t="s">
        <v>2208</v>
      </c>
      <c r="G227" s="6026" t="s">
        <v>24</v>
      </c>
      <c r="H227" s="6026" t="s">
        <v>24</v>
      </c>
      <c r="I227" s="6026" t="s">
        <v>706</v>
      </c>
    </row>
    <row customHeight="1" ht="11.25">
      <c r="A228" s="6026" t="s">
        <v>2185</v>
      </c>
      <c r="B228" s="6026" t="s">
        <v>14</v>
      </c>
      <c r="C228" s="6026" t="s">
        <v>2914</v>
      </c>
      <c r="D228" s="6026" t="s">
        <v>2915</v>
      </c>
      <c r="E228" s="6026" t="s">
        <v>2916</v>
      </c>
      <c r="F228" s="6026" t="s">
        <v>2208</v>
      </c>
      <c r="G228" s="6026" t="s">
        <v>24</v>
      </c>
      <c r="H228" s="6026" t="s">
        <v>24</v>
      </c>
      <c r="I228" s="6026" t="s">
        <v>706</v>
      </c>
    </row>
    <row customHeight="1" ht="11.25">
      <c r="A229" s="6026" t="s">
        <v>2185</v>
      </c>
      <c r="B229" s="6026" t="s">
        <v>14</v>
      </c>
      <c r="C229" s="6026" t="s">
        <v>2917</v>
      </c>
      <c r="D229" s="6026" t="s">
        <v>2918</v>
      </c>
      <c r="E229" s="6026" t="s">
        <v>2919</v>
      </c>
      <c r="F229" s="6026" t="s">
        <v>2189</v>
      </c>
      <c r="G229" s="6026" t="s">
        <v>24</v>
      </c>
      <c r="H229" s="6026" t="s">
        <v>24</v>
      </c>
      <c r="I229" s="6026" t="s">
        <v>706</v>
      </c>
    </row>
    <row customHeight="1" ht="11.25">
      <c r="A230" s="6026" t="s">
        <v>2185</v>
      </c>
      <c r="B230" s="6026" t="s">
        <v>14</v>
      </c>
      <c r="C230" s="6026" t="s">
        <v>2920</v>
      </c>
      <c r="D230" s="6026" t="s">
        <v>2921</v>
      </c>
      <c r="E230" s="6026" t="s">
        <v>2922</v>
      </c>
      <c r="F230" s="6026" t="s">
        <v>2923</v>
      </c>
      <c r="G230" s="6026" t="s">
        <v>24</v>
      </c>
      <c r="H230" s="6026" t="s">
        <v>24</v>
      </c>
      <c r="I230" s="6026" t="s">
        <v>706</v>
      </c>
    </row>
    <row customHeight="1" ht="11.25">
      <c r="A231" s="6026" t="s">
        <v>2185</v>
      </c>
      <c r="B231" s="6026" t="s">
        <v>14</v>
      </c>
      <c r="C231" s="6026" t="s">
        <v>2924</v>
      </c>
      <c r="D231" s="6026" t="s">
        <v>2925</v>
      </c>
      <c r="E231" s="6026" t="s">
        <v>2926</v>
      </c>
      <c r="F231" s="6026" t="s">
        <v>2247</v>
      </c>
      <c r="G231" s="6026" t="s">
        <v>24</v>
      </c>
      <c r="H231" s="6026" t="s">
        <v>24</v>
      </c>
      <c r="I231" s="6026" t="s">
        <v>706</v>
      </c>
    </row>
    <row customHeight="1" ht="11.25">
      <c r="A232" s="6026" t="s">
        <v>2185</v>
      </c>
      <c r="B232" s="6026" t="s">
        <v>14</v>
      </c>
      <c r="C232" s="6026" t="s">
        <v>2927</v>
      </c>
      <c r="D232" s="6026" t="s">
        <v>2928</v>
      </c>
      <c r="E232" s="6026" t="s">
        <v>2929</v>
      </c>
      <c r="F232" s="6026" t="s">
        <v>2247</v>
      </c>
      <c r="G232" s="6026" t="s">
        <v>24</v>
      </c>
      <c r="H232" s="6026" t="s">
        <v>24</v>
      </c>
      <c r="I232" s="6026" t="s">
        <v>706</v>
      </c>
    </row>
    <row customHeight="1" ht="11.25">
      <c r="A233" s="6026" t="s">
        <v>2185</v>
      </c>
      <c r="B233" s="6026" t="s">
        <v>14</v>
      </c>
      <c r="C233" s="6026" t="s">
        <v>2930</v>
      </c>
      <c r="D233" s="6026" t="s">
        <v>2931</v>
      </c>
      <c r="E233" s="6026" t="s">
        <v>2932</v>
      </c>
      <c r="F233" s="6026" t="s">
        <v>2342</v>
      </c>
      <c r="G233" s="6026" t="s">
        <v>24</v>
      </c>
      <c r="H233" s="6026" t="s">
        <v>24</v>
      </c>
      <c r="I233" s="6026" t="s">
        <v>706</v>
      </c>
    </row>
    <row customHeight="1" ht="11.25">
      <c r="A234" s="6026" t="s">
        <v>2185</v>
      </c>
      <c r="B234" s="6026" t="s">
        <v>14</v>
      </c>
      <c r="C234" s="6026" t="s">
        <v>2933</v>
      </c>
      <c r="D234" s="6026" t="s">
        <v>2934</v>
      </c>
      <c r="E234" s="6026" t="s">
        <v>2935</v>
      </c>
      <c r="F234" s="6026" t="s">
        <v>2247</v>
      </c>
      <c r="G234" s="6026" t="s">
        <v>24</v>
      </c>
      <c r="H234" s="6026" t="s">
        <v>24</v>
      </c>
      <c r="I234" s="6026" t="s">
        <v>706</v>
      </c>
    </row>
    <row customHeight="1" ht="11.25">
      <c r="A235" s="6026" t="s">
        <v>2185</v>
      </c>
      <c r="B235" s="6026" t="s">
        <v>14</v>
      </c>
      <c r="C235" s="6026" t="s">
        <v>2936</v>
      </c>
      <c r="D235" s="6026" t="s">
        <v>2937</v>
      </c>
      <c r="E235" s="6026" t="s">
        <v>2938</v>
      </c>
      <c r="F235" s="6026" t="s">
        <v>2939</v>
      </c>
      <c r="G235" s="6026" t="s">
        <v>24</v>
      </c>
      <c r="H235" s="6026" t="s">
        <v>24</v>
      </c>
      <c r="I235" s="6026" t="s">
        <v>706</v>
      </c>
    </row>
    <row customHeight="1" ht="11.25">
      <c r="A236" s="6026" t="s">
        <v>2185</v>
      </c>
      <c r="B236" s="6026" t="s">
        <v>14</v>
      </c>
      <c r="C236" s="6026" t="s">
        <v>2940</v>
      </c>
      <c r="D236" s="6026" t="s">
        <v>2941</v>
      </c>
      <c r="E236" s="6026" t="s">
        <v>2942</v>
      </c>
      <c r="F236" s="6026" t="s">
        <v>2189</v>
      </c>
      <c r="G236" s="6026" t="s">
        <v>24</v>
      </c>
      <c r="H236" s="6026" t="s">
        <v>24</v>
      </c>
      <c r="I236" s="6026" t="s">
        <v>706</v>
      </c>
    </row>
    <row customHeight="1" ht="11.25">
      <c r="A237" s="6026" t="s">
        <v>2185</v>
      </c>
      <c r="B237" s="6026" t="s">
        <v>14</v>
      </c>
      <c r="C237" s="6026" t="s">
        <v>2943</v>
      </c>
      <c r="D237" s="6026" t="s">
        <v>2944</v>
      </c>
      <c r="E237" s="6026" t="s">
        <v>2945</v>
      </c>
      <c r="F237" s="6026" t="s">
        <v>2204</v>
      </c>
      <c r="G237" s="6026" t="s">
        <v>24</v>
      </c>
      <c r="H237" s="6026" t="s">
        <v>24</v>
      </c>
      <c r="I237" s="6026" t="s">
        <v>706</v>
      </c>
    </row>
    <row customHeight="1" ht="11.25">
      <c r="A238" s="6026" t="s">
        <v>2185</v>
      </c>
      <c r="B238" s="6026" t="s">
        <v>14</v>
      </c>
      <c r="C238" s="6026" t="s">
        <v>2946</v>
      </c>
      <c r="D238" s="6026" t="s">
        <v>2947</v>
      </c>
      <c r="E238" s="6026" t="s">
        <v>2948</v>
      </c>
      <c r="F238" s="6026" t="s">
        <v>2189</v>
      </c>
      <c r="G238" s="6026" t="s">
        <v>24</v>
      </c>
      <c r="H238" s="6026" t="s">
        <v>24</v>
      </c>
      <c r="I238" s="6026" t="s">
        <v>706</v>
      </c>
    </row>
    <row customHeight="1" ht="11.25">
      <c r="A239" s="6026" t="s">
        <v>2185</v>
      </c>
      <c r="B239" s="6026" t="s">
        <v>14</v>
      </c>
      <c r="C239" s="6026" t="s">
        <v>2949</v>
      </c>
      <c r="D239" s="6026" t="s">
        <v>2950</v>
      </c>
      <c r="E239" s="6026" t="s">
        <v>2772</v>
      </c>
      <c r="F239" s="6026" t="s">
        <v>2425</v>
      </c>
      <c r="G239" s="6026" t="s">
        <v>24</v>
      </c>
      <c r="H239" s="6026" t="s">
        <v>24</v>
      </c>
      <c r="I239" s="6026" t="s">
        <v>706</v>
      </c>
    </row>
    <row customHeight="1" ht="11.25">
      <c r="A240" s="6026" t="s">
        <v>2185</v>
      </c>
      <c r="B240" s="6026" t="s">
        <v>14</v>
      </c>
      <c r="C240" s="6026" t="s">
        <v>2951</v>
      </c>
      <c r="D240" s="6026" t="s">
        <v>2952</v>
      </c>
      <c r="E240" s="6026" t="s">
        <v>2953</v>
      </c>
      <c r="F240" s="6026" t="s">
        <v>2208</v>
      </c>
      <c r="G240" s="6026" t="s">
        <v>24</v>
      </c>
      <c r="H240" s="6026" t="s">
        <v>24</v>
      </c>
      <c r="I240" s="6026" t="s">
        <v>706</v>
      </c>
    </row>
    <row customHeight="1" ht="11.25">
      <c r="A241" s="6026" t="s">
        <v>2185</v>
      </c>
      <c r="B241" s="6026" t="s">
        <v>14</v>
      </c>
      <c r="C241" s="6026" t="s">
        <v>2954</v>
      </c>
      <c r="D241" s="6026" t="s">
        <v>2955</v>
      </c>
      <c r="E241" s="6026" t="s">
        <v>2956</v>
      </c>
      <c r="F241" s="6026" t="s">
        <v>2204</v>
      </c>
      <c r="G241" s="6026" t="s">
        <v>24</v>
      </c>
      <c r="H241" s="6026" t="s">
        <v>24</v>
      </c>
      <c r="I241" s="6026" t="s">
        <v>706</v>
      </c>
    </row>
    <row customHeight="1" ht="11.25">
      <c r="A242" s="6026" t="s">
        <v>2185</v>
      </c>
      <c r="B242" s="6026" t="s">
        <v>14</v>
      </c>
      <c r="C242" s="6026" t="s">
        <v>2957</v>
      </c>
      <c r="D242" s="6026" t="s">
        <v>2958</v>
      </c>
      <c r="E242" s="6026" t="s">
        <v>2959</v>
      </c>
      <c r="F242" s="6026" t="s">
        <v>2204</v>
      </c>
      <c r="G242" s="6026" t="s">
        <v>24</v>
      </c>
      <c r="H242" s="6026" t="s">
        <v>24</v>
      </c>
      <c r="I242" s="6026" t="s">
        <v>706</v>
      </c>
    </row>
    <row customHeight="1" ht="11.25">
      <c r="A243" s="6026" t="s">
        <v>2185</v>
      </c>
      <c r="B243" s="6026" t="s">
        <v>14</v>
      </c>
      <c r="C243" s="6026" t="s">
        <v>2960</v>
      </c>
      <c r="D243" s="6026" t="s">
        <v>2961</v>
      </c>
      <c r="E243" s="6026" t="s">
        <v>2962</v>
      </c>
      <c r="F243" s="6026" t="s">
        <v>2288</v>
      </c>
      <c r="G243" s="6026" t="s">
        <v>24</v>
      </c>
      <c r="H243" s="6026" t="s">
        <v>24</v>
      </c>
      <c r="I243" s="6026" t="s">
        <v>706</v>
      </c>
    </row>
    <row customHeight="1" ht="11.25">
      <c r="A244" s="6026" t="s">
        <v>2185</v>
      </c>
      <c r="B244" s="6026" t="s">
        <v>14</v>
      </c>
      <c r="C244" s="6026" t="s">
        <v>2963</v>
      </c>
      <c r="D244" s="6026" t="s">
        <v>2964</v>
      </c>
      <c r="E244" s="6026" t="s">
        <v>2965</v>
      </c>
      <c r="F244" s="6026" t="s">
        <v>2189</v>
      </c>
      <c r="G244" s="6026" t="s">
        <v>24</v>
      </c>
      <c r="H244" s="6026" t="s">
        <v>24</v>
      </c>
      <c r="I244" s="6026" t="s">
        <v>706</v>
      </c>
    </row>
    <row customHeight="1" ht="11.25">
      <c r="A245" s="6026" t="s">
        <v>2185</v>
      </c>
      <c r="B245" s="6026" t="s">
        <v>14</v>
      </c>
      <c r="C245" s="6026" t="s">
        <v>2966</v>
      </c>
      <c r="D245" s="6026" t="s">
        <v>2967</v>
      </c>
      <c r="E245" s="6026" t="s">
        <v>2968</v>
      </c>
      <c r="F245" s="6026" t="s">
        <v>2208</v>
      </c>
      <c r="G245" s="6026" t="s">
        <v>24</v>
      </c>
      <c r="H245" s="6026" t="s">
        <v>24</v>
      </c>
      <c r="I245" s="6026" t="s">
        <v>706</v>
      </c>
    </row>
    <row customHeight="1" ht="11.25">
      <c r="A246" s="6026" t="s">
        <v>2185</v>
      </c>
      <c r="B246" s="6026" t="s">
        <v>14</v>
      </c>
      <c r="C246" s="6026" t="s">
        <v>2969</v>
      </c>
      <c r="D246" s="6026" t="s">
        <v>2970</v>
      </c>
      <c r="E246" s="6026" t="s">
        <v>2971</v>
      </c>
      <c r="F246" s="6026" t="s">
        <v>2857</v>
      </c>
      <c r="G246" s="6026" t="s">
        <v>2972</v>
      </c>
      <c r="H246" s="6026" t="s">
        <v>24</v>
      </c>
      <c r="I246" s="6026" t="s">
        <v>706</v>
      </c>
    </row>
    <row customHeight="1" ht="11.25">
      <c r="A247" s="6026" t="s">
        <v>2185</v>
      </c>
      <c r="B247" s="6026" t="s">
        <v>14</v>
      </c>
      <c r="C247" s="6026" t="s">
        <v>2973</v>
      </c>
      <c r="D247" s="6026" t="s">
        <v>2974</v>
      </c>
      <c r="E247" s="6026" t="s">
        <v>2975</v>
      </c>
      <c r="F247" s="6026" t="s">
        <v>2874</v>
      </c>
      <c r="G247" s="6026" t="s">
        <v>24</v>
      </c>
      <c r="H247" s="6026" t="s">
        <v>24</v>
      </c>
      <c r="I247" s="6026" t="s">
        <v>706</v>
      </c>
    </row>
    <row customHeight="1" ht="11.25">
      <c r="A248" s="6026" t="s">
        <v>2185</v>
      </c>
      <c r="B248" s="6026" t="s">
        <v>14</v>
      </c>
      <c r="C248" s="6026" t="s">
        <v>2976</v>
      </c>
      <c r="D248" s="6026" t="s">
        <v>2977</v>
      </c>
      <c r="E248" s="6026" t="s">
        <v>2978</v>
      </c>
      <c r="F248" s="6026" t="s">
        <v>2216</v>
      </c>
      <c r="G248" s="6026" t="s">
        <v>24</v>
      </c>
      <c r="H248" s="6026" t="s">
        <v>24</v>
      </c>
      <c r="I248" s="6026" t="s">
        <v>706</v>
      </c>
    </row>
    <row customHeight="1" ht="11.25">
      <c r="A249" s="6026" t="s">
        <v>2185</v>
      </c>
      <c r="B249" s="6026" t="s">
        <v>14</v>
      </c>
      <c r="C249" s="6026" t="s">
        <v>2979</v>
      </c>
      <c r="D249" s="6026" t="s">
        <v>2980</v>
      </c>
      <c r="E249" s="6026" t="s">
        <v>2981</v>
      </c>
      <c r="F249" s="6026" t="s">
        <v>2216</v>
      </c>
      <c r="G249" s="6026" t="s">
        <v>24</v>
      </c>
      <c r="H249" s="6026" t="s">
        <v>24</v>
      </c>
      <c r="I249" s="6026" t="s">
        <v>706</v>
      </c>
    </row>
    <row customHeight="1" ht="11.25">
      <c r="A250" s="6026" t="s">
        <v>2185</v>
      </c>
      <c r="B250" s="6026" t="s">
        <v>14</v>
      </c>
      <c r="C250" s="6026" t="s">
        <v>2982</v>
      </c>
      <c r="D250" s="6026" t="s">
        <v>2983</v>
      </c>
      <c r="E250" s="6026" t="s">
        <v>2984</v>
      </c>
      <c r="F250" s="6026" t="s">
        <v>2208</v>
      </c>
      <c r="G250" s="6026" t="s">
        <v>24</v>
      </c>
      <c r="H250" s="6026" t="s">
        <v>24</v>
      </c>
      <c r="I250" s="6026" t="s">
        <v>706</v>
      </c>
    </row>
    <row customHeight="1" ht="11.25">
      <c r="A251" s="6026" t="s">
        <v>2185</v>
      </c>
      <c r="B251" s="6026" t="s">
        <v>14</v>
      </c>
      <c r="C251" s="6026" t="s">
        <v>2985</v>
      </c>
      <c r="D251" s="6026" t="s">
        <v>2986</v>
      </c>
      <c r="E251" s="6026" t="s">
        <v>2987</v>
      </c>
      <c r="F251" s="6026" t="s">
        <v>2988</v>
      </c>
      <c r="G251" s="6026" t="s">
        <v>24</v>
      </c>
      <c r="H251" s="6026" t="s">
        <v>24</v>
      </c>
      <c r="I251" s="6026" t="s">
        <v>706</v>
      </c>
    </row>
    <row customHeight="1" ht="11.25">
      <c r="A252" s="6026" t="s">
        <v>2185</v>
      </c>
      <c r="B252" s="6026" t="s">
        <v>14</v>
      </c>
      <c r="C252" s="6026" t="s">
        <v>2989</v>
      </c>
      <c r="D252" s="6026" t="s">
        <v>2990</v>
      </c>
      <c r="E252" s="6026" t="s">
        <v>2991</v>
      </c>
      <c r="F252" s="6026" t="s">
        <v>2380</v>
      </c>
      <c r="G252" s="6026" t="s">
        <v>24</v>
      </c>
      <c r="H252" s="6026" t="s">
        <v>24</v>
      </c>
      <c r="I252" s="6026" t="s">
        <v>706</v>
      </c>
    </row>
    <row customHeight="1" ht="11.25">
      <c r="A253" s="6026" t="s">
        <v>2185</v>
      </c>
      <c r="B253" s="6026" t="s">
        <v>14</v>
      </c>
      <c r="C253" s="6026" t="s">
        <v>2992</v>
      </c>
      <c r="D253" s="6026" t="s">
        <v>2993</v>
      </c>
      <c r="E253" s="6026" t="s">
        <v>2994</v>
      </c>
      <c r="F253" s="6026" t="s">
        <v>2189</v>
      </c>
      <c r="G253" s="6026" t="s">
        <v>24</v>
      </c>
      <c r="H253" s="6026" t="s">
        <v>24</v>
      </c>
      <c r="I253" s="6026" t="s">
        <v>706</v>
      </c>
    </row>
    <row customHeight="1" ht="11.25">
      <c r="A254" s="6026" t="s">
        <v>2185</v>
      </c>
      <c r="B254" s="6026" t="s">
        <v>14</v>
      </c>
      <c r="C254" s="6026" t="s">
        <v>2995</v>
      </c>
      <c r="D254" s="6026" t="s">
        <v>2996</v>
      </c>
      <c r="E254" s="6026" t="s">
        <v>2997</v>
      </c>
      <c r="F254" s="6026" t="s">
        <v>2247</v>
      </c>
      <c r="G254" s="6026" t="s">
        <v>24</v>
      </c>
      <c r="H254" s="6026" t="s">
        <v>24</v>
      </c>
      <c r="I254" s="6026" t="s">
        <v>706</v>
      </c>
    </row>
    <row customHeight="1" ht="11.25">
      <c r="A255" s="6026" t="s">
        <v>2185</v>
      </c>
      <c r="B255" s="6026" t="s">
        <v>14</v>
      </c>
      <c r="C255" s="6026" t="s">
        <v>2998</v>
      </c>
      <c r="D255" s="6026" t="s">
        <v>2999</v>
      </c>
      <c r="E255" s="6026" t="s">
        <v>3000</v>
      </c>
      <c r="F255" s="6026" t="s">
        <v>2874</v>
      </c>
      <c r="G255" s="6026" t="s">
        <v>24</v>
      </c>
      <c r="H255" s="6026" t="s">
        <v>24</v>
      </c>
      <c r="I255" s="6026" t="s">
        <v>706</v>
      </c>
    </row>
    <row customHeight="1" ht="11.25">
      <c r="A256" s="6026" t="s">
        <v>2185</v>
      </c>
      <c r="B256" s="6026" t="s">
        <v>14</v>
      </c>
      <c r="C256" s="6026" t="s">
        <v>3001</v>
      </c>
      <c r="D256" s="6026" t="s">
        <v>3002</v>
      </c>
      <c r="E256" s="6026" t="s">
        <v>3003</v>
      </c>
      <c r="F256" s="6026" t="s">
        <v>2288</v>
      </c>
      <c r="G256" s="6026" t="s">
        <v>24</v>
      </c>
      <c r="H256" s="6026" t="s">
        <v>24</v>
      </c>
      <c r="I256" s="6026" t="s">
        <v>706</v>
      </c>
    </row>
    <row customHeight="1" ht="11.25">
      <c r="A257" s="6026" t="s">
        <v>2185</v>
      </c>
      <c r="B257" s="6026" t="s">
        <v>14</v>
      </c>
      <c r="C257" s="6026" t="s">
        <v>3004</v>
      </c>
      <c r="D257" s="6026" t="s">
        <v>3005</v>
      </c>
      <c r="E257" s="6026" t="s">
        <v>3006</v>
      </c>
      <c r="F257" s="6026" t="s">
        <v>2288</v>
      </c>
      <c r="G257" s="6026" t="s">
        <v>24</v>
      </c>
      <c r="H257" s="6026" t="s">
        <v>24</v>
      </c>
      <c r="I257" s="6026" t="s">
        <v>706</v>
      </c>
    </row>
    <row customHeight="1" ht="11.25">
      <c r="A258" s="6026" t="s">
        <v>2185</v>
      </c>
      <c r="B258" s="6026" t="s">
        <v>14</v>
      </c>
      <c r="C258" s="6026" t="s">
        <v>3007</v>
      </c>
      <c r="D258" s="6026" t="s">
        <v>3008</v>
      </c>
      <c r="E258" s="6026" t="s">
        <v>3009</v>
      </c>
      <c r="F258" s="6026" t="s">
        <v>3010</v>
      </c>
      <c r="G258" s="6026" t="s">
        <v>24</v>
      </c>
      <c r="H258" s="6026" t="s">
        <v>24</v>
      </c>
      <c r="I258" s="6026" t="s">
        <v>706</v>
      </c>
    </row>
    <row customHeight="1" ht="11.25">
      <c r="A259" s="6026" t="s">
        <v>2185</v>
      </c>
      <c r="B259" s="6026" t="s">
        <v>14</v>
      </c>
      <c r="C259" s="6026" t="s">
        <v>3011</v>
      </c>
      <c r="D259" s="6026" t="s">
        <v>3012</v>
      </c>
      <c r="E259" s="6026" t="s">
        <v>3013</v>
      </c>
      <c r="F259" s="6026" t="s">
        <v>2342</v>
      </c>
      <c r="G259" s="6026" t="s">
        <v>24</v>
      </c>
      <c r="H259" s="6026" t="s">
        <v>24</v>
      </c>
      <c r="I259" s="6026" t="s">
        <v>706</v>
      </c>
    </row>
    <row customHeight="1" ht="11.25">
      <c r="A260" s="6026" t="s">
        <v>2185</v>
      </c>
      <c r="B260" s="6026" t="s">
        <v>14</v>
      </c>
      <c r="C260" s="6026" t="s">
        <v>3014</v>
      </c>
      <c r="D260" s="6026" t="s">
        <v>3015</v>
      </c>
      <c r="E260" s="6026" t="s">
        <v>3016</v>
      </c>
      <c r="F260" s="6026" t="s">
        <v>2342</v>
      </c>
      <c r="G260" s="6026" t="s">
        <v>24</v>
      </c>
      <c r="H260" s="6026" t="s">
        <v>24</v>
      </c>
      <c r="I260" s="6026" t="s">
        <v>706</v>
      </c>
    </row>
    <row customHeight="1" ht="11.25">
      <c r="A261" s="6026" t="s">
        <v>2185</v>
      </c>
      <c r="B261" s="6026" t="s">
        <v>14</v>
      </c>
      <c r="C261" s="6026" t="s">
        <v>3017</v>
      </c>
      <c r="D261" s="6026" t="s">
        <v>3018</v>
      </c>
      <c r="E261" s="6026" t="s">
        <v>2283</v>
      </c>
      <c r="F261" s="6026" t="s">
        <v>3019</v>
      </c>
      <c r="G261" s="6026" t="s">
        <v>24</v>
      </c>
      <c r="H261" s="6026" t="s">
        <v>24</v>
      </c>
      <c r="I261" s="6026" t="s">
        <v>706</v>
      </c>
    </row>
    <row customHeight="1" ht="11.25">
      <c r="A262" s="6026" t="s">
        <v>2185</v>
      </c>
      <c r="B262" s="6026" t="s">
        <v>14</v>
      </c>
      <c r="C262" s="6026" t="s">
        <v>3020</v>
      </c>
      <c r="D262" s="6026" t="s">
        <v>3021</v>
      </c>
      <c r="E262" s="6026" t="s">
        <v>3022</v>
      </c>
      <c r="F262" s="6026" t="s">
        <v>3023</v>
      </c>
      <c r="G262" s="6026" t="s">
        <v>24</v>
      </c>
      <c r="H262" s="6026" t="s">
        <v>24</v>
      </c>
      <c r="I262" s="6026" t="s">
        <v>706</v>
      </c>
    </row>
    <row customHeight="1" ht="11.25">
      <c r="A263" s="6026" t="s">
        <v>2185</v>
      </c>
      <c r="B263" s="6026" t="s">
        <v>14</v>
      </c>
      <c r="C263" s="6026" t="s">
        <v>3024</v>
      </c>
      <c r="D263" s="6026" t="s">
        <v>3025</v>
      </c>
      <c r="E263" s="6026" t="s">
        <v>3026</v>
      </c>
      <c r="F263" s="6026" t="s">
        <v>3027</v>
      </c>
      <c r="G263" s="6026" t="s">
        <v>24</v>
      </c>
      <c r="H263" s="6026" t="s">
        <v>24</v>
      </c>
      <c r="I263" s="6026" t="s">
        <v>706</v>
      </c>
    </row>
    <row customHeight="1" ht="11.25">
      <c r="A264" s="6026" t="s">
        <v>2185</v>
      </c>
      <c r="B264" s="6026" t="s">
        <v>14</v>
      </c>
      <c r="C264" s="6026" t="s">
        <v>3028</v>
      </c>
      <c r="D264" s="6026" t="s">
        <v>3029</v>
      </c>
      <c r="E264" s="6026" t="s">
        <v>3030</v>
      </c>
      <c r="F264" s="6026" t="s">
        <v>2380</v>
      </c>
      <c r="G264" s="6026" t="s">
        <v>24</v>
      </c>
      <c r="H264" s="6026" t="s">
        <v>24</v>
      </c>
      <c r="I264" s="6026" t="s">
        <v>706</v>
      </c>
    </row>
    <row customHeight="1" ht="11.25">
      <c r="A265" s="6026" t="s">
        <v>2185</v>
      </c>
      <c r="B265" s="6026" t="s">
        <v>14</v>
      </c>
      <c r="C265" s="6026" t="s">
        <v>3031</v>
      </c>
      <c r="D265" s="6026" t="s">
        <v>3032</v>
      </c>
      <c r="E265" s="6026" t="s">
        <v>3033</v>
      </c>
      <c r="F265" s="6026" t="s">
        <v>3034</v>
      </c>
      <c r="G265" s="6026" t="s">
        <v>24</v>
      </c>
      <c r="H265" s="6026" t="s">
        <v>24</v>
      </c>
      <c r="I265" s="6026" t="s">
        <v>706</v>
      </c>
    </row>
    <row customHeight="1" ht="11.25">
      <c r="A266" s="6026" t="s">
        <v>2185</v>
      </c>
      <c r="B266" s="6026" t="s">
        <v>14</v>
      </c>
      <c r="C266" s="6026" t="s">
        <v>3035</v>
      </c>
      <c r="D266" s="6026" t="s">
        <v>3036</v>
      </c>
      <c r="E266" s="6026" t="s">
        <v>3037</v>
      </c>
      <c r="F266" s="6026" t="s">
        <v>2380</v>
      </c>
      <c r="G266" s="6026" t="s">
        <v>24</v>
      </c>
      <c r="H266" s="6026" t="s">
        <v>24</v>
      </c>
      <c r="I266" s="6026" t="s">
        <v>706</v>
      </c>
    </row>
    <row customHeight="1" ht="11.25">
      <c r="A267" s="6026" t="s">
        <v>2185</v>
      </c>
      <c r="B267" s="6026" t="s">
        <v>14</v>
      </c>
      <c r="C267" s="6026" t="s">
        <v>3038</v>
      </c>
      <c r="D267" s="6026" t="s">
        <v>3039</v>
      </c>
      <c r="E267" s="6026" t="s">
        <v>3040</v>
      </c>
      <c r="F267" s="6026" t="s">
        <v>2939</v>
      </c>
      <c r="G267" s="6026" t="s">
        <v>24</v>
      </c>
      <c r="H267" s="6026" t="s">
        <v>24</v>
      </c>
      <c r="I267" s="6026" t="s">
        <v>706</v>
      </c>
    </row>
    <row customHeight="1" ht="11.25">
      <c r="A268" s="6026" t="s">
        <v>2185</v>
      </c>
      <c r="B268" s="6026" t="s">
        <v>14</v>
      </c>
      <c r="C268" s="6026" t="s">
        <v>3041</v>
      </c>
      <c r="D268" s="6026" t="s">
        <v>3042</v>
      </c>
      <c r="E268" s="6026" t="s">
        <v>3043</v>
      </c>
      <c r="F268" s="6026" t="s">
        <v>2208</v>
      </c>
      <c r="G268" s="6026" t="s">
        <v>24</v>
      </c>
      <c r="H268" s="6026" t="s">
        <v>24</v>
      </c>
      <c r="I268" s="6026" t="s">
        <v>706</v>
      </c>
    </row>
    <row customHeight="1" ht="11.25">
      <c r="A269" s="6026" t="s">
        <v>2185</v>
      </c>
      <c r="B269" s="6026" t="s">
        <v>14</v>
      </c>
      <c r="C269" s="6026" t="s">
        <v>3044</v>
      </c>
      <c r="D269" s="6026" t="s">
        <v>3045</v>
      </c>
      <c r="E269" s="6026" t="s">
        <v>3046</v>
      </c>
      <c r="F269" s="6026" t="s">
        <v>3047</v>
      </c>
      <c r="G269" s="6026" t="s">
        <v>24</v>
      </c>
      <c r="H269" s="6026" t="s">
        <v>24</v>
      </c>
      <c r="I269" s="6026" t="s">
        <v>706</v>
      </c>
    </row>
    <row customHeight="1" ht="11.25">
      <c r="A270" s="6026" t="s">
        <v>2185</v>
      </c>
      <c r="B270" s="6026" t="s">
        <v>14</v>
      </c>
      <c r="C270" s="6026" t="s">
        <v>3048</v>
      </c>
      <c r="D270" s="6026" t="s">
        <v>3049</v>
      </c>
      <c r="E270" s="6026" t="s">
        <v>3050</v>
      </c>
      <c r="F270" s="6026" t="s">
        <v>3051</v>
      </c>
      <c r="G270" s="6026" t="s">
        <v>24</v>
      </c>
      <c r="H270" s="6026" t="s">
        <v>24</v>
      </c>
      <c r="I270" s="6026" t="s">
        <v>706</v>
      </c>
    </row>
    <row customHeight="1" ht="11.25">
      <c r="A271" s="6026" t="s">
        <v>2185</v>
      </c>
      <c r="B271" s="6026" t="s">
        <v>14</v>
      </c>
      <c r="C271" s="6026" t="s">
        <v>3052</v>
      </c>
      <c r="D271" s="6026" t="s">
        <v>3053</v>
      </c>
      <c r="E271" s="6026" t="s">
        <v>3026</v>
      </c>
      <c r="F271" s="6026" t="s">
        <v>3054</v>
      </c>
      <c r="G271" s="6026" t="s">
        <v>24</v>
      </c>
      <c r="H271" s="6026" t="s">
        <v>24</v>
      </c>
      <c r="I271" s="6026" t="s">
        <v>706</v>
      </c>
    </row>
    <row customHeight="1" ht="11.25">
      <c r="A272" s="6026" t="s">
        <v>2185</v>
      </c>
      <c r="B272" s="6026" t="s">
        <v>14</v>
      </c>
      <c r="C272" s="6026" t="s">
        <v>3055</v>
      </c>
      <c r="D272" s="6026" t="s">
        <v>3056</v>
      </c>
      <c r="E272" s="6026" t="s">
        <v>3050</v>
      </c>
      <c r="F272" s="6026" t="s">
        <v>3057</v>
      </c>
      <c r="G272" s="6026" t="s">
        <v>24</v>
      </c>
      <c r="H272" s="6026" t="s">
        <v>24</v>
      </c>
      <c r="I272" s="6026" t="s">
        <v>706</v>
      </c>
    </row>
    <row customHeight="1" ht="11.25">
      <c r="A273" s="6026" t="s">
        <v>2185</v>
      </c>
      <c r="B273" s="6026" t="s">
        <v>14</v>
      </c>
      <c r="C273" s="6026" t="s">
        <v>2186</v>
      </c>
      <c r="D273" s="6026" t="s">
        <v>2187</v>
      </c>
      <c r="E273" s="6026" t="s">
        <v>2188</v>
      </c>
      <c r="F273" s="6026" t="s">
        <v>2189</v>
      </c>
      <c r="G273" s="6026" t="s">
        <v>24</v>
      </c>
      <c r="H273" s="6026" t="s">
        <v>24</v>
      </c>
      <c r="I273" s="6026" t="s">
        <v>790</v>
      </c>
    </row>
    <row customHeight="1" ht="11.25">
      <c r="A274" s="6026" t="s">
        <v>2185</v>
      </c>
      <c r="B274" s="6026" t="s">
        <v>14</v>
      </c>
      <c r="C274" s="6026" t="s">
        <v>2190</v>
      </c>
      <c r="D274" s="6026" t="s">
        <v>2191</v>
      </c>
      <c r="E274" s="6026" t="s">
        <v>2192</v>
      </c>
      <c r="F274" s="6026" t="s">
        <v>2193</v>
      </c>
      <c r="G274" s="6026" t="s">
        <v>24</v>
      </c>
      <c r="H274" s="6026" t="s">
        <v>24</v>
      </c>
      <c r="I274" s="6026" t="s">
        <v>790</v>
      </c>
    </row>
    <row customHeight="1" ht="11.25">
      <c r="A275" s="6026" t="s">
        <v>2185</v>
      </c>
      <c r="B275" s="6026" t="s">
        <v>14</v>
      </c>
      <c r="C275" s="6026" t="s">
        <v>2194</v>
      </c>
      <c r="D275" s="6026" t="s">
        <v>2195</v>
      </c>
      <c r="E275" s="6026" t="s">
        <v>2196</v>
      </c>
      <c r="F275" s="6026" t="s">
        <v>2197</v>
      </c>
      <c r="G275" s="6026" t="s">
        <v>24</v>
      </c>
      <c r="H275" s="6026" t="s">
        <v>24</v>
      </c>
      <c r="I275" s="6026" t="s">
        <v>790</v>
      </c>
    </row>
    <row customHeight="1" ht="11.25">
      <c r="A276" s="6026" t="s">
        <v>2185</v>
      </c>
      <c r="B276" s="6026" t="s">
        <v>14</v>
      </c>
      <c r="C276" s="6026" t="s">
        <v>2198</v>
      </c>
      <c r="D276" s="6026" t="s">
        <v>2195</v>
      </c>
      <c r="E276" s="6026" t="s">
        <v>2196</v>
      </c>
      <c r="F276" s="6026" t="s">
        <v>2199</v>
      </c>
      <c r="G276" s="6026" t="s">
        <v>2200</v>
      </c>
      <c r="H276" s="6026" t="s">
        <v>24</v>
      </c>
      <c r="I276" s="6026" t="s">
        <v>790</v>
      </c>
    </row>
    <row customHeight="1" ht="11.25">
      <c r="A277" s="6026" t="s">
        <v>2185</v>
      </c>
      <c r="B277" s="6026" t="s">
        <v>14</v>
      </c>
      <c r="C277" s="6026" t="s">
        <v>2209</v>
      </c>
      <c r="D277" s="6026" t="s">
        <v>2210</v>
      </c>
      <c r="E277" s="6026" t="s">
        <v>2211</v>
      </c>
      <c r="F277" s="6026" t="s">
        <v>2212</v>
      </c>
      <c r="G277" s="6026" t="s">
        <v>24</v>
      </c>
      <c r="H277" s="6026" t="s">
        <v>24</v>
      </c>
      <c r="I277" s="6026" t="s">
        <v>790</v>
      </c>
    </row>
    <row customHeight="1" ht="11.25">
      <c r="A278" s="6026" t="s">
        <v>2185</v>
      </c>
      <c r="B278" s="6026" t="s">
        <v>14</v>
      </c>
      <c r="C278" s="6026" t="s">
        <v>2223</v>
      </c>
      <c r="D278" s="6026" t="s">
        <v>2224</v>
      </c>
      <c r="E278" s="6026" t="s">
        <v>2225</v>
      </c>
      <c r="F278" s="6026" t="s">
        <v>2204</v>
      </c>
      <c r="G278" s="6026" t="s">
        <v>24</v>
      </c>
      <c r="H278" s="6026" t="s">
        <v>24</v>
      </c>
      <c r="I278" s="6026" t="s">
        <v>790</v>
      </c>
    </row>
    <row customHeight="1" ht="11.25">
      <c r="A279" s="6026" t="s">
        <v>2185</v>
      </c>
      <c r="B279" s="6026" t="s">
        <v>14</v>
      </c>
      <c r="C279" s="6026" t="s">
        <v>2226</v>
      </c>
      <c r="D279" s="6026" t="s">
        <v>2227</v>
      </c>
      <c r="E279" s="6026" t="s">
        <v>2228</v>
      </c>
      <c r="F279" s="6026" t="s">
        <v>2208</v>
      </c>
      <c r="G279" s="6026" t="s">
        <v>24</v>
      </c>
      <c r="H279" s="6026" t="s">
        <v>24</v>
      </c>
      <c r="I279" s="6026" t="s">
        <v>790</v>
      </c>
    </row>
    <row customHeight="1" ht="11.25">
      <c r="A280" s="6026" t="s">
        <v>2185</v>
      </c>
      <c r="B280" s="6026" t="s">
        <v>14</v>
      </c>
      <c r="C280" s="6026" t="s">
        <v>2239</v>
      </c>
      <c r="D280" s="6026" t="s">
        <v>45</v>
      </c>
      <c r="E280" s="6026" t="s">
        <v>48</v>
      </c>
      <c r="F280" s="6026" t="s">
        <v>50</v>
      </c>
      <c r="G280" s="6026" t="s">
        <v>24</v>
      </c>
      <c r="H280" s="6026" t="s">
        <v>24</v>
      </c>
      <c r="I280" s="6026" t="s">
        <v>790</v>
      </c>
    </row>
    <row customHeight="1" ht="11.25">
      <c r="A281" s="6026" t="s">
        <v>2185</v>
      </c>
      <c r="B281" s="6026" t="s">
        <v>14</v>
      </c>
      <c r="C281" s="6026" t="s">
        <v>2240</v>
      </c>
      <c r="D281" s="6026" t="s">
        <v>2241</v>
      </c>
      <c r="E281" s="6026" t="s">
        <v>2242</v>
      </c>
      <c r="F281" s="6026" t="s">
        <v>2204</v>
      </c>
      <c r="G281" s="6026" t="s">
        <v>2243</v>
      </c>
      <c r="H281" s="6026" t="s">
        <v>24</v>
      </c>
      <c r="I281" s="6026" t="s">
        <v>790</v>
      </c>
    </row>
    <row customHeight="1" ht="11.25">
      <c r="A282" s="6026" t="s">
        <v>2185</v>
      </c>
      <c r="B282" s="6026" t="s">
        <v>14</v>
      </c>
      <c r="C282" s="6026" t="s">
        <v>2248</v>
      </c>
      <c r="D282" s="6026" t="s">
        <v>2249</v>
      </c>
      <c r="E282" s="6026" t="s">
        <v>2250</v>
      </c>
      <c r="F282" s="6026" t="s">
        <v>2251</v>
      </c>
      <c r="G282" s="6026" t="s">
        <v>24</v>
      </c>
      <c r="H282" s="6026" t="s">
        <v>24</v>
      </c>
      <c r="I282" s="6026" t="s">
        <v>790</v>
      </c>
    </row>
    <row customHeight="1" ht="11.25">
      <c r="A283" s="6026" t="s">
        <v>2185</v>
      </c>
      <c r="B283" s="6026" t="s">
        <v>14</v>
      </c>
      <c r="C283" s="6026" t="s">
        <v>2252</v>
      </c>
      <c r="D283" s="6026" t="s">
        <v>2253</v>
      </c>
      <c r="E283" s="6026" t="s">
        <v>2254</v>
      </c>
      <c r="F283" s="6026" t="s">
        <v>2247</v>
      </c>
      <c r="G283" s="6026" t="s">
        <v>24</v>
      </c>
      <c r="H283" s="6026" t="s">
        <v>24</v>
      </c>
      <c r="I283" s="6026" t="s">
        <v>790</v>
      </c>
    </row>
    <row customHeight="1" ht="11.25">
      <c r="A284" s="6026" t="s">
        <v>2185</v>
      </c>
      <c r="B284" s="6026" t="s">
        <v>14</v>
      </c>
      <c r="C284" s="6026" t="s">
        <v>2255</v>
      </c>
      <c r="D284" s="6026" t="s">
        <v>2256</v>
      </c>
      <c r="E284" s="6026" t="s">
        <v>2257</v>
      </c>
      <c r="F284" s="6026" t="s">
        <v>2216</v>
      </c>
      <c r="G284" s="6026" t="s">
        <v>24</v>
      </c>
      <c r="H284" s="6026" t="s">
        <v>24</v>
      </c>
      <c r="I284" s="6026" t="s">
        <v>790</v>
      </c>
    </row>
    <row customHeight="1" ht="11.25">
      <c r="A285" s="6026" t="s">
        <v>2185</v>
      </c>
      <c r="B285" s="6026" t="s">
        <v>14</v>
      </c>
      <c r="C285" s="6026" t="s">
        <v>2258</v>
      </c>
      <c r="D285" s="6026" t="s">
        <v>2259</v>
      </c>
      <c r="E285" s="6026" t="s">
        <v>2260</v>
      </c>
      <c r="F285" s="6026" t="s">
        <v>2216</v>
      </c>
      <c r="G285" s="6026" t="s">
        <v>24</v>
      </c>
      <c r="H285" s="6026" t="s">
        <v>24</v>
      </c>
      <c r="I285" s="6026" t="s">
        <v>790</v>
      </c>
    </row>
    <row customHeight="1" ht="11.25">
      <c r="A286" s="6026" t="s">
        <v>2185</v>
      </c>
      <c r="B286" s="6026" t="s">
        <v>14</v>
      </c>
      <c r="C286" s="6026" t="s">
        <v>2261</v>
      </c>
      <c r="D286" s="6026" t="s">
        <v>2262</v>
      </c>
      <c r="E286" s="6026" t="s">
        <v>2263</v>
      </c>
      <c r="F286" s="6026" t="s">
        <v>2204</v>
      </c>
      <c r="G286" s="6026" t="s">
        <v>24</v>
      </c>
      <c r="H286" s="6026" t="s">
        <v>24</v>
      </c>
      <c r="I286" s="6026" t="s">
        <v>790</v>
      </c>
    </row>
    <row customHeight="1" ht="11.25">
      <c r="A287" s="6026" t="s">
        <v>2185</v>
      </c>
      <c r="B287" s="6026" t="s">
        <v>14</v>
      </c>
      <c r="C287" s="6026" t="s">
        <v>2278</v>
      </c>
      <c r="D287" s="6026" t="s">
        <v>2279</v>
      </c>
      <c r="E287" s="6026" t="s">
        <v>2280</v>
      </c>
      <c r="F287" s="6026" t="s">
        <v>2216</v>
      </c>
      <c r="G287" s="6026" t="s">
        <v>24</v>
      </c>
      <c r="H287" s="6026" t="s">
        <v>24</v>
      </c>
      <c r="I287" s="6026" t="s">
        <v>790</v>
      </c>
    </row>
    <row customHeight="1" ht="11.25">
      <c r="A288" s="6026" t="s">
        <v>2185</v>
      </c>
      <c r="B288" s="6026" t="s">
        <v>14</v>
      </c>
      <c r="C288" s="6026" t="s">
        <v>2293</v>
      </c>
      <c r="D288" s="6026" t="s">
        <v>2294</v>
      </c>
      <c r="E288" s="6026" t="s">
        <v>2295</v>
      </c>
      <c r="F288" s="6026" t="s">
        <v>2189</v>
      </c>
      <c r="G288" s="6026" t="s">
        <v>24</v>
      </c>
      <c r="H288" s="6026" t="s">
        <v>24</v>
      </c>
      <c r="I288" s="6026" t="s">
        <v>790</v>
      </c>
    </row>
    <row customHeight="1" ht="11.25">
      <c r="A289" s="6026" t="s">
        <v>2185</v>
      </c>
      <c r="B289" s="6026" t="s">
        <v>14</v>
      </c>
      <c r="C289" s="6026" t="s">
        <v>2296</v>
      </c>
      <c r="D289" s="6026" t="s">
        <v>2297</v>
      </c>
      <c r="E289" s="6026" t="s">
        <v>2298</v>
      </c>
      <c r="F289" s="6026" t="s">
        <v>2208</v>
      </c>
      <c r="G289" s="6026" t="s">
        <v>24</v>
      </c>
      <c r="H289" s="6026" t="s">
        <v>24</v>
      </c>
      <c r="I289" s="6026" t="s">
        <v>790</v>
      </c>
    </row>
    <row customHeight="1" ht="11.25">
      <c r="A290" s="6026" t="s">
        <v>2185</v>
      </c>
      <c r="B290" s="6026" t="s">
        <v>14</v>
      </c>
      <c r="C290" s="6026" t="s">
        <v>2299</v>
      </c>
      <c r="D290" s="6026" t="s">
        <v>2300</v>
      </c>
      <c r="E290" s="6026" t="s">
        <v>2301</v>
      </c>
      <c r="F290" s="6026" t="s">
        <v>2204</v>
      </c>
      <c r="G290" s="6026" t="s">
        <v>24</v>
      </c>
      <c r="H290" s="6026" t="s">
        <v>24</v>
      </c>
      <c r="I290" s="6026" t="s">
        <v>790</v>
      </c>
    </row>
    <row customHeight="1" ht="11.25">
      <c r="A291" s="6026" t="s">
        <v>2185</v>
      </c>
      <c r="B291" s="6026" t="s">
        <v>14</v>
      </c>
      <c r="C291" s="6026" t="s">
        <v>2302</v>
      </c>
      <c r="D291" s="6026" t="s">
        <v>2303</v>
      </c>
      <c r="E291" s="6026" t="s">
        <v>2304</v>
      </c>
      <c r="F291" s="6026" t="s">
        <v>2305</v>
      </c>
      <c r="G291" s="6026" t="s">
        <v>24</v>
      </c>
      <c r="H291" s="6026" t="s">
        <v>24</v>
      </c>
      <c r="I291" s="6026" t="s">
        <v>790</v>
      </c>
    </row>
    <row customHeight="1" ht="11.25">
      <c r="A292" s="6026" t="s">
        <v>2185</v>
      </c>
      <c r="B292" s="6026" t="s">
        <v>14</v>
      </c>
      <c r="C292" s="6026" t="s">
        <v>2309</v>
      </c>
      <c r="D292" s="6026" t="s">
        <v>2310</v>
      </c>
      <c r="E292" s="6026" t="s">
        <v>2283</v>
      </c>
      <c r="F292" s="6026" t="s">
        <v>2311</v>
      </c>
      <c r="G292" s="6026" t="s">
        <v>24</v>
      </c>
      <c r="H292" s="6026" t="s">
        <v>24</v>
      </c>
      <c r="I292" s="6026" t="s">
        <v>790</v>
      </c>
    </row>
    <row customHeight="1" ht="11.25">
      <c r="A293" s="6026" t="s">
        <v>2185</v>
      </c>
      <c r="B293" s="6026" t="s">
        <v>14</v>
      </c>
      <c r="C293" s="6026" t="s">
        <v>2315</v>
      </c>
      <c r="D293" s="6026" t="s">
        <v>2316</v>
      </c>
      <c r="E293" s="6026" t="s">
        <v>2317</v>
      </c>
      <c r="F293" s="6026" t="s">
        <v>2292</v>
      </c>
      <c r="G293" s="6026" t="s">
        <v>24</v>
      </c>
      <c r="H293" s="6026" t="s">
        <v>24</v>
      </c>
      <c r="I293" s="6026" t="s">
        <v>790</v>
      </c>
    </row>
    <row customHeight="1" ht="11.25">
      <c r="A294" s="6026" t="s">
        <v>2185</v>
      </c>
      <c r="B294" s="6026" t="s">
        <v>14</v>
      </c>
      <c r="C294" s="6026" t="s">
        <v>24</v>
      </c>
      <c r="D294" s="6026" t="s">
        <v>2350</v>
      </c>
      <c r="E294" s="6026" t="s">
        <v>2351</v>
      </c>
      <c r="F294" s="6026" t="s">
        <v>2204</v>
      </c>
      <c r="G294" s="6026" t="s">
        <v>24</v>
      </c>
      <c r="H294" s="6026" t="s">
        <v>24</v>
      </c>
      <c r="I294" s="6026" t="s">
        <v>790</v>
      </c>
    </row>
    <row customHeight="1" ht="11.25">
      <c r="A295" s="6026" t="s">
        <v>2185</v>
      </c>
      <c r="B295" s="6026" t="s">
        <v>14</v>
      </c>
      <c r="C295" s="6026" t="s">
        <v>2359</v>
      </c>
      <c r="D295" s="6026" t="s">
        <v>2360</v>
      </c>
      <c r="E295" s="6026" t="s">
        <v>2361</v>
      </c>
      <c r="F295" s="6026" t="s">
        <v>2216</v>
      </c>
      <c r="G295" s="6026" t="s">
        <v>24</v>
      </c>
      <c r="H295" s="6026" t="s">
        <v>24</v>
      </c>
      <c r="I295" s="6026" t="s">
        <v>790</v>
      </c>
    </row>
    <row customHeight="1" ht="11.25">
      <c r="A296" s="6026" t="s">
        <v>2185</v>
      </c>
      <c r="B296" s="6026" t="s">
        <v>14</v>
      </c>
      <c r="C296" s="6026" t="s">
        <v>2366</v>
      </c>
      <c r="D296" s="6026" t="s">
        <v>2367</v>
      </c>
      <c r="E296" s="6026" t="s">
        <v>2368</v>
      </c>
      <c r="F296" s="6026" t="s">
        <v>2369</v>
      </c>
      <c r="G296" s="6026" t="s">
        <v>24</v>
      </c>
      <c r="H296" s="6026" t="s">
        <v>2370</v>
      </c>
      <c r="I296" s="6026" t="s">
        <v>790</v>
      </c>
    </row>
    <row customHeight="1" ht="11.25">
      <c r="A297" s="6026" t="s">
        <v>2185</v>
      </c>
      <c r="B297" s="6026" t="s">
        <v>14</v>
      </c>
      <c r="C297" s="6026" t="s">
        <v>2377</v>
      </c>
      <c r="D297" s="6026" t="s">
        <v>2378</v>
      </c>
      <c r="E297" s="6026" t="s">
        <v>2379</v>
      </c>
      <c r="F297" s="6026" t="s">
        <v>2380</v>
      </c>
      <c r="G297" s="6026" t="s">
        <v>24</v>
      </c>
      <c r="H297" s="6026" t="s">
        <v>24</v>
      </c>
      <c r="I297" s="6026" t="s">
        <v>790</v>
      </c>
    </row>
    <row customHeight="1" ht="11.25">
      <c r="A298" s="6026" t="s">
        <v>2185</v>
      </c>
      <c r="B298" s="6026" t="s">
        <v>14</v>
      </c>
      <c r="C298" s="6026" t="s">
        <v>2384</v>
      </c>
      <c r="D298" s="6026" t="s">
        <v>2385</v>
      </c>
      <c r="E298" s="6026" t="s">
        <v>2386</v>
      </c>
      <c r="F298" s="6026" t="s">
        <v>2292</v>
      </c>
      <c r="G298" s="6026" t="s">
        <v>24</v>
      </c>
      <c r="H298" s="6026" t="s">
        <v>24</v>
      </c>
      <c r="I298" s="6026" t="s">
        <v>790</v>
      </c>
    </row>
    <row customHeight="1" ht="11.25">
      <c r="A299" s="6026" t="s">
        <v>2185</v>
      </c>
      <c r="B299" s="6026" t="s">
        <v>14</v>
      </c>
      <c r="C299" s="6026" t="s">
        <v>2387</v>
      </c>
      <c r="D299" s="6026" t="s">
        <v>2388</v>
      </c>
      <c r="E299" s="6026" t="s">
        <v>2389</v>
      </c>
      <c r="F299" s="6026" t="s">
        <v>2247</v>
      </c>
      <c r="G299" s="6026" t="s">
        <v>24</v>
      </c>
      <c r="H299" s="6026" t="s">
        <v>24</v>
      </c>
      <c r="I299" s="6026" t="s">
        <v>790</v>
      </c>
    </row>
    <row customHeight="1" ht="11.25">
      <c r="A300" s="6026" t="s">
        <v>2185</v>
      </c>
      <c r="B300" s="6026" t="s">
        <v>14</v>
      </c>
      <c r="C300" s="6026" t="s">
        <v>2390</v>
      </c>
      <c r="D300" s="6026" t="s">
        <v>2391</v>
      </c>
      <c r="E300" s="6026" t="s">
        <v>2392</v>
      </c>
      <c r="F300" s="6026" t="s">
        <v>2216</v>
      </c>
      <c r="G300" s="6026" t="s">
        <v>24</v>
      </c>
      <c r="H300" s="6026" t="s">
        <v>24</v>
      </c>
      <c r="I300" s="6026" t="s">
        <v>790</v>
      </c>
    </row>
    <row customHeight="1" ht="11.25">
      <c r="A301" s="6026" t="s">
        <v>2185</v>
      </c>
      <c r="B301" s="6026" t="s">
        <v>14</v>
      </c>
      <c r="C301" s="6026" t="s">
        <v>2396</v>
      </c>
      <c r="D301" s="6026" t="s">
        <v>2397</v>
      </c>
      <c r="E301" s="6026" t="s">
        <v>2398</v>
      </c>
      <c r="F301" s="6026" t="s">
        <v>2288</v>
      </c>
      <c r="G301" s="6026" t="s">
        <v>24</v>
      </c>
      <c r="H301" s="6026" t="s">
        <v>24</v>
      </c>
      <c r="I301" s="6026" t="s">
        <v>790</v>
      </c>
    </row>
    <row customHeight="1" ht="11.25">
      <c r="A302" s="6026" t="s">
        <v>2185</v>
      </c>
      <c r="B302" s="6026" t="s">
        <v>14</v>
      </c>
      <c r="C302" s="6026" t="s">
        <v>2399</v>
      </c>
      <c r="D302" s="6026" t="s">
        <v>2400</v>
      </c>
      <c r="E302" s="6026" t="s">
        <v>2401</v>
      </c>
      <c r="F302" s="6026" t="s">
        <v>2292</v>
      </c>
      <c r="G302" s="6026" t="s">
        <v>24</v>
      </c>
      <c r="H302" s="6026" t="s">
        <v>24</v>
      </c>
      <c r="I302" s="6026" t="s">
        <v>790</v>
      </c>
    </row>
    <row customHeight="1" ht="11.25">
      <c r="A303" s="6026" t="s">
        <v>2185</v>
      </c>
      <c r="B303" s="6026" t="s">
        <v>14</v>
      </c>
      <c r="C303" s="6026" t="s">
        <v>2402</v>
      </c>
      <c r="D303" s="6026" t="s">
        <v>2403</v>
      </c>
      <c r="E303" s="6026" t="s">
        <v>2404</v>
      </c>
      <c r="F303" s="6026" t="s">
        <v>2292</v>
      </c>
      <c r="G303" s="6026" t="s">
        <v>24</v>
      </c>
      <c r="H303" s="6026" t="s">
        <v>24</v>
      </c>
      <c r="I303" s="6026" t="s">
        <v>790</v>
      </c>
    </row>
    <row customHeight="1" ht="11.25">
      <c r="A304" s="6026" t="s">
        <v>2185</v>
      </c>
      <c r="B304" s="6026" t="s">
        <v>14</v>
      </c>
      <c r="C304" s="6026" t="s">
        <v>2405</v>
      </c>
      <c r="D304" s="6026" t="s">
        <v>2406</v>
      </c>
      <c r="E304" s="6026" t="s">
        <v>2407</v>
      </c>
      <c r="F304" s="6026" t="s">
        <v>2342</v>
      </c>
      <c r="G304" s="6026" t="s">
        <v>24</v>
      </c>
      <c r="H304" s="6026" t="s">
        <v>24</v>
      </c>
      <c r="I304" s="6026" t="s">
        <v>790</v>
      </c>
    </row>
    <row customHeight="1" ht="11.25">
      <c r="A305" s="6026" t="s">
        <v>2185</v>
      </c>
      <c r="B305" s="6026" t="s">
        <v>14</v>
      </c>
      <c r="C305" s="6026" t="s">
        <v>2408</v>
      </c>
      <c r="D305" s="6026" t="s">
        <v>2409</v>
      </c>
      <c r="E305" s="6026" t="s">
        <v>2410</v>
      </c>
      <c r="F305" s="6026" t="s">
        <v>2216</v>
      </c>
      <c r="G305" s="6026" t="s">
        <v>24</v>
      </c>
      <c r="H305" s="6026" t="s">
        <v>24</v>
      </c>
      <c r="I305" s="6026" t="s">
        <v>790</v>
      </c>
    </row>
    <row customHeight="1" ht="11.25">
      <c r="A306" s="6026" t="s">
        <v>2185</v>
      </c>
      <c r="B306" s="6026" t="s">
        <v>14</v>
      </c>
      <c r="C306" s="6026" t="s">
        <v>2414</v>
      </c>
      <c r="D306" s="6026" t="s">
        <v>2415</v>
      </c>
      <c r="E306" s="6026" t="s">
        <v>2416</v>
      </c>
      <c r="F306" s="6026" t="s">
        <v>2288</v>
      </c>
      <c r="G306" s="6026" t="s">
        <v>24</v>
      </c>
      <c r="H306" s="6026" t="s">
        <v>24</v>
      </c>
      <c r="I306" s="6026" t="s">
        <v>790</v>
      </c>
    </row>
    <row customHeight="1" ht="11.25">
      <c r="A307" s="6026" t="s">
        <v>2185</v>
      </c>
      <c r="B307" s="6026" t="s">
        <v>14</v>
      </c>
      <c r="C307" s="6026" t="s">
        <v>2420</v>
      </c>
      <c r="D307" s="6026" t="s">
        <v>2421</v>
      </c>
      <c r="E307" s="6026" t="s">
        <v>2422</v>
      </c>
      <c r="F307" s="6026" t="s">
        <v>2208</v>
      </c>
      <c r="G307" s="6026" t="s">
        <v>24</v>
      </c>
      <c r="H307" s="6026" t="s">
        <v>24</v>
      </c>
      <c r="I307" s="6026" t="s">
        <v>790</v>
      </c>
    </row>
    <row customHeight="1" ht="11.25">
      <c r="A308" s="6026" t="s">
        <v>2185</v>
      </c>
      <c r="B308" s="6026" t="s">
        <v>14</v>
      </c>
      <c r="C308" s="6026" t="s">
        <v>2423</v>
      </c>
      <c r="D308" s="6026" t="s">
        <v>2424</v>
      </c>
      <c r="E308" s="6026" t="s">
        <v>2422</v>
      </c>
      <c r="F308" s="6026" t="s">
        <v>2425</v>
      </c>
      <c r="G308" s="6026" t="s">
        <v>24</v>
      </c>
      <c r="H308" s="6026" t="s">
        <v>24</v>
      </c>
      <c r="I308" s="6026" t="s">
        <v>790</v>
      </c>
    </row>
    <row customHeight="1" ht="11.25">
      <c r="A309" s="6026" t="s">
        <v>2185</v>
      </c>
      <c r="B309" s="6026" t="s">
        <v>14</v>
      </c>
      <c r="C309" s="6026" t="s">
        <v>2426</v>
      </c>
      <c r="D309" s="6026" t="s">
        <v>2427</v>
      </c>
      <c r="E309" s="6026" t="s">
        <v>2428</v>
      </c>
      <c r="F309" s="6026" t="s">
        <v>2380</v>
      </c>
      <c r="G309" s="6026" t="s">
        <v>2429</v>
      </c>
      <c r="H309" s="6026" t="s">
        <v>24</v>
      </c>
      <c r="I309" s="6026" t="s">
        <v>790</v>
      </c>
    </row>
    <row customHeight="1" ht="11.25">
      <c r="A310" s="6026" t="s">
        <v>2185</v>
      </c>
      <c r="B310" s="6026" t="s">
        <v>14</v>
      </c>
      <c r="C310" s="6026" t="s">
        <v>2475</v>
      </c>
      <c r="D310" s="6026" t="s">
        <v>2476</v>
      </c>
      <c r="E310" s="6026" t="s">
        <v>2477</v>
      </c>
      <c r="F310" s="6026" t="s">
        <v>2208</v>
      </c>
      <c r="G310" s="6026" t="s">
        <v>24</v>
      </c>
      <c r="H310" s="6026" t="s">
        <v>24</v>
      </c>
      <c r="I310" s="6026" t="s">
        <v>790</v>
      </c>
    </row>
    <row customHeight="1" ht="11.25">
      <c r="A311" s="6026" t="s">
        <v>2185</v>
      </c>
      <c r="B311" s="6026" t="s">
        <v>14</v>
      </c>
      <c r="C311" s="6026" t="s">
        <v>2481</v>
      </c>
      <c r="D311" s="6026" t="s">
        <v>2482</v>
      </c>
      <c r="E311" s="6026" t="s">
        <v>2483</v>
      </c>
      <c r="F311" s="6026" t="s">
        <v>2208</v>
      </c>
      <c r="G311" s="6026" t="s">
        <v>24</v>
      </c>
      <c r="H311" s="6026" t="s">
        <v>24</v>
      </c>
      <c r="I311" s="6026" t="s">
        <v>790</v>
      </c>
    </row>
    <row customHeight="1" ht="11.25">
      <c r="A312" s="6026" t="s">
        <v>2185</v>
      </c>
      <c r="B312" s="6026" t="s">
        <v>14</v>
      </c>
      <c r="C312" s="6026" t="s">
        <v>2493</v>
      </c>
      <c r="D312" s="6026" t="s">
        <v>2494</v>
      </c>
      <c r="E312" s="6026" t="s">
        <v>2495</v>
      </c>
      <c r="F312" s="6026" t="s">
        <v>2216</v>
      </c>
      <c r="G312" s="6026" t="s">
        <v>24</v>
      </c>
      <c r="H312" s="6026" t="s">
        <v>24</v>
      </c>
      <c r="I312" s="6026" t="s">
        <v>790</v>
      </c>
    </row>
    <row customHeight="1" ht="11.25">
      <c r="A313" s="6026" t="s">
        <v>2185</v>
      </c>
      <c r="B313" s="6026" t="s">
        <v>14</v>
      </c>
      <c r="C313" s="6026" t="s">
        <v>2512</v>
      </c>
      <c r="D313" s="6026" t="s">
        <v>2513</v>
      </c>
      <c r="E313" s="6026" t="s">
        <v>2514</v>
      </c>
      <c r="F313" s="6026" t="s">
        <v>2515</v>
      </c>
      <c r="G313" s="6026" t="s">
        <v>24</v>
      </c>
      <c r="H313" s="6026" t="s">
        <v>24</v>
      </c>
      <c r="I313" s="6026" t="s">
        <v>790</v>
      </c>
    </row>
    <row customHeight="1" ht="11.25">
      <c r="A314" s="6026" t="s">
        <v>2185</v>
      </c>
      <c r="B314" s="6026" t="s">
        <v>14</v>
      </c>
      <c r="C314" s="6026" t="s">
        <v>2516</v>
      </c>
      <c r="D314" s="6026" t="s">
        <v>2517</v>
      </c>
      <c r="E314" s="6026" t="s">
        <v>2518</v>
      </c>
      <c r="F314" s="6026" t="s">
        <v>2519</v>
      </c>
      <c r="G314" s="6026" t="s">
        <v>2520</v>
      </c>
      <c r="H314" s="6026" t="s">
        <v>24</v>
      </c>
      <c r="I314" s="6026" t="s">
        <v>790</v>
      </c>
    </row>
    <row customHeight="1" ht="11.25">
      <c r="A315" s="6026" t="s">
        <v>2185</v>
      </c>
      <c r="B315" s="6026" t="s">
        <v>14</v>
      </c>
      <c r="C315" s="6026" t="s">
        <v>2531</v>
      </c>
      <c r="D315" s="6026" t="s">
        <v>2532</v>
      </c>
      <c r="E315" s="6026" t="s">
        <v>2533</v>
      </c>
      <c r="F315" s="6026" t="s">
        <v>2247</v>
      </c>
      <c r="G315" s="6026" t="s">
        <v>24</v>
      </c>
      <c r="H315" s="6026" t="s">
        <v>24</v>
      </c>
      <c r="I315" s="6026" t="s">
        <v>790</v>
      </c>
    </row>
    <row customHeight="1" ht="11.25">
      <c r="A316" s="6026" t="s">
        <v>2185</v>
      </c>
      <c r="B316" s="6026" t="s">
        <v>14</v>
      </c>
      <c r="C316" s="6026" t="s">
        <v>2534</v>
      </c>
      <c r="D316" s="6026" t="s">
        <v>2535</v>
      </c>
      <c r="E316" s="6026" t="s">
        <v>2536</v>
      </c>
      <c r="F316" s="6026" t="s">
        <v>2292</v>
      </c>
      <c r="G316" s="6026" t="s">
        <v>24</v>
      </c>
      <c r="H316" s="6026" t="s">
        <v>24</v>
      </c>
      <c r="I316" s="6026" t="s">
        <v>790</v>
      </c>
    </row>
    <row customHeight="1" ht="11.25">
      <c r="A317" s="6026" t="s">
        <v>2185</v>
      </c>
      <c r="B317" s="6026" t="s">
        <v>14</v>
      </c>
      <c r="C317" s="6026" t="s">
        <v>2541</v>
      </c>
      <c r="D317" s="6026" t="s">
        <v>2542</v>
      </c>
      <c r="E317" s="6026" t="s">
        <v>2543</v>
      </c>
      <c r="F317" s="6026" t="s">
        <v>2544</v>
      </c>
      <c r="G317" s="6026" t="s">
        <v>24</v>
      </c>
      <c r="H317" s="6026" t="s">
        <v>24</v>
      </c>
      <c r="I317" s="6026" t="s">
        <v>790</v>
      </c>
    </row>
    <row customHeight="1" ht="11.25">
      <c r="A318" s="6026" t="s">
        <v>2185</v>
      </c>
      <c r="B318" s="6026" t="s">
        <v>14</v>
      </c>
      <c r="C318" s="6026" t="s">
        <v>2555</v>
      </c>
      <c r="D318" s="6026" t="s">
        <v>2556</v>
      </c>
      <c r="E318" s="6026" t="s">
        <v>2557</v>
      </c>
      <c r="F318" s="6026" t="s">
        <v>2204</v>
      </c>
      <c r="G318" s="6026" t="s">
        <v>24</v>
      </c>
      <c r="H318" s="6026" t="s">
        <v>24</v>
      </c>
      <c r="I318" s="6026" t="s">
        <v>790</v>
      </c>
    </row>
    <row customHeight="1" ht="11.25">
      <c r="A319" s="6026" t="s">
        <v>2185</v>
      </c>
      <c r="B319" s="6026" t="s">
        <v>14</v>
      </c>
      <c r="C319" s="6026" t="s">
        <v>2558</v>
      </c>
      <c r="D319" s="6026" t="s">
        <v>2559</v>
      </c>
      <c r="E319" s="6026" t="s">
        <v>2560</v>
      </c>
      <c r="F319" s="6026" t="s">
        <v>2208</v>
      </c>
      <c r="G319" s="6026" t="s">
        <v>24</v>
      </c>
      <c r="H319" s="6026" t="s">
        <v>24</v>
      </c>
      <c r="I319" s="6026" t="s">
        <v>790</v>
      </c>
    </row>
    <row customHeight="1" ht="11.25">
      <c r="A320" s="6026" t="s">
        <v>2185</v>
      </c>
      <c r="B320" s="6026" t="s">
        <v>14</v>
      </c>
      <c r="C320" s="6026" t="s">
        <v>2561</v>
      </c>
      <c r="D320" s="6026" t="s">
        <v>2562</v>
      </c>
      <c r="E320" s="6026" t="s">
        <v>2563</v>
      </c>
      <c r="F320" s="6026" t="s">
        <v>2189</v>
      </c>
      <c r="G320" s="6026" t="s">
        <v>24</v>
      </c>
      <c r="H320" s="6026" t="s">
        <v>2564</v>
      </c>
      <c r="I320" s="6026" t="s">
        <v>790</v>
      </c>
    </row>
    <row customHeight="1" ht="11.25">
      <c r="A321" s="6026" t="s">
        <v>2185</v>
      </c>
      <c r="B321" s="6026" t="s">
        <v>14</v>
      </c>
      <c r="C321" s="6026" t="s">
        <v>2565</v>
      </c>
      <c r="D321" s="6026" t="s">
        <v>2566</v>
      </c>
      <c r="E321" s="6026" t="s">
        <v>2567</v>
      </c>
      <c r="F321" s="6026" t="s">
        <v>2208</v>
      </c>
      <c r="G321" s="6026" t="s">
        <v>24</v>
      </c>
      <c r="H321" s="6026" t="s">
        <v>24</v>
      </c>
      <c r="I321" s="6026" t="s">
        <v>790</v>
      </c>
    </row>
    <row customHeight="1" ht="11.25">
      <c r="A322" s="6026" t="s">
        <v>2185</v>
      </c>
      <c r="B322" s="6026" t="s">
        <v>14</v>
      </c>
      <c r="C322" s="6026" t="s">
        <v>2571</v>
      </c>
      <c r="D322" s="6026" t="s">
        <v>2572</v>
      </c>
      <c r="E322" s="6026" t="s">
        <v>2573</v>
      </c>
      <c r="F322" s="6026" t="s">
        <v>2204</v>
      </c>
      <c r="G322" s="6026" t="s">
        <v>24</v>
      </c>
      <c r="H322" s="6026" t="s">
        <v>24</v>
      </c>
      <c r="I322" s="6026" t="s">
        <v>790</v>
      </c>
    </row>
    <row customHeight="1" ht="11.25">
      <c r="A323" s="6026" t="s">
        <v>2185</v>
      </c>
      <c r="B323" s="6026" t="s">
        <v>14</v>
      </c>
      <c r="C323" s="6026" t="s">
        <v>2599</v>
      </c>
      <c r="D323" s="6026" t="s">
        <v>2600</v>
      </c>
      <c r="E323" s="6026" t="s">
        <v>2601</v>
      </c>
      <c r="F323" s="6026" t="s">
        <v>2216</v>
      </c>
      <c r="G323" s="6026" t="s">
        <v>24</v>
      </c>
      <c r="H323" s="6026" t="s">
        <v>24</v>
      </c>
      <c r="I323" s="6026" t="s">
        <v>790</v>
      </c>
    </row>
    <row customHeight="1" ht="11.25">
      <c r="A324" s="6026" t="s">
        <v>2185</v>
      </c>
      <c r="B324" s="6026" t="s">
        <v>14</v>
      </c>
      <c r="C324" s="6026" t="s">
        <v>2602</v>
      </c>
      <c r="D324" s="6026" t="s">
        <v>2603</v>
      </c>
      <c r="E324" s="6026" t="s">
        <v>2604</v>
      </c>
      <c r="F324" s="6026" t="s">
        <v>2247</v>
      </c>
      <c r="G324" s="6026" t="s">
        <v>24</v>
      </c>
      <c r="H324" s="6026" t="s">
        <v>24</v>
      </c>
      <c r="I324" s="6026" t="s">
        <v>790</v>
      </c>
    </row>
    <row customHeight="1" ht="11.25">
      <c r="A325" s="6026" t="s">
        <v>2185</v>
      </c>
      <c r="B325" s="6026" t="s">
        <v>14</v>
      </c>
      <c r="C325" s="6026" t="s">
        <v>2608</v>
      </c>
      <c r="D325" s="6026" t="s">
        <v>2609</v>
      </c>
      <c r="E325" s="6026" t="s">
        <v>2610</v>
      </c>
      <c r="F325" s="6026" t="s">
        <v>2288</v>
      </c>
      <c r="G325" s="6026" t="s">
        <v>24</v>
      </c>
      <c r="H325" s="6026" t="s">
        <v>24</v>
      </c>
      <c r="I325" s="6026" t="s">
        <v>790</v>
      </c>
    </row>
    <row customHeight="1" ht="11.25">
      <c r="A326" s="6026" t="s">
        <v>2185</v>
      </c>
      <c r="B326" s="6026" t="s">
        <v>14</v>
      </c>
      <c r="C326" s="6026" t="s">
        <v>2611</v>
      </c>
      <c r="D326" s="6026" t="s">
        <v>2612</v>
      </c>
      <c r="E326" s="6026" t="s">
        <v>2613</v>
      </c>
      <c r="F326" s="6026" t="s">
        <v>2288</v>
      </c>
      <c r="G326" s="6026" t="s">
        <v>24</v>
      </c>
      <c r="H326" s="6026" t="s">
        <v>24</v>
      </c>
      <c r="I326" s="6026" t="s">
        <v>790</v>
      </c>
    </row>
    <row customHeight="1" ht="11.25">
      <c r="A327" s="6026" t="s">
        <v>2185</v>
      </c>
      <c r="B327" s="6026" t="s">
        <v>14</v>
      </c>
      <c r="C327" s="6026" t="s">
        <v>2614</v>
      </c>
      <c r="D327" s="6026" t="s">
        <v>2615</v>
      </c>
      <c r="E327" s="6026" t="s">
        <v>2616</v>
      </c>
      <c r="F327" s="6026" t="s">
        <v>2380</v>
      </c>
      <c r="G327" s="6026" t="s">
        <v>24</v>
      </c>
      <c r="H327" s="6026" t="s">
        <v>24</v>
      </c>
      <c r="I327" s="6026" t="s">
        <v>790</v>
      </c>
    </row>
    <row customHeight="1" ht="11.25">
      <c r="A328" s="6026" t="s">
        <v>2185</v>
      </c>
      <c r="B328" s="6026" t="s">
        <v>14</v>
      </c>
      <c r="C328" s="6026" t="s">
        <v>2630</v>
      </c>
      <c r="D328" s="6026" t="s">
        <v>2631</v>
      </c>
      <c r="E328" s="6026" t="s">
        <v>2632</v>
      </c>
      <c r="F328" s="6026" t="s">
        <v>2380</v>
      </c>
      <c r="G328" s="6026" t="s">
        <v>24</v>
      </c>
      <c r="H328" s="6026" t="s">
        <v>24</v>
      </c>
      <c r="I328" s="6026" t="s">
        <v>790</v>
      </c>
    </row>
    <row customHeight="1" ht="11.25">
      <c r="A329" s="6026" t="s">
        <v>2185</v>
      </c>
      <c r="B329" s="6026" t="s">
        <v>14</v>
      </c>
      <c r="C329" s="6026" t="s">
        <v>2633</v>
      </c>
      <c r="D329" s="6026" t="s">
        <v>2634</v>
      </c>
      <c r="E329" s="6026" t="s">
        <v>2635</v>
      </c>
      <c r="F329" s="6026" t="s">
        <v>2216</v>
      </c>
      <c r="G329" s="6026" t="s">
        <v>24</v>
      </c>
      <c r="H329" s="6026" t="s">
        <v>24</v>
      </c>
      <c r="I329" s="6026" t="s">
        <v>790</v>
      </c>
    </row>
    <row customHeight="1" ht="11.25">
      <c r="A330" s="6026" t="s">
        <v>2185</v>
      </c>
      <c r="B330" s="6026" t="s">
        <v>14</v>
      </c>
      <c r="C330" s="6026" t="s">
        <v>2636</v>
      </c>
      <c r="D330" s="6026" t="s">
        <v>2637</v>
      </c>
      <c r="E330" s="6026" t="s">
        <v>2638</v>
      </c>
      <c r="F330" s="6026" t="s">
        <v>2189</v>
      </c>
      <c r="G330" s="6026" t="s">
        <v>24</v>
      </c>
      <c r="H330" s="6026" t="s">
        <v>24</v>
      </c>
      <c r="I330" s="6026" t="s">
        <v>790</v>
      </c>
    </row>
    <row customHeight="1" ht="11.25">
      <c r="A331" s="6026" t="s">
        <v>2185</v>
      </c>
      <c r="B331" s="6026" t="s">
        <v>14</v>
      </c>
      <c r="C331" s="6026" t="s">
        <v>2639</v>
      </c>
      <c r="D331" s="6026" t="s">
        <v>2640</v>
      </c>
      <c r="E331" s="6026" t="s">
        <v>2641</v>
      </c>
      <c r="F331" s="6026" t="s">
        <v>2642</v>
      </c>
      <c r="G331" s="6026" t="s">
        <v>24</v>
      </c>
      <c r="H331" s="6026" t="s">
        <v>2643</v>
      </c>
      <c r="I331" s="6026" t="s">
        <v>790</v>
      </c>
    </row>
    <row customHeight="1" ht="11.25">
      <c r="A332" s="6026" t="s">
        <v>2185</v>
      </c>
      <c r="B332" s="6026" t="s">
        <v>14</v>
      </c>
      <c r="C332" s="6026" t="s">
        <v>2648</v>
      </c>
      <c r="D332" s="6026" t="s">
        <v>2649</v>
      </c>
      <c r="E332" s="6026" t="s">
        <v>2650</v>
      </c>
      <c r="F332" s="6026" t="s">
        <v>2247</v>
      </c>
      <c r="G332" s="6026" t="s">
        <v>24</v>
      </c>
      <c r="H332" s="6026" t="s">
        <v>24</v>
      </c>
      <c r="I332" s="6026" t="s">
        <v>790</v>
      </c>
    </row>
    <row customHeight="1" ht="11.25">
      <c r="A333" s="6026" t="s">
        <v>2185</v>
      </c>
      <c r="B333" s="6026" t="s">
        <v>14</v>
      </c>
      <c r="C333" s="6026" t="s">
        <v>2661</v>
      </c>
      <c r="D333" s="6026" t="s">
        <v>2662</v>
      </c>
      <c r="E333" s="6026" t="s">
        <v>2663</v>
      </c>
      <c r="F333" s="6026" t="s">
        <v>2208</v>
      </c>
      <c r="G333" s="6026" t="s">
        <v>24</v>
      </c>
      <c r="H333" s="6026" t="s">
        <v>24</v>
      </c>
      <c r="I333" s="6026" t="s">
        <v>790</v>
      </c>
    </row>
    <row customHeight="1" ht="11.25">
      <c r="A334" s="6026" t="s">
        <v>2185</v>
      </c>
      <c r="B334" s="6026" t="s">
        <v>14</v>
      </c>
      <c r="C334" s="6026" t="s">
        <v>2676</v>
      </c>
      <c r="D334" s="6026" t="s">
        <v>2677</v>
      </c>
      <c r="E334" s="6026" t="s">
        <v>2678</v>
      </c>
      <c r="F334" s="6026" t="s">
        <v>2216</v>
      </c>
      <c r="G334" s="6026" t="s">
        <v>24</v>
      </c>
      <c r="H334" s="6026" t="s">
        <v>24</v>
      </c>
      <c r="I334" s="6026" t="s">
        <v>790</v>
      </c>
    </row>
    <row customHeight="1" ht="11.25">
      <c r="A335" s="6026" t="s">
        <v>2185</v>
      </c>
      <c r="B335" s="6026" t="s">
        <v>14</v>
      </c>
      <c r="C335" s="6026" t="s">
        <v>2682</v>
      </c>
      <c r="D335" s="6026" t="s">
        <v>2683</v>
      </c>
      <c r="E335" s="6026" t="s">
        <v>2684</v>
      </c>
      <c r="F335" s="6026" t="s">
        <v>2292</v>
      </c>
      <c r="G335" s="6026" t="s">
        <v>24</v>
      </c>
      <c r="H335" s="6026" t="s">
        <v>24</v>
      </c>
      <c r="I335" s="6026" t="s">
        <v>790</v>
      </c>
    </row>
    <row customHeight="1" ht="11.25">
      <c r="A336" s="6026" t="s">
        <v>2185</v>
      </c>
      <c r="B336" s="6026" t="s">
        <v>14</v>
      </c>
      <c r="C336" s="6026" t="s">
        <v>2688</v>
      </c>
      <c r="D336" s="6026" t="s">
        <v>2689</v>
      </c>
      <c r="E336" s="6026" t="s">
        <v>2690</v>
      </c>
      <c r="F336" s="6026" t="s">
        <v>2189</v>
      </c>
      <c r="G336" s="6026" t="s">
        <v>24</v>
      </c>
      <c r="H336" s="6026" t="s">
        <v>24</v>
      </c>
      <c r="I336" s="6026" t="s">
        <v>790</v>
      </c>
    </row>
    <row customHeight="1" ht="11.25">
      <c r="A337" s="6026" t="s">
        <v>2185</v>
      </c>
      <c r="B337" s="6026" t="s">
        <v>14</v>
      </c>
      <c r="C337" s="6026" t="s">
        <v>2706</v>
      </c>
      <c r="D337" s="6026" t="s">
        <v>2707</v>
      </c>
      <c r="E337" s="6026" t="s">
        <v>2708</v>
      </c>
      <c r="F337" s="6026" t="s">
        <v>2216</v>
      </c>
      <c r="G337" s="6026" t="s">
        <v>24</v>
      </c>
      <c r="H337" s="6026" t="s">
        <v>24</v>
      </c>
      <c r="I337" s="6026" t="s">
        <v>790</v>
      </c>
    </row>
    <row customHeight="1" ht="11.25">
      <c r="A338" s="6026" t="s">
        <v>2185</v>
      </c>
      <c r="B338" s="6026" t="s">
        <v>14</v>
      </c>
      <c r="C338" s="6026" t="s">
        <v>2709</v>
      </c>
      <c r="D338" s="6026" t="s">
        <v>2710</v>
      </c>
      <c r="E338" s="6026" t="s">
        <v>2711</v>
      </c>
      <c r="F338" s="6026" t="s">
        <v>2189</v>
      </c>
      <c r="G338" s="6026" t="s">
        <v>2712</v>
      </c>
      <c r="H338" s="6026" t="s">
        <v>24</v>
      </c>
      <c r="I338" s="6026" t="s">
        <v>790</v>
      </c>
    </row>
    <row customHeight="1" ht="11.25">
      <c r="A339" s="6026" t="s">
        <v>2185</v>
      </c>
      <c r="B339" s="6026" t="s">
        <v>14</v>
      </c>
      <c r="C339" s="6026" t="s">
        <v>2716</v>
      </c>
      <c r="D339" s="6026" t="s">
        <v>2717</v>
      </c>
      <c r="E339" s="6026" t="s">
        <v>2718</v>
      </c>
      <c r="F339" s="6026" t="s">
        <v>2204</v>
      </c>
      <c r="G339" s="6026" t="s">
        <v>24</v>
      </c>
      <c r="H339" s="6026" t="s">
        <v>24</v>
      </c>
      <c r="I339" s="6026" t="s">
        <v>790</v>
      </c>
    </row>
    <row customHeight="1" ht="11.25">
      <c r="A340" s="6026" t="s">
        <v>2185</v>
      </c>
      <c r="B340" s="6026" t="s">
        <v>14</v>
      </c>
      <c r="C340" s="6026" t="s">
        <v>2735</v>
      </c>
      <c r="D340" s="6026" t="s">
        <v>2736</v>
      </c>
      <c r="E340" s="6026" t="s">
        <v>2737</v>
      </c>
      <c r="F340" s="6026" t="s">
        <v>2288</v>
      </c>
      <c r="G340" s="6026" t="s">
        <v>24</v>
      </c>
      <c r="H340" s="6026" t="s">
        <v>24</v>
      </c>
      <c r="I340" s="6026" t="s">
        <v>790</v>
      </c>
    </row>
    <row customHeight="1" ht="11.25">
      <c r="A341" s="6026" t="s">
        <v>2185</v>
      </c>
      <c r="B341" s="6026" t="s">
        <v>14</v>
      </c>
      <c r="C341" s="6026" t="s">
        <v>2738</v>
      </c>
      <c r="D341" s="6026" t="s">
        <v>2739</v>
      </c>
      <c r="E341" s="6026" t="s">
        <v>2740</v>
      </c>
      <c r="F341" s="6026" t="s">
        <v>2342</v>
      </c>
      <c r="G341" s="6026" t="s">
        <v>24</v>
      </c>
      <c r="H341" s="6026" t="s">
        <v>24</v>
      </c>
      <c r="I341" s="6026" t="s">
        <v>790</v>
      </c>
    </row>
    <row customHeight="1" ht="11.25">
      <c r="A342" s="6026" t="s">
        <v>2185</v>
      </c>
      <c r="B342" s="6026" t="s">
        <v>14</v>
      </c>
      <c r="C342" s="6026" t="s">
        <v>2744</v>
      </c>
      <c r="D342" s="6026" t="s">
        <v>2745</v>
      </c>
      <c r="E342" s="6026" t="s">
        <v>2746</v>
      </c>
      <c r="F342" s="6026" t="s">
        <v>2380</v>
      </c>
      <c r="G342" s="6026" t="s">
        <v>24</v>
      </c>
      <c r="H342" s="6026" t="s">
        <v>24</v>
      </c>
      <c r="I342" s="6026" t="s">
        <v>790</v>
      </c>
    </row>
    <row customHeight="1" ht="11.25">
      <c r="A343" s="6026" t="s">
        <v>2185</v>
      </c>
      <c r="B343" s="6026" t="s">
        <v>14</v>
      </c>
      <c r="C343" s="6026" t="s">
        <v>2747</v>
      </c>
      <c r="D343" s="6026" t="s">
        <v>2748</v>
      </c>
      <c r="E343" s="6026" t="s">
        <v>2749</v>
      </c>
      <c r="F343" s="6026" t="s">
        <v>2380</v>
      </c>
      <c r="G343" s="6026" t="s">
        <v>24</v>
      </c>
      <c r="H343" s="6026" t="s">
        <v>24</v>
      </c>
      <c r="I343" s="6026" t="s">
        <v>790</v>
      </c>
    </row>
    <row customHeight="1" ht="11.25">
      <c r="A344" s="6026" t="s">
        <v>2185</v>
      </c>
      <c r="B344" s="6026" t="s">
        <v>14</v>
      </c>
      <c r="C344" s="6026" t="s">
        <v>2750</v>
      </c>
      <c r="D344" s="6026" t="s">
        <v>2751</v>
      </c>
      <c r="E344" s="6026" t="s">
        <v>2752</v>
      </c>
      <c r="F344" s="6026" t="s">
        <v>2197</v>
      </c>
      <c r="G344" s="6026" t="s">
        <v>24</v>
      </c>
      <c r="H344" s="6026" t="s">
        <v>24</v>
      </c>
      <c r="I344" s="6026" t="s">
        <v>790</v>
      </c>
    </row>
    <row customHeight="1" ht="11.25">
      <c r="A345" s="6026" t="s">
        <v>2185</v>
      </c>
      <c r="B345" s="6026" t="s">
        <v>14</v>
      </c>
      <c r="C345" s="6026" t="s">
        <v>2753</v>
      </c>
      <c r="D345" s="6026" t="s">
        <v>2754</v>
      </c>
      <c r="E345" s="6026" t="s">
        <v>2755</v>
      </c>
      <c r="F345" s="6026" t="s">
        <v>2247</v>
      </c>
      <c r="G345" s="6026" t="s">
        <v>24</v>
      </c>
      <c r="H345" s="6026" t="s">
        <v>24</v>
      </c>
      <c r="I345" s="6026" t="s">
        <v>790</v>
      </c>
    </row>
    <row customHeight="1" ht="11.25">
      <c r="A346" s="6026" t="s">
        <v>2185</v>
      </c>
      <c r="B346" s="6026" t="s">
        <v>14</v>
      </c>
      <c r="C346" s="6026" t="s">
        <v>2759</v>
      </c>
      <c r="D346" s="6026" t="s">
        <v>2760</v>
      </c>
      <c r="E346" s="6026" t="s">
        <v>2761</v>
      </c>
      <c r="F346" s="6026" t="s">
        <v>2380</v>
      </c>
      <c r="G346" s="6026" t="s">
        <v>24</v>
      </c>
      <c r="H346" s="6026" t="s">
        <v>24</v>
      </c>
      <c r="I346" s="6026" t="s">
        <v>790</v>
      </c>
    </row>
    <row customHeight="1" ht="11.25">
      <c r="A347" s="6026" t="s">
        <v>2185</v>
      </c>
      <c r="B347" s="6026" t="s">
        <v>14</v>
      </c>
      <c r="C347" s="6026" t="s">
        <v>2770</v>
      </c>
      <c r="D347" s="6026" t="s">
        <v>2771</v>
      </c>
      <c r="E347" s="6026" t="s">
        <v>2772</v>
      </c>
      <c r="F347" s="6026" t="s">
        <v>2208</v>
      </c>
      <c r="G347" s="6026" t="s">
        <v>24</v>
      </c>
      <c r="H347" s="6026" t="s">
        <v>24</v>
      </c>
      <c r="I347" s="6026" t="s">
        <v>790</v>
      </c>
    </row>
    <row customHeight="1" ht="11.25">
      <c r="A348" s="6026" t="s">
        <v>2185</v>
      </c>
      <c r="B348" s="6026" t="s">
        <v>14</v>
      </c>
      <c r="C348" s="6026" t="s">
        <v>2783</v>
      </c>
      <c r="D348" s="6026" t="s">
        <v>2784</v>
      </c>
      <c r="E348" s="6026" t="s">
        <v>2785</v>
      </c>
      <c r="F348" s="6026" t="s">
        <v>2380</v>
      </c>
      <c r="G348" s="6026" t="s">
        <v>24</v>
      </c>
      <c r="H348" s="6026" t="s">
        <v>24</v>
      </c>
      <c r="I348" s="6026" t="s">
        <v>790</v>
      </c>
    </row>
    <row customHeight="1" ht="11.25">
      <c r="A349" s="6026" t="s">
        <v>2185</v>
      </c>
      <c r="B349" s="6026" t="s">
        <v>14</v>
      </c>
      <c r="C349" s="6026" t="s">
        <v>2793</v>
      </c>
      <c r="D349" s="6026" t="s">
        <v>2794</v>
      </c>
      <c r="E349" s="6026" t="s">
        <v>2795</v>
      </c>
      <c r="F349" s="6026" t="s">
        <v>2380</v>
      </c>
      <c r="G349" s="6026" t="s">
        <v>24</v>
      </c>
      <c r="H349" s="6026" t="s">
        <v>24</v>
      </c>
      <c r="I349" s="6026" t="s">
        <v>790</v>
      </c>
    </row>
    <row customHeight="1" ht="11.25">
      <c r="A350" s="6026" t="s">
        <v>2185</v>
      </c>
      <c r="B350" s="6026" t="s">
        <v>14</v>
      </c>
      <c r="C350" s="6026" t="s">
        <v>2796</v>
      </c>
      <c r="D350" s="6026" t="s">
        <v>2797</v>
      </c>
      <c r="E350" s="6026" t="s">
        <v>2798</v>
      </c>
      <c r="F350" s="6026" t="s">
        <v>2292</v>
      </c>
      <c r="G350" s="6026" t="s">
        <v>24</v>
      </c>
      <c r="H350" s="6026" t="s">
        <v>24</v>
      </c>
      <c r="I350" s="6026" t="s">
        <v>790</v>
      </c>
    </row>
    <row customHeight="1" ht="11.25">
      <c r="A351" s="6026" t="s">
        <v>2185</v>
      </c>
      <c r="B351" s="6026" t="s">
        <v>14</v>
      </c>
      <c r="C351" s="6026" t="s">
        <v>2799</v>
      </c>
      <c r="D351" s="6026" t="s">
        <v>2797</v>
      </c>
      <c r="E351" s="6026" t="s">
        <v>2800</v>
      </c>
      <c r="F351" s="6026" t="s">
        <v>2247</v>
      </c>
      <c r="G351" s="6026" t="s">
        <v>24</v>
      </c>
      <c r="H351" s="6026" t="s">
        <v>24</v>
      </c>
      <c r="I351" s="6026" t="s">
        <v>790</v>
      </c>
    </row>
    <row customHeight="1" ht="11.25">
      <c r="A352" s="6026" t="s">
        <v>2185</v>
      </c>
      <c r="B352" s="6026" t="s">
        <v>14</v>
      </c>
      <c r="C352" s="6026" t="s">
        <v>2808</v>
      </c>
      <c r="D352" s="6026" t="s">
        <v>2809</v>
      </c>
      <c r="E352" s="6026" t="s">
        <v>2810</v>
      </c>
      <c r="F352" s="6026" t="s">
        <v>2380</v>
      </c>
      <c r="G352" s="6026" t="s">
        <v>24</v>
      </c>
      <c r="H352" s="6026" t="s">
        <v>24</v>
      </c>
      <c r="I352" s="6026" t="s">
        <v>790</v>
      </c>
    </row>
    <row customHeight="1" ht="11.25">
      <c r="A353" s="6026" t="s">
        <v>2185</v>
      </c>
      <c r="B353" s="6026" t="s">
        <v>14</v>
      </c>
      <c r="C353" s="6026" t="s">
        <v>2829</v>
      </c>
      <c r="D353" s="6026" t="s">
        <v>2830</v>
      </c>
      <c r="E353" s="6026" t="s">
        <v>2831</v>
      </c>
      <c r="F353" s="6026" t="s">
        <v>2208</v>
      </c>
      <c r="G353" s="6026" t="s">
        <v>24</v>
      </c>
      <c r="H353" s="6026" t="s">
        <v>24</v>
      </c>
      <c r="I353" s="6026" t="s">
        <v>790</v>
      </c>
    </row>
    <row customHeight="1" ht="11.25">
      <c r="A354" s="6026" t="s">
        <v>2185</v>
      </c>
      <c r="B354" s="6026" t="s">
        <v>14</v>
      </c>
      <c r="C354" s="6026" t="s">
        <v>2836</v>
      </c>
      <c r="D354" s="6026" t="s">
        <v>2837</v>
      </c>
      <c r="E354" s="6026" t="s">
        <v>2838</v>
      </c>
      <c r="F354" s="6026" t="s">
        <v>2208</v>
      </c>
      <c r="G354" s="6026" t="s">
        <v>24</v>
      </c>
      <c r="H354" s="6026" t="s">
        <v>24</v>
      </c>
      <c r="I354" s="6026" t="s">
        <v>790</v>
      </c>
    </row>
    <row customHeight="1" ht="11.25">
      <c r="A355" s="6026" t="s">
        <v>2185</v>
      </c>
      <c r="B355" s="6026" t="s">
        <v>14</v>
      </c>
      <c r="C355" s="6026" t="s">
        <v>2842</v>
      </c>
      <c r="D355" s="6026" t="s">
        <v>2843</v>
      </c>
      <c r="E355" s="6026" t="s">
        <v>2844</v>
      </c>
      <c r="F355" s="6026" t="s">
        <v>2342</v>
      </c>
      <c r="G355" s="6026" t="s">
        <v>24</v>
      </c>
      <c r="H355" s="6026" t="s">
        <v>24</v>
      </c>
      <c r="I355" s="6026" t="s">
        <v>790</v>
      </c>
    </row>
    <row customHeight="1" ht="11.25">
      <c r="A356" s="6026" t="s">
        <v>2185</v>
      </c>
      <c r="B356" s="6026" t="s">
        <v>14</v>
      </c>
      <c r="C356" s="6026" t="s">
        <v>2845</v>
      </c>
      <c r="D356" s="6026" t="s">
        <v>2846</v>
      </c>
      <c r="E356" s="6026" t="s">
        <v>2847</v>
      </c>
      <c r="F356" s="6026" t="s">
        <v>2204</v>
      </c>
      <c r="G356" s="6026" t="s">
        <v>24</v>
      </c>
      <c r="H356" s="6026" t="s">
        <v>24</v>
      </c>
      <c r="I356" s="6026" t="s">
        <v>790</v>
      </c>
    </row>
    <row customHeight="1" ht="11.25">
      <c r="A357" s="6026" t="s">
        <v>2185</v>
      </c>
      <c r="B357" s="6026" t="s">
        <v>14</v>
      </c>
      <c r="C357" s="6026" t="s">
        <v>2858</v>
      </c>
      <c r="D357" s="6026" t="s">
        <v>2859</v>
      </c>
      <c r="E357" s="6026" t="s">
        <v>2860</v>
      </c>
      <c r="F357" s="6026" t="s">
        <v>2208</v>
      </c>
      <c r="G357" s="6026" t="s">
        <v>24</v>
      </c>
      <c r="H357" s="6026" t="s">
        <v>24</v>
      </c>
      <c r="I357" s="6026" t="s">
        <v>790</v>
      </c>
    </row>
    <row customHeight="1" ht="11.25">
      <c r="A358" s="6026" t="s">
        <v>2185</v>
      </c>
      <c r="B358" s="6026" t="s">
        <v>14</v>
      </c>
      <c r="C358" s="6026" t="s">
        <v>2861</v>
      </c>
      <c r="D358" s="6026" t="s">
        <v>2862</v>
      </c>
      <c r="E358" s="6026" t="s">
        <v>2863</v>
      </c>
      <c r="F358" s="6026" t="s">
        <v>2216</v>
      </c>
      <c r="G358" s="6026" t="s">
        <v>24</v>
      </c>
      <c r="H358" s="6026" t="s">
        <v>2864</v>
      </c>
      <c r="I358" s="6026" t="s">
        <v>790</v>
      </c>
    </row>
    <row customHeight="1" ht="11.25">
      <c r="A359" s="6026" t="s">
        <v>2185</v>
      </c>
      <c r="B359" s="6026" t="s">
        <v>14</v>
      </c>
      <c r="C359" s="6026" t="s">
        <v>2884</v>
      </c>
      <c r="D359" s="6026" t="s">
        <v>2885</v>
      </c>
      <c r="E359" s="6026" t="s">
        <v>2886</v>
      </c>
      <c r="F359" s="6026" t="s">
        <v>2216</v>
      </c>
      <c r="G359" s="6026" t="s">
        <v>24</v>
      </c>
      <c r="H359" s="6026" t="s">
        <v>24</v>
      </c>
      <c r="I359" s="6026" t="s">
        <v>790</v>
      </c>
    </row>
    <row customHeight="1" ht="11.25">
      <c r="A360" s="6026" t="s">
        <v>2185</v>
      </c>
      <c r="B360" s="6026" t="s">
        <v>14</v>
      </c>
      <c r="C360" s="6026" t="s">
        <v>2892</v>
      </c>
      <c r="D360" s="6026" t="s">
        <v>2893</v>
      </c>
      <c r="E360" s="6026" t="s">
        <v>2894</v>
      </c>
      <c r="F360" s="6026" t="s">
        <v>2204</v>
      </c>
      <c r="G360" s="6026" t="s">
        <v>24</v>
      </c>
      <c r="H360" s="6026" t="s">
        <v>24</v>
      </c>
      <c r="I360" s="6026" t="s">
        <v>790</v>
      </c>
    </row>
    <row customHeight="1" ht="11.25">
      <c r="A361" s="6026" t="s">
        <v>2185</v>
      </c>
      <c r="B361" s="6026" t="s">
        <v>14</v>
      </c>
      <c r="C361" s="6026" t="s">
        <v>2901</v>
      </c>
      <c r="D361" s="6026" t="s">
        <v>2902</v>
      </c>
      <c r="E361" s="6026" t="s">
        <v>2903</v>
      </c>
      <c r="F361" s="6026" t="s">
        <v>2189</v>
      </c>
      <c r="G361" s="6026" t="s">
        <v>24</v>
      </c>
      <c r="H361" s="6026" t="s">
        <v>24</v>
      </c>
      <c r="I361" s="6026" t="s">
        <v>790</v>
      </c>
    </row>
    <row customHeight="1" ht="11.25">
      <c r="A362" s="6026" t="s">
        <v>2185</v>
      </c>
      <c r="B362" s="6026" t="s">
        <v>14</v>
      </c>
      <c r="C362" s="6026" t="s">
        <v>2904</v>
      </c>
      <c r="D362" s="6026" t="s">
        <v>2905</v>
      </c>
      <c r="E362" s="6026" t="s">
        <v>2906</v>
      </c>
      <c r="F362" s="6026" t="s">
        <v>2208</v>
      </c>
      <c r="G362" s="6026" t="s">
        <v>24</v>
      </c>
      <c r="H362" s="6026" t="s">
        <v>24</v>
      </c>
      <c r="I362" s="6026" t="s">
        <v>790</v>
      </c>
    </row>
    <row customHeight="1" ht="11.25">
      <c r="A363" s="6026" t="s">
        <v>2185</v>
      </c>
      <c r="B363" s="6026" t="s">
        <v>14</v>
      </c>
      <c r="C363" s="6026" t="s">
        <v>2907</v>
      </c>
      <c r="D363" s="6026" t="s">
        <v>2908</v>
      </c>
      <c r="E363" s="6026" t="s">
        <v>2909</v>
      </c>
      <c r="F363" s="6026" t="s">
        <v>2910</v>
      </c>
      <c r="G363" s="6026" t="s">
        <v>24</v>
      </c>
      <c r="H363" s="6026" t="s">
        <v>24</v>
      </c>
      <c r="I363" s="6026" t="s">
        <v>790</v>
      </c>
    </row>
    <row customHeight="1" ht="11.25">
      <c r="A364" s="6026" t="s">
        <v>2185</v>
      </c>
      <c r="B364" s="6026" t="s">
        <v>14</v>
      </c>
      <c r="C364" s="6026" t="s">
        <v>2914</v>
      </c>
      <c r="D364" s="6026" t="s">
        <v>2915</v>
      </c>
      <c r="E364" s="6026" t="s">
        <v>2916</v>
      </c>
      <c r="F364" s="6026" t="s">
        <v>2208</v>
      </c>
      <c r="G364" s="6026" t="s">
        <v>24</v>
      </c>
      <c r="H364" s="6026" t="s">
        <v>24</v>
      </c>
      <c r="I364" s="6026" t="s">
        <v>790</v>
      </c>
    </row>
    <row customHeight="1" ht="11.25">
      <c r="A365" s="6026" t="s">
        <v>2185</v>
      </c>
      <c r="B365" s="6026" t="s">
        <v>14</v>
      </c>
      <c r="C365" s="6026" t="s">
        <v>2917</v>
      </c>
      <c r="D365" s="6026" t="s">
        <v>2918</v>
      </c>
      <c r="E365" s="6026" t="s">
        <v>2919</v>
      </c>
      <c r="F365" s="6026" t="s">
        <v>2189</v>
      </c>
      <c r="G365" s="6026" t="s">
        <v>24</v>
      </c>
      <c r="H365" s="6026" t="s">
        <v>24</v>
      </c>
      <c r="I365" s="6026" t="s">
        <v>790</v>
      </c>
    </row>
    <row customHeight="1" ht="11.25">
      <c r="A366" s="6026" t="s">
        <v>2185</v>
      </c>
      <c r="B366" s="6026" t="s">
        <v>14</v>
      </c>
      <c r="C366" s="6026" t="s">
        <v>2924</v>
      </c>
      <c r="D366" s="6026" t="s">
        <v>2925</v>
      </c>
      <c r="E366" s="6026" t="s">
        <v>2926</v>
      </c>
      <c r="F366" s="6026" t="s">
        <v>2247</v>
      </c>
      <c r="G366" s="6026" t="s">
        <v>24</v>
      </c>
      <c r="H366" s="6026" t="s">
        <v>24</v>
      </c>
      <c r="I366" s="6026" t="s">
        <v>790</v>
      </c>
    </row>
    <row customHeight="1" ht="11.25">
      <c r="A367" s="6026" t="s">
        <v>2185</v>
      </c>
      <c r="B367" s="6026" t="s">
        <v>14</v>
      </c>
      <c r="C367" s="6026" t="s">
        <v>2951</v>
      </c>
      <c r="D367" s="6026" t="s">
        <v>2952</v>
      </c>
      <c r="E367" s="6026" t="s">
        <v>2953</v>
      </c>
      <c r="F367" s="6026" t="s">
        <v>2208</v>
      </c>
      <c r="G367" s="6026" t="s">
        <v>24</v>
      </c>
      <c r="H367" s="6026" t="s">
        <v>24</v>
      </c>
      <c r="I367" s="6026" t="s">
        <v>790</v>
      </c>
    </row>
    <row customHeight="1" ht="11.25">
      <c r="A368" s="6026" t="s">
        <v>2185</v>
      </c>
      <c r="B368" s="6026" t="s">
        <v>14</v>
      </c>
      <c r="C368" s="6026" t="s">
        <v>2954</v>
      </c>
      <c r="D368" s="6026" t="s">
        <v>2955</v>
      </c>
      <c r="E368" s="6026" t="s">
        <v>2956</v>
      </c>
      <c r="F368" s="6026" t="s">
        <v>2204</v>
      </c>
      <c r="G368" s="6026" t="s">
        <v>24</v>
      </c>
      <c r="H368" s="6026" t="s">
        <v>24</v>
      </c>
      <c r="I368" s="6026" t="s">
        <v>790</v>
      </c>
    </row>
    <row customHeight="1" ht="11.25">
      <c r="A369" s="6026" t="s">
        <v>2185</v>
      </c>
      <c r="B369" s="6026" t="s">
        <v>14</v>
      </c>
      <c r="C369" s="6026" t="s">
        <v>2960</v>
      </c>
      <c r="D369" s="6026" t="s">
        <v>2961</v>
      </c>
      <c r="E369" s="6026" t="s">
        <v>2962</v>
      </c>
      <c r="F369" s="6026" t="s">
        <v>2288</v>
      </c>
      <c r="G369" s="6026" t="s">
        <v>24</v>
      </c>
      <c r="H369" s="6026" t="s">
        <v>24</v>
      </c>
      <c r="I369" s="6026" t="s">
        <v>790</v>
      </c>
    </row>
    <row customHeight="1" ht="11.25">
      <c r="A370" s="6026" t="s">
        <v>2185</v>
      </c>
      <c r="B370" s="6026" t="s">
        <v>14</v>
      </c>
      <c r="C370" s="6026" t="s">
        <v>2979</v>
      </c>
      <c r="D370" s="6026" t="s">
        <v>2980</v>
      </c>
      <c r="E370" s="6026" t="s">
        <v>2981</v>
      </c>
      <c r="F370" s="6026" t="s">
        <v>2216</v>
      </c>
      <c r="G370" s="6026" t="s">
        <v>24</v>
      </c>
      <c r="H370" s="6026" t="s">
        <v>24</v>
      </c>
      <c r="I370" s="6026" t="s">
        <v>790</v>
      </c>
    </row>
    <row customHeight="1" ht="11.25">
      <c r="A371" s="6026" t="s">
        <v>2185</v>
      </c>
      <c r="B371" s="6026" t="s">
        <v>14</v>
      </c>
      <c r="C371" s="6026" t="s">
        <v>3020</v>
      </c>
      <c r="D371" s="6026" t="s">
        <v>3021</v>
      </c>
      <c r="E371" s="6026" t="s">
        <v>3022</v>
      </c>
      <c r="F371" s="6026" t="s">
        <v>3023</v>
      </c>
      <c r="G371" s="6026" t="s">
        <v>24</v>
      </c>
      <c r="H371" s="6026" t="s">
        <v>24</v>
      </c>
      <c r="I371" s="6026" t="s">
        <v>790</v>
      </c>
    </row>
    <row customHeight="1" ht="11.25">
      <c r="A372" s="6026" t="s">
        <v>2185</v>
      </c>
      <c r="B372" s="6026" t="s">
        <v>14</v>
      </c>
      <c r="C372" s="6026" t="s">
        <v>3058</v>
      </c>
      <c r="D372" s="6026" t="s">
        <v>3059</v>
      </c>
      <c r="E372" s="6026" t="s">
        <v>3060</v>
      </c>
      <c r="F372" s="6026" t="s">
        <v>2208</v>
      </c>
      <c r="G372" s="6026" t="s">
        <v>24</v>
      </c>
      <c r="H372" s="6026" t="s">
        <v>24</v>
      </c>
      <c r="I372" s="6026" t="s">
        <v>790</v>
      </c>
    </row>
    <row customHeight="1" ht="11.25">
      <c r="A373" s="6026" t="s">
        <v>2185</v>
      </c>
      <c r="B373" s="6026" t="s">
        <v>14</v>
      </c>
      <c r="C373" s="6026" t="s">
        <v>3024</v>
      </c>
      <c r="D373" s="6026" t="s">
        <v>3025</v>
      </c>
      <c r="E373" s="6026" t="s">
        <v>3026</v>
      </c>
      <c r="F373" s="6026" t="s">
        <v>3027</v>
      </c>
      <c r="G373" s="6026" t="s">
        <v>24</v>
      </c>
      <c r="H373" s="6026" t="s">
        <v>24</v>
      </c>
      <c r="I373" s="6026" t="s">
        <v>790</v>
      </c>
    </row>
    <row customHeight="1" ht="11.25">
      <c r="A374" s="6026" t="s">
        <v>2185</v>
      </c>
      <c r="B374" s="6026" t="s">
        <v>14</v>
      </c>
      <c r="C374" s="6026" t="s">
        <v>3031</v>
      </c>
      <c r="D374" s="6026" t="s">
        <v>3032</v>
      </c>
      <c r="E374" s="6026" t="s">
        <v>3033</v>
      </c>
      <c r="F374" s="6026" t="s">
        <v>3034</v>
      </c>
      <c r="G374" s="6026" t="s">
        <v>24</v>
      </c>
      <c r="H374" s="6026" t="s">
        <v>24</v>
      </c>
      <c r="I374" s="6026" t="s">
        <v>790</v>
      </c>
    </row>
    <row customHeight="1" ht="11.25">
      <c r="A375" s="6026" t="s">
        <v>2185</v>
      </c>
      <c r="B375" s="6026" t="s">
        <v>14</v>
      </c>
      <c r="C375" s="6026" t="s">
        <v>3044</v>
      </c>
      <c r="D375" s="6026" t="s">
        <v>3045</v>
      </c>
      <c r="E375" s="6026" t="s">
        <v>3046</v>
      </c>
      <c r="F375" s="6026" t="s">
        <v>3047</v>
      </c>
      <c r="G375" s="6026" t="s">
        <v>24</v>
      </c>
      <c r="H375" s="6026" t="s">
        <v>24</v>
      </c>
      <c r="I375" s="6026" t="s">
        <v>790</v>
      </c>
    </row>
    <row customHeight="1" ht="11.25">
      <c r="A376" s="6026" t="s">
        <v>2185</v>
      </c>
      <c r="B376" s="6026" t="s">
        <v>14</v>
      </c>
      <c r="C376" s="6026" t="s">
        <v>3048</v>
      </c>
      <c r="D376" s="6026" t="s">
        <v>3049</v>
      </c>
      <c r="E376" s="6026" t="s">
        <v>3050</v>
      </c>
      <c r="F376" s="6026" t="s">
        <v>3051</v>
      </c>
      <c r="G376" s="6026" t="s">
        <v>24</v>
      </c>
      <c r="H376" s="6026" t="s">
        <v>24</v>
      </c>
      <c r="I376" s="6026" t="s">
        <v>790</v>
      </c>
    </row>
    <row customHeight="1" ht="11.25">
      <c r="A377" s="6026" t="s">
        <v>2185</v>
      </c>
      <c r="B377" s="6026" t="s">
        <v>14</v>
      </c>
      <c r="C377" s="6026" t="s">
        <v>3052</v>
      </c>
      <c r="D377" s="6026" t="s">
        <v>3053</v>
      </c>
      <c r="E377" s="6026" t="s">
        <v>3026</v>
      </c>
      <c r="F377" s="6026" t="s">
        <v>3054</v>
      </c>
      <c r="G377" s="6026" t="s">
        <v>24</v>
      </c>
      <c r="H377" s="6026" t="s">
        <v>24</v>
      </c>
      <c r="I377" s="6026" t="s">
        <v>790</v>
      </c>
    </row>
    <row customHeight="1" ht="11.25">
      <c r="A378" s="6026" t="s">
        <v>2185</v>
      </c>
      <c r="B378" s="6026" t="s">
        <v>14</v>
      </c>
      <c r="C378" s="6026" t="s">
        <v>3055</v>
      </c>
      <c r="D378" s="6026" t="s">
        <v>3056</v>
      </c>
      <c r="E378" s="6026" t="s">
        <v>3050</v>
      </c>
      <c r="F378" s="6026" t="s">
        <v>3057</v>
      </c>
      <c r="G378" s="6026" t="s">
        <v>24</v>
      </c>
      <c r="H378" s="6026" t="s">
        <v>24</v>
      </c>
      <c r="I378" s="6026" t="s">
        <v>790</v>
      </c>
    </row>
    <row customHeight="1" ht="11.25">
      <c r="A379" s="6026" t="s">
        <v>2185</v>
      </c>
      <c r="B379" s="6026" t="s">
        <v>14</v>
      </c>
      <c r="C379" s="6026" t="s">
        <v>3061</v>
      </c>
      <c r="D379" s="6026" t="s">
        <v>3062</v>
      </c>
      <c r="E379" s="6026" t="s">
        <v>3063</v>
      </c>
      <c r="F379" s="6026" t="s">
        <v>2247</v>
      </c>
      <c r="G379" s="6026" t="s">
        <v>3064</v>
      </c>
      <c r="H379" s="6026" t="s">
        <v>24</v>
      </c>
      <c r="I379" s="6026" t="s">
        <v>790</v>
      </c>
    </row>
    <row customHeight="1" ht="11.25">
      <c r="A380" s="6026" t="s">
        <v>2185</v>
      </c>
      <c r="B380" s="6026" t="s">
        <v>14</v>
      </c>
      <c r="C380" s="6026" t="s">
        <v>2186</v>
      </c>
      <c r="D380" s="6026" t="s">
        <v>2187</v>
      </c>
      <c r="E380" s="6026" t="s">
        <v>2188</v>
      </c>
      <c r="F380" s="6026" t="s">
        <v>2189</v>
      </c>
      <c r="G380" s="6026" t="s">
        <v>24</v>
      </c>
      <c r="H380" s="6026" t="s">
        <v>24</v>
      </c>
      <c r="I380" s="6026" t="s">
        <v>752</v>
      </c>
    </row>
    <row customHeight="1" ht="11.25">
      <c r="A381" s="6026" t="s">
        <v>2185</v>
      </c>
      <c r="B381" s="6026" t="s">
        <v>14</v>
      </c>
      <c r="C381" s="6026" t="s">
        <v>2190</v>
      </c>
      <c r="D381" s="6026" t="s">
        <v>2191</v>
      </c>
      <c r="E381" s="6026" t="s">
        <v>2192</v>
      </c>
      <c r="F381" s="6026" t="s">
        <v>2193</v>
      </c>
      <c r="G381" s="6026" t="s">
        <v>24</v>
      </c>
      <c r="H381" s="6026" t="s">
        <v>24</v>
      </c>
      <c r="I381" s="6026" t="s">
        <v>752</v>
      </c>
    </row>
    <row customHeight="1" ht="11.25">
      <c r="A382" s="6026" t="s">
        <v>2185</v>
      </c>
      <c r="B382" s="6026" t="s">
        <v>14</v>
      </c>
      <c r="C382" s="6026" t="s">
        <v>2194</v>
      </c>
      <c r="D382" s="6026" t="s">
        <v>2195</v>
      </c>
      <c r="E382" s="6026" t="s">
        <v>2196</v>
      </c>
      <c r="F382" s="6026" t="s">
        <v>2197</v>
      </c>
      <c r="G382" s="6026" t="s">
        <v>24</v>
      </c>
      <c r="H382" s="6026" t="s">
        <v>24</v>
      </c>
      <c r="I382" s="6026" t="s">
        <v>752</v>
      </c>
    </row>
    <row customHeight="1" ht="11.25">
      <c r="A383" s="6026" t="s">
        <v>2185</v>
      </c>
      <c r="B383" s="6026" t="s">
        <v>14</v>
      </c>
      <c r="C383" s="6026" t="s">
        <v>2201</v>
      </c>
      <c r="D383" s="6026" t="s">
        <v>2202</v>
      </c>
      <c r="E383" s="6026" t="s">
        <v>2203</v>
      </c>
      <c r="F383" s="6026" t="s">
        <v>2204</v>
      </c>
      <c r="G383" s="6026" t="s">
        <v>24</v>
      </c>
      <c r="H383" s="6026" t="s">
        <v>24</v>
      </c>
      <c r="I383" s="6026" t="s">
        <v>752</v>
      </c>
    </row>
    <row customHeight="1" ht="11.25">
      <c r="A384" s="6026" t="s">
        <v>2185</v>
      </c>
      <c r="B384" s="6026" t="s">
        <v>14</v>
      </c>
      <c r="C384" s="6026" t="s">
        <v>2209</v>
      </c>
      <c r="D384" s="6026" t="s">
        <v>2210</v>
      </c>
      <c r="E384" s="6026" t="s">
        <v>2211</v>
      </c>
      <c r="F384" s="6026" t="s">
        <v>2212</v>
      </c>
      <c r="G384" s="6026" t="s">
        <v>24</v>
      </c>
      <c r="H384" s="6026" t="s">
        <v>24</v>
      </c>
      <c r="I384" s="6026" t="s">
        <v>752</v>
      </c>
    </row>
    <row customHeight="1" ht="11.25">
      <c r="A385" s="6026" t="s">
        <v>2185</v>
      </c>
      <c r="B385" s="6026" t="s">
        <v>14</v>
      </c>
      <c r="C385" s="6026" t="s">
        <v>3065</v>
      </c>
      <c r="D385" s="6026" t="s">
        <v>3066</v>
      </c>
      <c r="E385" s="6026" t="s">
        <v>3067</v>
      </c>
      <c r="F385" s="6026" t="s">
        <v>3068</v>
      </c>
      <c r="G385" s="6026" t="s">
        <v>24</v>
      </c>
      <c r="H385" s="6026" t="s">
        <v>24</v>
      </c>
      <c r="I385" s="6026" t="s">
        <v>752</v>
      </c>
    </row>
    <row customHeight="1" ht="11.25">
      <c r="A386" s="6026" t="s">
        <v>2185</v>
      </c>
      <c r="B386" s="6026" t="s">
        <v>14</v>
      </c>
      <c r="C386" s="6026" t="s">
        <v>2213</v>
      </c>
      <c r="D386" s="6026" t="s">
        <v>2214</v>
      </c>
      <c r="E386" s="6026" t="s">
        <v>2215</v>
      </c>
      <c r="F386" s="6026" t="s">
        <v>2216</v>
      </c>
      <c r="G386" s="6026" t="s">
        <v>24</v>
      </c>
      <c r="H386" s="6026" t="s">
        <v>24</v>
      </c>
      <c r="I386" s="6026" t="s">
        <v>752</v>
      </c>
    </row>
    <row customHeight="1" ht="11.25">
      <c r="A387" s="6026" t="s">
        <v>2185</v>
      </c>
      <c r="B387" s="6026" t="s">
        <v>14</v>
      </c>
      <c r="C387" s="6026" t="s">
        <v>2217</v>
      </c>
      <c r="D387" s="6026" t="s">
        <v>2218</v>
      </c>
      <c r="E387" s="6026" t="s">
        <v>2219</v>
      </c>
      <c r="F387" s="6026" t="s">
        <v>2208</v>
      </c>
      <c r="G387" s="6026" t="s">
        <v>24</v>
      </c>
      <c r="H387" s="6026" t="s">
        <v>24</v>
      </c>
      <c r="I387" s="6026" t="s">
        <v>752</v>
      </c>
    </row>
    <row customHeight="1" ht="11.25">
      <c r="A388" s="6026" t="s">
        <v>2185</v>
      </c>
      <c r="B388" s="6026" t="s">
        <v>14</v>
      </c>
      <c r="C388" s="6026" t="s">
        <v>2220</v>
      </c>
      <c r="D388" s="6026" t="s">
        <v>2221</v>
      </c>
      <c r="E388" s="6026" t="s">
        <v>2222</v>
      </c>
      <c r="F388" s="6026" t="s">
        <v>2216</v>
      </c>
      <c r="G388" s="6026" t="s">
        <v>24</v>
      </c>
      <c r="H388" s="6026" t="s">
        <v>24</v>
      </c>
      <c r="I388" s="6026" t="s">
        <v>752</v>
      </c>
    </row>
    <row customHeight="1" ht="11.25">
      <c r="A389" s="6026" t="s">
        <v>2185</v>
      </c>
      <c r="B389" s="6026" t="s">
        <v>14</v>
      </c>
      <c r="C389" s="6026" t="s">
        <v>2223</v>
      </c>
      <c r="D389" s="6026" t="s">
        <v>2224</v>
      </c>
      <c r="E389" s="6026" t="s">
        <v>2225</v>
      </c>
      <c r="F389" s="6026" t="s">
        <v>2204</v>
      </c>
      <c r="G389" s="6026" t="s">
        <v>24</v>
      </c>
      <c r="H389" s="6026" t="s">
        <v>24</v>
      </c>
      <c r="I389" s="6026" t="s">
        <v>752</v>
      </c>
    </row>
    <row customHeight="1" ht="11.25">
      <c r="A390" s="6026" t="s">
        <v>2185</v>
      </c>
      <c r="B390" s="6026" t="s">
        <v>14</v>
      </c>
      <c r="C390" s="6026" t="s">
        <v>2226</v>
      </c>
      <c r="D390" s="6026" t="s">
        <v>2227</v>
      </c>
      <c r="E390" s="6026" t="s">
        <v>2228</v>
      </c>
      <c r="F390" s="6026" t="s">
        <v>2208</v>
      </c>
      <c r="G390" s="6026" t="s">
        <v>24</v>
      </c>
      <c r="H390" s="6026" t="s">
        <v>24</v>
      </c>
      <c r="I390" s="6026" t="s">
        <v>752</v>
      </c>
    </row>
    <row customHeight="1" ht="11.25">
      <c r="A391" s="6026" t="s">
        <v>2185</v>
      </c>
      <c r="B391" s="6026" t="s">
        <v>14</v>
      </c>
      <c r="C391" s="6026" t="s">
        <v>3069</v>
      </c>
      <c r="D391" s="6026" t="s">
        <v>3070</v>
      </c>
      <c r="E391" s="6026" t="s">
        <v>3071</v>
      </c>
      <c r="F391" s="6026" t="s">
        <v>2189</v>
      </c>
      <c r="G391" s="6026" t="s">
        <v>24</v>
      </c>
      <c r="H391" s="6026" t="s">
        <v>24</v>
      </c>
      <c r="I391" s="6026" t="s">
        <v>752</v>
      </c>
    </row>
    <row customHeight="1" ht="11.25">
      <c r="A392" s="6026" t="s">
        <v>2185</v>
      </c>
      <c r="B392" s="6026" t="s">
        <v>14</v>
      </c>
      <c r="C392" s="6026" t="s">
        <v>2229</v>
      </c>
      <c r="D392" s="6026" t="s">
        <v>2230</v>
      </c>
      <c r="E392" s="6026" t="s">
        <v>2231</v>
      </c>
      <c r="F392" s="6026" t="s">
        <v>2232</v>
      </c>
      <c r="G392" s="6026" t="s">
        <v>24</v>
      </c>
      <c r="H392" s="6026" t="s">
        <v>24</v>
      </c>
      <c r="I392" s="6026" t="s">
        <v>752</v>
      </c>
    </row>
    <row customHeight="1" ht="11.25">
      <c r="A393" s="6026" t="s">
        <v>2185</v>
      </c>
      <c r="B393" s="6026" t="s">
        <v>14</v>
      </c>
      <c r="C393" s="6026" t="s">
        <v>2239</v>
      </c>
      <c r="D393" s="6026" t="s">
        <v>45</v>
      </c>
      <c r="E393" s="6026" t="s">
        <v>48</v>
      </c>
      <c r="F393" s="6026" t="s">
        <v>50</v>
      </c>
      <c r="G393" s="6026" t="s">
        <v>24</v>
      </c>
      <c r="H393" s="6026" t="s">
        <v>24</v>
      </c>
      <c r="I393" s="6026" t="s">
        <v>752</v>
      </c>
    </row>
    <row customHeight="1" ht="11.25">
      <c r="A394" s="6026" t="s">
        <v>2185</v>
      </c>
      <c r="B394" s="6026" t="s">
        <v>14</v>
      </c>
      <c r="C394" s="6026" t="s">
        <v>3072</v>
      </c>
      <c r="D394" s="6026" t="s">
        <v>3073</v>
      </c>
      <c r="E394" s="6026" t="s">
        <v>3074</v>
      </c>
      <c r="F394" s="6026" t="s">
        <v>2380</v>
      </c>
      <c r="G394" s="6026" t="s">
        <v>24</v>
      </c>
      <c r="H394" s="6026" t="s">
        <v>24</v>
      </c>
      <c r="I394" s="6026" t="s">
        <v>752</v>
      </c>
    </row>
    <row customHeight="1" ht="11.25">
      <c r="A395" s="6026" t="s">
        <v>2185</v>
      </c>
      <c r="B395" s="6026" t="s">
        <v>14</v>
      </c>
      <c r="C395" s="6026" t="s">
        <v>3075</v>
      </c>
      <c r="D395" s="6026" t="s">
        <v>3076</v>
      </c>
      <c r="E395" s="6026" t="s">
        <v>3077</v>
      </c>
      <c r="F395" s="6026" t="s">
        <v>2216</v>
      </c>
      <c r="G395" s="6026" t="s">
        <v>24</v>
      </c>
      <c r="H395" s="6026" t="s">
        <v>24</v>
      </c>
      <c r="I395" s="6026" t="s">
        <v>752</v>
      </c>
    </row>
    <row customHeight="1" ht="11.25">
      <c r="A396" s="6026" t="s">
        <v>2185</v>
      </c>
      <c r="B396" s="6026" t="s">
        <v>14</v>
      </c>
      <c r="C396" s="6026" t="s">
        <v>2248</v>
      </c>
      <c r="D396" s="6026" t="s">
        <v>2249</v>
      </c>
      <c r="E396" s="6026" t="s">
        <v>2250</v>
      </c>
      <c r="F396" s="6026" t="s">
        <v>2251</v>
      </c>
      <c r="G396" s="6026" t="s">
        <v>24</v>
      </c>
      <c r="H396" s="6026" t="s">
        <v>24</v>
      </c>
      <c r="I396" s="6026" t="s">
        <v>752</v>
      </c>
    </row>
    <row customHeight="1" ht="11.25">
      <c r="A397" s="6026" t="s">
        <v>2185</v>
      </c>
      <c r="B397" s="6026" t="s">
        <v>14</v>
      </c>
      <c r="C397" s="6026" t="s">
        <v>3078</v>
      </c>
      <c r="D397" s="6026" t="s">
        <v>3079</v>
      </c>
      <c r="E397" s="6026" t="s">
        <v>3080</v>
      </c>
      <c r="F397" s="6026" t="s">
        <v>2216</v>
      </c>
      <c r="G397" s="6026" t="s">
        <v>24</v>
      </c>
      <c r="H397" s="6026" t="s">
        <v>24</v>
      </c>
      <c r="I397" s="6026" t="s">
        <v>752</v>
      </c>
    </row>
    <row customHeight="1" ht="11.25">
      <c r="A398" s="6026" t="s">
        <v>2185</v>
      </c>
      <c r="B398" s="6026" t="s">
        <v>14</v>
      </c>
      <c r="C398" s="6026" t="s">
        <v>2252</v>
      </c>
      <c r="D398" s="6026" t="s">
        <v>2253</v>
      </c>
      <c r="E398" s="6026" t="s">
        <v>2254</v>
      </c>
      <c r="F398" s="6026" t="s">
        <v>2247</v>
      </c>
      <c r="G398" s="6026" t="s">
        <v>24</v>
      </c>
      <c r="H398" s="6026" t="s">
        <v>24</v>
      </c>
      <c r="I398" s="6026" t="s">
        <v>752</v>
      </c>
    </row>
    <row customHeight="1" ht="11.25">
      <c r="A399" s="6026" t="s">
        <v>2185</v>
      </c>
      <c r="B399" s="6026" t="s">
        <v>14</v>
      </c>
      <c r="C399" s="6026" t="s">
        <v>2258</v>
      </c>
      <c r="D399" s="6026" t="s">
        <v>2259</v>
      </c>
      <c r="E399" s="6026" t="s">
        <v>2260</v>
      </c>
      <c r="F399" s="6026" t="s">
        <v>2216</v>
      </c>
      <c r="G399" s="6026" t="s">
        <v>24</v>
      </c>
      <c r="H399" s="6026" t="s">
        <v>24</v>
      </c>
      <c r="I399" s="6026" t="s">
        <v>752</v>
      </c>
    </row>
    <row customHeight="1" ht="11.25">
      <c r="A400" s="6026" t="s">
        <v>2185</v>
      </c>
      <c r="B400" s="6026" t="s">
        <v>14</v>
      </c>
      <c r="C400" s="6026" t="s">
        <v>2278</v>
      </c>
      <c r="D400" s="6026" t="s">
        <v>2279</v>
      </c>
      <c r="E400" s="6026" t="s">
        <v>2280</v>
      </c>
      <c r="F400" s="6026" t="s">
        <v>2216</v>
      </c>
      <c r="G400" s="6026" t="s">
        <v>24</v>
      </c>
      <c r="H400" s="6026" t="s">
        <v>24</v>
      </c>
      <c r="I400" s="6026" t="s">
        <v>752</v>
      </c>
    </row>
    <row customHeight="1" ht="11.25">
      <c r="A401" s="6026" t="s">
        <v>2185</v>
      </c>
      <c r="B401" s="6026" t="s">
        <v>14</v>
      </c>
      <c r="C401" s="6026" t="s">
        <v>2281</v>
      </c>
      <c r="D401" s="6026" t="s">
        <v>2282</v>
      </c>
      <c r="E401" s="6026" t="s">
        <v>2283</v>
      </c>
      <c r="F401" s="6026" t="s">
        <v>2284</v>
      </c>
      <c r="G401" s="6026" t="s">
        <v>24</v>
      </c>
      <c r="H401" s="6026" t="s">
        <v>24</v>
      </c>
      <c r="I401" s="6026" t="s">
        <v>752</v>
      </c>
    </row>
    <row customHeight="1" ht="11.25">
      <c r="A402" s="6026" t="s">
        <v>2185</v>
      </c>
      <c r="B402" s="6026" t="s">
        <v>14</v>
      </c>
      <c r="C402" s="6026" t="s">
        <v>2285</v>
      </c>
      <c r="D402" s="6026" t="s">
        <v>2286</v>
      </c>
      <c r="E402" s="6026" t="s">
        <v>2287</v>
      </c>
      <c r="F402" s="6026" t="s">
        <v>2288</v>
      </c>
      <c r="G402" s="6026" t="s">
        <v>24</v>
      </c>
      <c r="H402" s="6026" t="s">
        <v>24</v>
      </c>
      <c r="I402" s="6026" t="s">
        <v>752</v>
      </c>
    </row>
    <row customHeight="1" ht="11.25">
      <c r="A403" s="6026" t="s">
        <v>2185</v>
      </c>
      <c r="B403" s="6026" t="s">
        <v>14</v>
      </c>
      <c r="C403" s="6026" t="s">
        <v>2289</v>
      </c>
      <c r="D403" s="6026" t="s">
        <v>2290</v>
      </c>
      <c r="E403" s="6026" t="s">
        <v>2291</v>
      </c>
      <c r="F403" s="6026" t="s">
        <v>2292</v>
      </c>
      <c r="G403" s="6026" t="s">
        <v>24</v>
      </c>
      <c r="H403" s="6026" t="s">
        <v>24</v>
      </c>
      <c r="I403" s="6026" t="s">
        <v>752</v>
      </c>
    </row>
    <row customHeight="1" ht="11.25">
      <c r="A404" s="6026" t="s">
        <v>2185</v>
      </c>
      <c r="B404" s="6026" t="s">
        <v>14</v>
      </c>
      <c r="C404" s="6026" t="s">
        <v>3081</v>
      </c>
      <c r="D404" s="6026" t="s">
        <v>3082</v>
      </c>
      <c r="E404" s="6026" t="s">
        <v>3083</v>
      </c>
      <c r="F404" s="6026" t="s">
        <v>2204</v>
      </c>
      <c r="G404" s="6026" t="s">
        <v>24</v>
      </c>
      <c r="H404" s="6026" t="s">
        <v>24</v>
      </c>
      <c r="I404" s="6026" t="s">
        <v>752</v>
      </c>
    </row>
    <row customHeight="1" ht="11.25">
      <c r="A405" s="6026" t="s">
        <v>2185</v>
      </c>
      <c r="B405" s="6026" t="s">
        <v>14</v>
      </c>
      <c r="C405" s="6026" t="s">
        <v>2299</v>
      </c>
      <c r="D405" s="6026" t="s">
        <v>2300</v>
      </c>
      <c r="E405" s="6026" t="s">
        <v>2301</v>
      </c>
      <c r="F405" s="6026" t="s">
        <v>2204</v>
      </c>
      <c r="G405" s="6026" t="s">
        <v>24</v>
      </c>
      <c r="H405" s="6026" t="s">
        <v>24</v>
      </c>
      <c r="I405" s="6026" t="s">
        <v>752</v>
      </c>
    </row>
    <row customHeight="1" ht="11.25">
      <c r="A406" s="6026" t="s">
        <v>2185</v>
      </c>
      <c r="B406" s="6026" t="s">
        <v>14</v>
      </c>
      <c r="C406" s="6026" t="s">
        <v>2302</v>
      </c>
      <c r="D406" s="6026" t="s">
        <v>2303</v>
      </c>
      <c r="E406" s="6026" t="s">
        <v>2304</v>
      </c>
      <c r="F406" s="6026" t="s">
        <v>2305</v>
      </c>
      <c r="G406" s="6026" t="s">
        <v>24</v>
      </c>
      <c r="H406" s="6026" t="s">
        <v>24</v>
      </c>
      <c r="I406" s="6026" t="s">
        <v>752</v>
      </c>
    </row>
    <row customHeight="1" ht="11.25">
      <c r="A407" s="6026" t="s">
        <v>2185</v>
      </c>
      <c r="B407" s="6026" t="s">
        <v>14</v>
      </c>
      <c r="C407" s="6026" t="s">
        <v>2309</v>
      </c>
      <c r="D407" s="6026" t="s">
        <v>2310</v>
      </c>
      <c r="E407" s="6026" t="s">
        <v>2283</v>
      </c>
      <c r="F407" s="6026" t="s">
        <v>2311</v>
      </c>
      <c r="G407" s="6026" t="s">
        <v>24</v>
      </c>
      <c r="H407" s="6026" t="s">
        <v>24</v>
      </c>
      <c r="I407" s="6026" t="s">
        <v>752</v>
      </c>
    </row>
    <row customHeight="1" ht="11.25">
      <c r="A408" s="6026" t="s">
        <v>2185</v>
      </c>
      <c r="B408" s="6026" t="s">
        <v>14</v>
      </c>
      <c r="C408" s="6026" t="s">
        <v>3084</v>
      </c>
      <c r="D408" s="6026" t="s">
        <v>3085</v>
      </c>
      <c r="E408" s="6026" t="s">
        <v>3086</v>
      </c>
      <c r="F408" s="6026" t="s">
        <v>2247</v>
      </c>
      <c r="G408" s="6026" t="s">
        <v>24</v>
      </c>
      <c r="H408" s="6026" t="s">
        <v>24</v>
      </c>
      <c r="I408" s="6026" t="s">
        <v>752</v>
      </c>
    </row>
    <row customHeight="1" ht="11.25">
      <c r="A409" s="6026" t="s">
        <v>2185</v>
      </c>
      <c r="B409" s="6026" t="s">
        <v>14</v>
      </c>
      <c r="C409" s="6026" t="s">
        <v>2321</v>
      </c>
      <c r="D409" s="6026" t="s">
        <v>2322</v>
      </c>
      <c r="E409" s="6026" t="s">
        <v>2323</v>
      </c>
      <c r="F409" s="6026" t="s">
        <v>559</v>
      </c>
      <c r="G409" s="6026" t="s">
        <v>24</v>
      </c>
      <c r="H409" s="6026" t="s">
        <v>24</v>
      </c>
      <c r="I409" s="6026" t="s">
        <v>752</v>
      </c>
    </row>
    <row customHeight="1" ht="11.25">
      <c r="A410" s="6026" t="s">
        <v>2185</v>
      </c>
      <c r="B410" s="6026" t="s">
        <v>14</v>
      </c>
      <c r="C410" s="6026" t="s">
        <v>3087</v>
      </c>
      <c r="D410" s="6026" t="s">
        <v>3088</v>
      </c>
      <c r="E410" s="6026" t="s">
        <v>3089</v>
      </c>
      <c r="F410" s="6026" t="s">
        <v>559</v>
      </c>
      <c r="G410" s="6026" t="s">
        <v>24</v>
      </c>
      <c r="H410" s="6026" t="s">
        <v>24</v>
      </c>
      <c r="I410" s="6026" t="s">
        <v>752</v>
      </c>
    </row>
    <row customHeight="1" ht="11.25">
      <c r="A411" s="6026" t="s">
        <v>2185</v>
      </c>
      <c r="B411" s="6026" t="s">
        <v>14</v>
      </c>
      <c r="C411" s="6026" t="s">
        <v>3090</v>
      </c>
      <c r="D411" s="6026" t="s">
        <v>3091</v>
      </c>
      <c r="E411" s="6026" t="s">
        <v>3092</v>
      </c>
      <c r="F411" s="6026" t="s">
        <v>559</v>
      </c>
      <c r="G411" s="6026" t="s">
        <v>24</v>
      </c>
      <c r="H411" s="6026" t="s">
        <v>24</v>
      </c>
      <c r="I411" s="6026" t="s">
        <v>752</v>
      </c>
    </row>
    <row customHeight="1" ht="11.25">
      <c r="A412" s="6026" t="s">
        <v>2185</v>
      </c>
      <c r="B412" s="6026" t="s">
        <v>14</v>
      </c>
      <c r="C412" s="6026" t="s">
        <v>3093</v>
      </c>
      <c r="D412" s="6026" t="s">
        <v>3094</v>
      </c>
      <c r="E412" s="6026" t="s">
        <v>3095</v>
      </c>
      <c r="F412" s="6026" t="s">
        <v>559</v>
      </c>
      <c r="G412" s="6026" t="s">
        <v>24</v>
      </c>
      <c r="H412" s="6026" t="s">
        <v>24</v>
      </c>
      <c r="I412" s="6026" t="s">
        <v>752</v>
      </c>
    </row>
    <row customHeight="1" ht="11.25">
      <c r="A413" s="6026" t="s">
        <v>2185</v>
      </c>
      <c r="B413" s="6026" t="s">
        <v>14</v>
      </c>
      <c r="C413" s="6026" t="s">
        <v>2330</v>
      </c>
      <c r="D413" s="6026" t="s">
        <v>2331</v>
      </c>
      <c r="E413" s="6026" t="s">
        <v>2332</v>
      </c>
      <c r="F413" s="6026" t="s">
        <v>559</v>
      </c>
      <c r="G413" s="6026" t="s">
        <v>24</v>
      </c>
      <c r="H413" s="6026" t="s">
        <v>24</v>
      </c>
      <c r="I413" s="6026" t="s">
        <v>752</v>
      </c>
    </row>
    <row customHeight="1" ht="11.25">
      <c r="A414" s="6026" t="s">
        <v>2185</v>
      </c>
      <c r="B414" s="6026" t="s">
        <v>14</v>
      </c>
      <c r="C414" s="6026" t="s">
        <v>2333</v>
      </c>
      <c r="D414" s="6026" t="s">
        <v>2334</v>
      </c>
      <c r="E414" s="6026" t="s">
        <v>2335</v>
      </c>
      <c r="F414" s="6026" t="s">
        <v>559</v>
      </c>
      <c r="G414" s="6026" t="s">
        <v>24</v>
      </c>
      <c r="H414" s="6026" t="s">
        <v>24</v>
      </c>
      <c r="I414" s="6026" t="s">
        <v>752</v>
      </c>
    </row>
    <row customHeight="1" ht="11.25">
      <c r="A415" s="6026" t="s">
        <v>2185</v>
      </c>
      <c r="B415" s="6026" t="s">
        <v>14</v>
      </c>
      <c r="C415" s="6026" t="s">
        <v>3096</v>
      </c>
      <c r="D415" s="6026" t="s">
        <v>3097</v>
      </c>
      <c r="E415" s="6026" t="s">
        <v>3098</v>
      </c>
      <c r="F415" s="6026" t="s">
        <v>559</v>
      </c>
      <c r="G415" s="6026" t="s">
        <v>24</v>
      </c>
      <c r="H415" s="6026" t="s">
        <v>24</v>
      </c>
      <c r="I415" s="6026" t="s">
        <v>752</v>
      </c>
    </row>
    <row customHeight="1" ht="11.25">
      <c r="A416" s="6026" t="s">
        <v>2185</v>
      </c>
      <c r="B416" s="6026" t="s">
        <v>14</v>
      </c>
      <c r="C416" s="6026" t="s">
        <v>3099</v>
      </c>
      <c r="D416" s="6026" t="s">
        <v>3100</v>
      </c>
      <c r="E416" s="6026" t="s">
        <v>3101</v>
      </c>
      <c r="F416" s="6026" t="s">
        <v>2342</v>
      </c>
      <c r="G416" s="6026" t="s">
        <v>24</v>
      </c>
      <c r="H416" s="6026" t="s">
        <v>24</v>
      </c>
      <c r="I416" s="6026" t="s">
        <v>752</v>
      </c>
    </row>
    <row customHeight="1" ht="11.25">
      <c r="A417" s="6026" t="s">
        <v>2185</v>
      </c>
      <c r="B417" s="6026" t="s">
        <v>14</v>
      </c>
      <c r="C417" s="6026" t="s">
        <v>3102</v>
      </c>
      <c r="D417" s="6026" t="s">
        <v>3103</v>
      </c>
      <c r="E417" s="6026" t="s">
        <v>3104</v>
      </c>
      <c r="F417" s="6026" t="s">
        <v>3105</v>
      </c>
      <c r="G417" s="6026" t="s">
        <v>24</v>
      </c>
      <c r="H417" s="6026" t="s">
        <v>24</v>
      </c>
      <c r="I417" s="6026" t="s">
        <v>752</v>
      </c>
    </row>
    <row customHeight="1" ht="11.25">
      <c r="A418" s="6026" t="s">
        <v>2185</v>
      </c>
      <c r="B418" s="6026" t="s">
        <v>14</v>
      </c>
      <c r="C418" s="6026" t="s">
        <v>3106</v>
      </c>
      <c r="D418" s="6026" t="s">
        <v>3107</v>
      </c>
      <c r="E418" s="6026" t="s">
        <v>3108</v>
      </c>
      <c r="F418" s="6026" t="s">
        <v>2247</v>
      </c>
      <c r="G418" s="6026" t="s">
        <v>24</v>
      </c>
      <c r="H418" s="6026" t="s">
        <v>24</v>
      </c>
      <c r="I418" s="6026" t="s">
        <v>752</v>
      </c>
    </row>
    <row customHeight="1" ht="11.25">
      <c r="A419" s="6026" t="s">
        <v>2185</v>
      </c>
      <c r="B419" s="6026" t="s">
        <v>14</v>
      </c>
      <c r="C419" s="6026" t="s">
        <v>3109</v>
      </c>
      <c r="D419" s="6026" t="s">
        <v>3110</v>
      </c>
      <c r="E419" s="6026" t="s">
        <v>3111</v>
      </c>
      <c r="F419" s="6026" t="s">
        <v>2288</v>
      </c>
      <c r="G419" s="6026" t="s">
        <v>24</v>
      </c>
      <c r="H419" s="6026" t="s">
        <v>3112</v>
      </c>
      <c r="I419" s="6026" t="s">
        <v>752</v>
      </c>
    </row>
    <row customHeight="1" ht="11.25">
      <c r="A420" s="6026" t="s">
        <v>2185</v>
      </c>
      <c r="B420" s="6026" t="s">
        <v>14</v>
      </c>
      <c r="C420" s="6026" t="s">
        <v>3113</v>
      </c>
      <c r="D420" s="6026" t="s">
        <v>3114</v>
      </c>
      <c r="E420" s="6026" t="s">
        <v>3115</v>
      </c>
      <c r="F420" s="6026" t="s">
        <v>2288</v>
      </c>
      <c r="G420" s="6026" t="s">
        <v>24</v>
      </c>
      <c r="H420" s="6026" t="s">
        <v>24</v>
      </c>
      <c r="I420" s="6026" t="s">
        <v>752</v>
      </c>
    </row>
    <row customHeight="1" ht="11.25">
      <c r="A421" s="6026" t="s">
        <v>2185</v>
      </c>
      <c r="B421" s="6026" t="s">
        <v>14</v>
      </c>
      <c r="C421" s="6026" t="s">
        <v>24</v>
      </c>
      <c r="D421" s="6026" t="s">
        <v>2350</v>
      </c>
      <c r="E421" s="6026" t="s">
        <v>2351</v>
      </c>
      <c r="F421" s="6026" t="s">
        <v>2204</v>
      </c>
      <c r="G421" s="6026" t="s">
        <v>24</v>
      </c>
      <c r="H421" s="6026" t="s">
        <v>24</v>
      </c>
      <c r="I421" s="6026" t="s">
        <v>752</v>
      </c>
    </row>
    <row customHeight="1" ht="11.25">
      <c r="A422" s="6026" t="s">
        <v>2185</v>
      </c>
      <c r="B422" s="6026" t="s">
        <v>14</v>
      </c>
      <c r="C422" s="6026" t="s">
        <v>2352</v>
      </c>
      <c r="D422" s="6026" t="s">
        <v>2353</v>
      </c>
      <c r="E422" s="6026" t="s">
        <v>2354</v>
      </c>
      <c r="F422" s="6026" t="s">
        <v>2292</v>
      </c>
      <c r="G422" s="6026" t="s">
        <v>24</v>
      </c>
      <c r="H422" s="6026" t="s">
        <v>24</v>
      </c>
      <c r="I422" s="6026" t="s">
        <v>752</v>
      </c>
    </row>
    <row customHeight="1" ht="11.25">
      <c r="A423" s="6026" t="s">
        <v>2185</v>
      </c>
      <c r="B423" s="6026" t="s">
        <v>14</v>
      </c>
      <c r="C423" s="6026" t="s">
        <v>3116</v>
      </c>
      <c r="D423" s="6026" t="s">
        <v>3117</v>
      </c>
      <c r="E423" s="6026" t="s">
        <v>3118</v>
      </c>
      <c r="F423" s="6026" t="s">
        <v>2380</v>
      </c>
      <c r="G423" s="6026" t="s">
        <v>24</v>
      </c>
      <c r="H423" s="6026" t="s">
        <v>24</v>
      </c>
      <c r="I423" s="6026" t="s">
        <v>752</v>
      </c>
    </row>
    <row customHeight="1" ht="11.25">
      <c r="A424" s="6026" t="s">
        <v>2185</v>
      </c>
      <c r="B424" s="6026" t="s">
        <v>14</v>
      </c>
      <c r="C424" s="6026" t="s">
        <v>3119</v>
      </c>
      <c r="D424" s="6026" t="s">
        <v>3120</v>
      </c>
      <c r="E424" s="6026" t="s">
        <v>3121</v>
      </c>
      <c r="F424" s="6026" t="s">
        <v>2380</v>
      </c>
      <c r="G424" s="6026" t="s">
        <v>24</v>
      </c>
      <c r="H424" s="6026" t="s">
        <v>24</v>
      </c>
      <c r="I424" s="6026" t="s">
        <v>752</v>
      </c>
    </row>
    <row customHeight="1" ht="11.25">
      <c r="A425" s="6026" t="s">
        <v>2185</v>
      </c>
      <c r="B425" s="6026" t="s">
        <v>14</v>
      </c>
      <c r="C425" s="6026" t="s">
        <v>2355</v>
      </c>
      <c r="D425" s="6026" t="s">
        <v>2356</v>
      </c>
      <c r="E425" s="6026" t="s">
        <v>2357</v>
      </c>
      <c r="F425" s="6026" t="s">
        <v>2292</v>
      </c>
      <c r="G425" s="6026" t="s">
        <v>2358</v>
      </c>
      <c r="H425" s="6026" t="s">
        <v>24</v>
      </c>
      <c r="I425" s="6026" t="s">
        <v>752</v>
      </c>
    </row>
    <row customHeight="1" ht="11.25">
      <c r="A426" s="6026" t="s">
        <v>2185</v>
      </c>
      <c r="B426" s="6026" t="s">
        <v>14</v>
      </c>
      <c r="C426" s="6026" t="s">
        <v>3122</v>
      </c>
      <c r="D426" s="6026" t="s">
        <v>3123</v>
      </c>
      <c r="E426" s="6026" t="s">
        <v>3124</v>
      </c>
      <c r="F426" s="6026" t="s">
        <v>2288</v>
      </c>
      <c r="G426" s="6026" t="s">
        <v>24</v>
      </c>
      <c r="H426" s="6026" t="s">
        <v>24</v>
      </c>
      <c r="I426" s="6026" t="s">
        <v>752</v>
      </c>
    </row>
    <row customHeight="1" ht="11.25">
      <c r="A427" s="6026" t="s">
        <v>2185</v>
      </c>
      <c r="B427" s="6026" t="s">
        <v>14</v>
      </c>
      <c r="C427" s="6026" t="s">
        <v>2362</v>
      </c>
      <c r="D427" s="6026" t="s">
        <v>2363</v>
      </c>
      <c r="E427" s="6026" t="s">
        <v>2364</v>
      </c>
      <c r="F427" s="6026" t="s">
        <v>2365</v>
      </c>
      <c r="G427" s="6026" t="s">
        <v>24</v>
      </c>
      <c r="H427" s="6026" t="s">
        <v>24</v>
      </c>
      <c r="I427" s="6026" t="s">
        <v>752</v>
      </c>
    </row>
    <row customHeight="1" ht="11.25">
      <c r="A428" s="6026" t="s">
        <v>2185</v>
      </c>
      <c r="B428" s="6026" t="s">
        <v>14</v>
      </c>
      <c r="C428" s="6026" t="s">
        <v>3125</v>
      </c>
      <c r="D428" s="6026" t="s">
        <v>3126</v>
      </c>
      <c r="E428" s="6026" t="s">
        <v>3127</v>
      </c>
      <c r="F428" s="6026" t="s">
        <v>2247</v>
      </c>
      <c r="G428" s="6026" t="s">
        <v>24</v>
      </c>
      <c r="H428" s="6026" t="s">
        <v>24</v>
      </c>
      <c r="I428" s="6026" t="s">
        <v>752</v>
      </c>
    </row>
    <row customHeight="1" ht="11.25">
      <c r="A429" s="6026" t="s">
        <v>2185</v>
      </c>
      <c r="B429" s="6026" t="s">
        <v>14</v>
      </c>
      <c r="C429" s="6026" t="s">
        <v>3128</v>
      </c>
      <c r="D429" s="6026" t="s">
        <v>3129</v>
      </c>
      <c r="E429" s="6026" t="s">
        <v>3130</v>
      </c>
      <c r="F429" s="6026" t="s">
        <v>2292</v>
      </c>
      <c r="G429" s="6026" t="s">
        <v>3131</v>
      </c>
      <c r="H429" s="6026" t="s">
        <v>24</v>
      </c>
      <c r="I429" s="6026" t="s">
        <v>752</v>
      </c>
    </row>
    <row customHeight="1" ht="11.25">
      <c r="A430" s="6026" t="s">
        <v>2185</v>
      </c>
      <c r="B430" s="6026" t="s">
        <v>14</v>
      </c>
      <c r="C430" s="6026" t="s">
        <v>2371</v>
      </c>
      <c r="D430" s="6026" t="s">
        <v>2372</v>
      </c>
      <c r="E430" s="6026" t="s">
        <v>2373</v>
      </c>
      <c r="F430" s="6026" t="s">
        <v>2342</v>
      </c>
      <c r="G430" s="6026" t="s">
        <v>24</v>
      </c>
      <c r="H430" s="6026" t="s">
        <v>24</v>
      </c>
      <c r="I430" s="6026" t="s">
        <v>752</v>
      </c>
    </row>
    <row customHeight="1" ht="11.25">
      <c r="A431" s="6026" t="s">
        <v>2185</v>
      </c>
      <c r="B431" s="6026" t="s">
        <v>14</v>
      </c>
      <c r="C431" s="6026" t="s">
        <v>2374</v>
      </c>
      <c r="D431" s="6026" t="s">
        <v>2375</v>
      </c>
      <c r="E431" s="6026" t="s">
        <v>2376</v>
      </c>
      <c r="F431" s="6026" t="s">
        <v>2288</v>
      </c>
      <c r="G431" s="6026" t="s">
        <v>24</v>
      </c>
      <c r="H431" s="6026" t="s">
        <v>24</v>
      </c>
      <c r="I431" s="6026" t="s">
        <v>752</v>
      </c>
    </row>
    <row customHeight="1" ht="11.25">
      <c r="A432" s="6026" t="s">
        <v>2185</v>
      </c>
      <c r="B432" s="6026" t="s">
        <v>14</v>
      </c>
      <c r="C432" s="6026" t="s">
        <v>3132</v>
      </c>
      <c r="D432" s="6026" t="s">
        <v>3133</v>
      </c>
      <c r="E432" s="6026" t="s">
        <v>3134</v>
      </c>
      <c r="F432" s="6026" t="s">
        <v>2216</v>
      </c>
      <c r="G432" s="6026" t="s">
        <v>24</v>
      </c>
      <c r="H432" s="6026" t="s">
        <v>24</v>
      </c>
      <c r="I432" s="6026" t="s">
        <v>752</v>
      </c>
    </row>
    <row customHeight="1" ht="11.25">
      <c r="A433" s="6026" t="s">
        <v>2185</v>
      </c>
      <c r="B433" s="6026" t="s">
        <v>14</v>
      </c>
      <c r="C433" s="6026" t="s">
        <v>2387</v>
      </c>
      <c r="D433" s="6026" t="s">
        <v>2388</v>
      </c>
      <c r="E433" s="6026" t="s">
        <v>2389</v>
      </c>
      <c r="F433" s="6026" t="s">
        <v>2247</v>
      </c>
      <c r="G433" s="6026" t="s">
        <v>24</v>
      </c>
      <c r="H433" s="6026" t="s">
        <v>24</v>
      </c>
      <c r="I433" s="6026" t="s">
        <v>752</v>
      </c>
    </row>
    <row customHeight="1" ht="11.25">
      <c r="A434" s="6026" t="s">
        <v>2185</v>
      </c>
      <c r="B434" s="6026" t="s">
        <v>14</v>
      </c>
      <c r="C434" s="6026" t="s">
        <v>2393</v>
      </c>
      <c r="D434" s="6026" t="s">
        <v>2394</v>
      </c>
      <c r="E434" s="6026" t="s">
        <v>2395</v>
      </c>
      <c r="F434" s="6026" t="s">
        <v>2342</v>
      </c>
      <c r="G434" s="6026" t="s">
        <v>24</v>
      </c>
      <c r="H434" s="6026" t="s">
        <v>24</v>
      </c>
      <c r="I434" s="6026" t="s">
        <v>752</v>
      </c>
    </row>
    <row customHeight="1" ht="11.25">
      <c r="A435" s="6026" t="s">
        <v>2185</v>
      </c>
      <c r="B435" s="6026" t="s">
        <v>14</v>
      </c>
      <c r="C435" s="6026" t="s">
        <v>2396</v>
      </c>
      <c r="D435" s="6026" t="s">
        <v>2397</v>
      </c>
      <c r="E435" s="6026" t="s">
        <v>2398</v>
      </c>
      <c r="F435" s="6026" t="s">
        <v>2288</v>
      </c>
      <c r="G435" s="6026" t="s">
        <v>24</v>
      </c>
      <c r="H435" s="6026" t="s">
        <v>24</v>
      </c>
      <c r="I435" s="6026" t="s">
        <v>752</v>
      </c>
    </row>
    <row customHeight="1" ht="11.25">
      <c r="A436" s="6026" t="s">
        <v>2185</v>
      </c>
      <c r="B436" s="6026" t="s">
        <v>14</v>
      </c>
      <c r="C436" s="6026" t="s">
        <v>2402</v>
      </c>
      <c r="D436" s="6026" t="s">
        <v>2403</v>
      </c>
      <c r="E436" s="6026" t="s">
        <v>2404</v>
      </c>
      <c r="F436" s="6026" t="s">
        <v>2292</v>
      </c>
      <c r="G436" s="6026" t="s">
        <v>24</v>
      </c>
      <c r="H436" s="6026" t="s">
        <v>24</v>
      </c>
      <c r="I436" s="6026" t="s">
        <v>752</v>
      </c>
    </row>
    <row customHeight="1" ht="11.25">
      <c r="A437" s="6026" t="s">
        <v>2185</v>
      </c>
      <c r="B437" s="6026" t="s">
        <v>14</v>
      </c>
      <c r="C437" s="6026" t="s">
        <v>2405</v>
      </c>
      <c r="D437" s="6026" t="s">
        <v>2406</v>
      </c>
      <c r="E437" s="6026" t="s">
        <v>2407</v>
      </c>
      <c r="F437" s="6026" t="s">
        <v>2342</v>
      </c>
      <c r="G437" s="6026" t="s">
        <v>24</v>
      </c>
      <c r="H437" s="6026" t="s">
        <v>24</v>
      </c>
      <c r="I437" s="6026" t="s">
        <v>752</v>
      </c>
    </row>
    <row customHeight="1" ht="11.25">
      <c r="A438" s="6026" t="s">
        <v>2185</v>
      </c>
      <c r="B438" s="6026" t="s">
        <v>14</v>
      </c>
      <c r="C438" s="6026" t="s">
        <v>2408</v>
      </c>
      <c r="D438" s="6026" t="s">
        <v>2409</v>
      </c>
      <c r="E438" s="6026" t="s">
        <v>2410</v>
      </c>
      <c r="F438" s="6026" t="s">
        <v>2216</v>
      </c>
      <c r="G438" s="6026" t="s">
        <v>24</v>
      </c>
      <c r="H438" s="6026" t="s">
        <v>24</v>
      </c>
      <c r="I438" s="6026" t="s">
        <v>752</v>
      </c>
    </row>
    <row customHeight="1" ht="11.25">
      <c r="A439" s="6026" t="s">
        <v>2185</v>
      </c>
      <c r="B439" s="6026" t="s">
        <v>14</v>
      </c>
      <c r="C439" s="6026" t="s">
        <v>2411</v>
      </c>
      <c r="D439" s="6026" t="s">
        <v>2412</v>
      </c>
      <c r="E439" s="6026" t="s">
        <v>2413</v>
      </c>
      <c r="F439" s="6026" t="s">
        <v>2247</v>
      </c>
      <c r="G439" s="6026" t="s">
        <v>24</v>
      </c>
      <c r="H439" s="6026" t="s">
        <v>24</v>
      </c>
      <c r="I439" s="6026" t="s">
        <v>752</v>
      </c>
    </row>
    <row customHeight="1" ht="11.25">
      <c r="A440" s="6026" t="s">
        <v>2185</v>
      </c>
      <c r="B440" s="6026" t="s">
        <v>14</v>
      </c>
      <c r="C440" s="6026" t="s">
        <v>3135</v>
      </c>
      <c r="D440" s="6026" t="s">
        <v>3136</v>
      </c>
      <c r="E440" s="6026" t="s">
        <v>3137</v>
      </c>
      <c r="F440" s="6026" t="s">
        <v>2288</v>
      </c>
      <c r="G440" s="6026" t="s">
        <v>24</v>
      </c>
      <c r="H440" s="6026" t="s">
        <v>24</v>
      </c>
      <c r="I440" s="6026" t="s">
        <v>752</v>
      </c>
    </row>
    <row customHeight="1" ht="11.25">
      <c r="A441" s="6026" t="s">
        <v>2185</v>
      </c>
      <c r="B441" s="6026" t="s">
        <v>14</v>
      </c>
      <c r="C441" s="6026" t="s">
        <v>2414</v>
      </c>
      <c r="D441" s="6026" t="s">
        <v>2415</v>
      </c>
      <c r="E441" s="6026" t="s">
        <v>2416</v>
      </c>
      <c r="F441" s="6026" t="s">
        <v>2288</v>
      </c>
      <c r="G441" s="6026" t="s">
        <v>24</v>
      </c>
      <c r="H441" s="6026" t="s">
        <v>24</v>
      </c>
      <c r="I441" s="6026" t="s">
        <v>752</v>
      </c>
    </row>
    <row customHeight="1" ht="11.25">
      <c r="A442" s="6026" t="s">
        <v>2185</v>
      </c>
      <c r="B442" s="6026" t="s">
        <v>14</v>
      </c>
      <c r="C442" s="6026" t="s">
        <v>2417</v>
      </c>
      <c r="D442" s="6026" t="s">
        <v>2418</v>
      </c>
      <c r="E442" s="6026" t="s">
        <v>2419</v>
      </c>
      <c r="F442" s="6026" t="s">
        <v>2208</v>
      </c>
      <c r="G442" s="6026" t="s">
        <v>24</v>
      </c>
      <c r="H442" s="6026" t="s">
        <v>24</v>
      </c>
      <c r="I442" s="6026" t="s">
        <v>752</v>
      </c>
    </row>
    <row customHeight="1" ht="11.25">
      <c r="A443" s="6026" t="s">
        <v>2185</v>
      </c>
      <c r="B443" s="6026" t="s">
        <v>14</v>
      </c>
      <c r="C443" s="6026" t="s">
        <v>2430</v>
      </c>
      <c r="D443" s="6026" t="s">
        <v>2431</v>
      </c>
      <c r="E443" s="6026" t="s">
        <v>2432</v>
      </c>
      <c r="F443" s="6026" t="s">
        <v>2380</v>
      </c>
      <c r="G443" s="6026" t="s">
        <v>2433</v>
      </c>
      <c r="H443" s="6026" t="s">
        <v>24</v>
      </c>
      <c r="I443" s="6026" t="s">
        <v>752</v>
      </c>
    </row>
    <row customHeight="1" ht="11.25">
      <c r="A444" s="6026" t="s">
        <v>2185</v>
      </c>
      <c r="B444" s="6026" t="s">
        <v>14</v>
      </c>
      <c r="C444" s="6026" t="s">
        <v>3138</v>
      </c>
      <c r="D444" s="6026" t="s">
        <v>3139</v>
      </c>
      <c r="E444" s="6026" t="s">
        <v>3140</v>
      </c>
      <c r="F444" s="6026" t="s">
        <v>2288</v>
      </c>
      <c r="G444" s="6026" t="s">
        <v>24</v>
      </c>
      <c r="H444" s="6026" t="s">
        <v>24</v>
      </c>
      <c r="I444" s="6026" t="s">
        <v>752</v>
      </c>
    </row>
    <row customHeight="1" ht="11.25">
      <c r="A445" s="6026" t="s">
        <v>2185</v>
      </c>
      <c r="B445" s="6026" t="s">
        <v>14</v>
      </c>
      <c r="C445" s="6026" t="s">
        <v>3141</v>
      </c>
      <c r="D445" s="6026" t="s">
        <v>3142</v>
      </c>
      <c r="E445" s="6026" t="s">
        <v>3143</v>
      </c>
      <c r="F445" s="6026" t="s">
        <v>2380</v>
      </c>
      <c r="G445" s="6026" t="s">
        <v>24</v>
      </c>
      <c r="H445" s="6026" t="s">
        <v>24</v>
      </c>
      <c r="I445" s="6026" t="s">
        <v>752</v>
      </c>
    </row>
    <row customHeight="1" ht="11.25">
      <c r="A446" s="6026" t="s">
        <v>2185</v>
      </c>
      <c r="B446" s="6026" t="s">
        <v>14</v>
      </c>
      <c r="C446" s="6026" t="s">
        <v>3144</v>
      </c>
      <c r="D446" s="6026" t="s">
        <v>3145</v>
      </c>
      <c r="E446" s="6026" t="s">
        <v>3146</v>
      </c>
      <c r="F446" s="6026" t="s">
        <v>3147</v>
      </c>
      <c r="G446" s="6026" t="s">
        <v>24</v>
      </c>
      <c r="H446" s="6026" t="s">
        <v>24</v>
      </c>
      <c r="I446" s="6026" t="s">
        <v>752</v>
      </c>
    </row>
    <row customHeight="1" ht="11.25">
      <c r="A447" s="6026" t="s">
        <v>2185</v>
      </c>
      <c r="B447" s="6026" t="s">
        <v>14</v>
      </c>
      <c r="C447" s="6026" t="s">
        <v>2444</v>
      </c>
      <c r="D447" s="6026" t="s">
        <v>2445</v>
      </c>
      <c r="E447" s="6026" t="s">
        <v>2446</v>
      </c>
      <c r="F447" s="6026" t="s">
        <v>2380</v>
      </c>
      <c r="G447" s="6026" t="s">
        <v>24</v>
      </c>
      <c r="H447" s="6026" t="s">
        <v>24</v>
      </c>
      <c r="I447" s="6026" t="s">
        <v>752</v>
      </c>
    </row>
    <row customHeight="1" ht="11.25">
      <c r="A448" s="6026" t="s">
        <v>2185</v>
      </c>
      <c r="B448" s="6026" t="s">
        <v>14</v>
      </c>
      <c r="C448" s="6026" t="s">
        <v>3148</v>
      </c>
      <c r="D448" s="6026" t="s">
        <v>3149</v>
      </c>
      <c r="E448" s="6026" t="s">
        <v>3150</v>
      </c>
      <c r="F448" s="6026" t="s">
        <v>2288</v>
      </c>
      <c r="G448" s="6026" t="s">
        <v>24</v>
      </c>
      <c r="H448" s="6026" t="s">
        <v>24</v>
      </c>
      <c r="I448" s="6026" t="s">
        <v>752</v>
      </c>
    </row>
    <row customHeight="1" ht="11.25">
      <c r="A449" s="6026" t="s">
        <v>2185</v>
      </c>
      <c r="B449" s="6026" t="s">
        <v>14</v>
      </c>
      <c r="C449" s="6026" t="s">
        <v>2456</v>
      </c>
      <c r="D449" s="6026" t="s">
        <v>2457</v>
      </c>
      <c r="E449" s="6026" t="s">
        <v>2458</v>
      </c>
      <c r="F449" s="6026" t="s">
        <v>2292</v>
      </c>
      <c r="G449" s="6026" t="s">
        <v>24</v>
      </c>
      <c r="H449" s="6026" t="s">
        <v>24</v>
      </c>
      <c r="I449" s="6026" t="s">
        <v>752</v>
      </c>
    </row>
    <row customHeight="1" ht="11.25">
      <c r="A450" s="6026" t="s">
        <v>2185</v>
      </c>
      <c r="B450" s="6026" t="s">
        <v>14</v>
      </c>
      <c r="C450" s="6026" t="s">
        <v>2472</v>
      </c>
      <c r="D450" s="6026" t="s">
        <v>2473</v>
      </c>
      <c r="E450" s="6026" t="s">
        <v>2474</v>
      </c>
      <c r="F450" s="6026" t="s">
        <v>2380</v>
      </c>
      <c r="G450" s="6026" t="s">
        <v>24</v>
      </c>
      <c r="H450" s="6026" t="s">
        <v>24</v>
      </c>
      <c r="I450" s="6026" t="s">
        <v>752</v>
      </c>
    </row>
    <row customHeight="1" ht="11.25">
      <c r="A451" s="6026" t="s">
        <v>2185</v>
      </c>
      <c r="B451" s="6026" t="s">
        <v>14</v>
      </c>
      <c r="C451" s="6026" t="s">
        <v>3151</v>
      </c>
      <c r="D451" s="6026" t="s">
        <v>3152</v>
      </c>
      <c r="E451" s="6026" t="s">
        <v>3153</v>
      </c>
      <c r="F451" s="6026" t="s">
        <v>2189</v>
      </c>
      <c r="G451" s="6026" t="s">
        <v>24</v>
      </c>
      <c r="H451" s="6026" t="s">
        <v>24</v>
      </c>
      <c r="I451" s="6026" t="s">
        <v>752</v>
      </c>
    </row>
    <row customHeight="1" ht="11.25">
      <c r="A452" s="6026" t="s">
        <v>2185</v>
      </c>
      <c r="B452" s="6026" t="s">
        <v>14</v>
      </c>
      <c r="C452" s="6026" t="s">
        <v>2475</v>
      </c>
      <c r="D452" s="6026" t="s">
        <v>2476</v>
      </c>
      <c r="E452" s="6026" t="s">
        <v>2477</v>
      </c>
      <c r="F452" s="6026" t="s">
        <v>2208</v>
      </c>
      <c r="G452" s="6026" t="s">
        <v>24</v>
      </c>
      <c r="H452" s="6026" t="s">
        <v>24</v>
      </c>
      <c r="I452" s="6026" t="s">
        <v>752</v>
      </c>
    </row>
    <row customHeight="1" ht="11.25">
      <c r="A453" s="6026" t="s">
        <v>2185</v>
      </c>
      <c r="B453" s="6026" t="s">
        <v>14</v>
      </c>
      <c r="C453" s="6026" t="s">
        <v>3154</v>
      </c>
      <c r="D453" s="6026" t="s">
        <v>3155</v>
      </c>
      <c r="E453" s="6026" t="s">
        <v>3156</v>
      </c>
      <c r="F453" s="6026" t="s">
        <v>2247</v>
      </c>
      <c r="G453" s="6026" t="s">
        <v>24</v>
      </c>
      <c r="H453" s="6026" t="s">
        <v>24</v>
      </c>
      <c r="I453" s="6026" t="s">
        <v>752</v>
      </c>
    </row>
    <row customHeight="1" ht="11.25">
      <c r="A454" s="6026" t="s">
        <v>2185</v>
      </c>
      <c r="B454" s="6026" t="s">
        <v>14</v>
      </c>
      <c r="C454" s="6026" t="s">
        <v>2481</v>
      </c>
      <c r="D454" s="6026" t="s">
        <v>2482</v>
      </c>
      <c r="E454" s="6026" t="s">
        <v>2483</v>
      </c>
      <c r="F454" s="6026" t="s">
        <v>2208</v>
      </c>
      <c r="G454" s="6026" t="s">
        <v>24</v>
      </c>
      <c r="H454" s="6026" t="s">
        <v>24</v>
      </c>
      <c r="I454" s="6026" t="s">
        <v>752</v>
      </c>
    </row>
    <row customHeight="1" ht="11.25">
      <c r="A455" s="6026" t="s">
        <v>2185</v>
      </c>
      <c r="B455" s="6026" t="s">
        <v>14</v>
      </c>
      <c r="C455" s="6026" t="s">
        <v>2484</v>
      </c>
      <c r="D455" s="6026" t="s">
        <v>2485</v>
      </c>
      <c r="E455" s="6026" t="s">
        <v>2486</v>
      </c>
      <c r="F455" s="6026" t="s">
        <v>2342</v>
      </c>
      <c r="G455" s="6026" t="s">
        <v>24</v>
      </c>
      <c r="H455" s="6026" t="s">
        <v>24</v>
      </c>
      <c r="I455" s="6026" t="s">
        <v>752</v>
      </c>
    </row>
    <row customHeight="1" ht="11.25">
      <c r="A456" s="6026" t="s">
        <v>2185</v>
      </c>
      <c r="B456" s="6026" t="s">
        <v>14</v>
      </c>
      <c r="C456" s="6026" t="s">
        <v>3157</v>
      </c>
      <c r="D456" s="6026" t="s">
        <v>3158</v>
      </c>
      <c r="E456" s="6026" t="s">
        <v>3159</v>
      </c>
      <c r="F456" s="6026" t="s">
        <v>2292</v>
      </c>
      <c r="G456" s="6026" t="s">
        <v>24</v>
      </c>
      <c r="H456" s="6026" t="s">
        <v>24</v>
      </c>
      <c r="I456" s="6026" t="s">
        <v>752</v>
      </c>
    </row>
    <row customHeight="1" ht="11.25">
      <c r="A457" s="6026" t="s">
        <v>2185</v>
      </c>
      <c r="B457" s="6026" t="s">
        <v>14</v>
      </c>
      <c r="C457" s="6026" t="s">
        <v>3160</v>
      </c>
      <c r="D457" s="6026" t="s">
        <v>3161</v>
      </c>
      <c r="E457" s="6026" t="s">
        <v>3162</v>
      </c>
      <c r="F457" s="6026" t="s">
        <v>3163</v>
      </c>
      <c r="G457" s="6026" t="s">
        <v>24</v>
      </c>
      <c r="H457" s="6026" t="s">
        <v>24</v>
      </c>
      <c r="I457" s="6026" t="s">
        <v>752</v>
      </c>
    </row>
    <row customHeight="1" ht="11.25">
      <c r="A458" s="6026" t="s">
        <v>2185</v>
      </c>
      <c r="B458" s="6026" t="s">
        <v>14</v>
      </c>
      <c r="C458" s="6026" t="s">
        <v>3164</v>
      </c>
      <c r="D458" s="6026" t="s">
        <v>3165</v>
      </c>
      <c r="E458" s="6026" t="s">
        <v>3166</v>
      </c>
      <c r="F458" s="6026" t="s">
        <v>3167</v>
      </c>
      <c r="G458" s="6026" t="s">
        <v>24</v>
      </c>
      <c r="H458" s="6026" t="s">
        <v>24</v>
      </c>
      <c r="I458" s="6026" t="s">
        <v>752</v>
      </c>
    </row>
    <row customHeight="1" ht="11.25">
      <c r="A459" s="6026" t="s">
        <v>2185</v>
      </c>
      <c r="B459" s="6026" t="s">
        <v>14</v>
      </c>
      <c r="C459" s="6026" t="s">
        <v>2496</v>
      </c>
      <c r="D459" s="6026" t="s">
        <v>2497</v>
      </c>
      <c r="E459" s="6026" t="s">
        <v>2498</v>
      </c>
      <c r="F459" s="6026" t="s">
        <v>2204</v>
      </c>
      <c r="G459" s="6026" t="s">
        <v>24</v>
      </c>
      <c r="H459" s="6026" t="s">
        <v>24</v>
      </c>
      <c r="I459" s="6026" t="s">
        <v>752</v>
      </c>
    </row>
    <row customHeight="1" ht="11.25">
      <c r="A460" s="6026" t="s">
        <v>2185</v>
      </c>
      <c r="B460" s="6026" t="s">
        <v>14</v>
      </c>
      <c r="C460" s="6026" t="s">
        <v>2499</v>
      </c>
      <c r="D460" s="6026" t="s">
        <v>2500</v>
      </c>
      <c r="E460" s="6026" t="s">
        <v>2501</v>
      </c>
      <c r="F460" s="6026" t="s">
        <v>2342</v>
      </c>
      <c r="G460" s="6026" t="s">
        <v>24</v>
      </c>
      <c r="H460" s="6026" t="s">
        <v>24</v>
      </c>
      <c r="I460" s="6026" t="s">
        <v>752</v>
      </c>
    </row>
    <row customHeight="1" ht="11.25">
      <c r="A461" s="6026" t="s">
        <v>2185</v>
      </c>
      <c r="B461" s="6026" t="s">
        <v>14</v>
      </c>
      <c r="C461" s="6026" t="s">
        <v>3168</v>
      </c>
      <c r="D461" s="6026" t="s">
        <v>3169</v>
      </c>
      <c r="E461" s="6026" t="s">
        <v>3170</v>
      </c>
      <c r="F461" s="6026" t="s">
        <v>2288</v>
      </c>
      <c r="G461" s="6026" t="s">
        <v>24</v>
      </c>
      <c r="H461" s="6026" t="s">
        <v>24</v>
      </c>
      <c r="I461" s="6026" t="s">
        <v>752</v>
      </c>
    </row>
    <row customHeight="1" ht="11.25">
      <c r="A462" s="6026" t="s">
        <v>2185</v>
      </c>
      <c r="B462" s="6026" t="s">
        <v>14</v>
      </c>
      <c r="C462" s="6026" t="s">
        <v>2502</v>
      </c>
      <c r="D462" s="6026" t="s">
        <v>2503</v>
      </c>
      <c r="E462" s="6026" t="s">
        <v>2504</v>
      </c>
      <c r="F462" s="6026" t="s">
        <v>2204</v>
      </c>
      <c r="G462" s="6026" t="s">
        <v>24</v>
      </c>
      <c r="H462" s="6026" t="s">
        <v>24</v>
      </c>
      <c r="I462" s="6026" t="s">
        <v>752</v>
      </c>
    </row>
    <row customHeight="1" ht="11.25">
      <c r="A463" s="6026" t="s">
        <v>2185</v>
      </c>
      <c r="B463" s="6026" t="s">
        <v>14</v>
      </c>
      <c r="C463" s="6026" t="s">
        <v>3171</v>
      </c>
      <c r="D463" s="6026" t="s">
        <v>2503</v>
      </c>
      <c r="E463" s="6026" t="s">
        <v>3172</v>
      </c>
      <c r="F463" s="6026" t="s">
        <v>2380</v>
      </c>
      <c r="G463" s="6026" t="s">
        <v>24</v>
      </c>
      <c r="H463" s="6026" t="s">
        <v>24</v>
      </c>
      <c r="I463" s="6026" t="s">
        <v>752</v>
      </c>
    </row>
    <row customHeight="1" ht="11.25">
      <c r="A464" s="6026" t="s">
        <v>2185</v>
      </c>
      <c r="B464" s="6026" t="s">
        <v>14</v>
      </c>
      <c r="C464" s="6026" t="s">
        <v>3173</v>
      </c>
      <c r="D464" s="6026" t="s">
        <v>3174</v>
      </c>
      <c r="E464" s="6026" t="s">
        <v>3175</v>
      </c>
      <c r="F464" s="6026" t="s">
        <v>2216</v>
      </c>
      <c r="G464" s="6026" t="s">
        <v>24</v>
      </c>
      <c r="H464" s="6026" t="s">
        <v>24</v>
      </c>
      <c r="I464" s="6026" t="s">
        <v>752</v>
      </c>
    </row>
    <row customHeight="1" ht="11.25">
      <c r="A465" s="6026" t="s">
        <v>2185</v>
      </c>
      <c r="B465" s="6026" t="s">
        <v>14</v>
      </c>
      <c r="C465" s="6026" t="s">
        <v>3176</v>
      </c>
      <c r="D465" s="6026" t="s">
        <v>3177</v>
      </c>
      <c r="E465" s="6026" t="s">
        <v>3178</v>
      </c>
      <c r="F465" s="6026" t="s">
        <v>2247</v>
      </c>
      <c r="G465" s="6026" t="s">
        <v>24</v>
      </c>
      <c r="H465" s="6026" t="s">
        <v>24</v>
      </c>
      <c r="I465" s="6026" t="s">
        <v>752</v>
      </c>
    </row>
    <row customHeight="1" ht="11.25">
      <c r="A466" s="6026" t="s">
        <v>2185</v>
      </c>
      <c r="B466" s="6026" t="s">
        <v>14</v>
      </c>
      <c r="C466" s="6026" t="s">
        <v>3179</v>
      </c>
      <c r="D466" s="6026" t="s">
        <v>3180</v>
      </c>
      <c r="E466" s="6026" t="s">
        <v>3178</v>
      </c>
      <c r="F466" s="6026" t="s">
        <v>3181</v>
      </c>
      <c r="G466" s="6026" t="s">
        <v>24</v>
      </c>
      <c r="H466" s="6026" t="s">
        <v>24</v>
      </c>
      <c r="I466" s="6026" t="s">
        <v>752</v>
      </c>
    </row>
    <row customHeight="1" ht="11.25">
      <c r="A467" s="6026" t="s">
        <v>2185</v>
      </c>
      <c r="B467" s="6026" t="s">
        <v>14</v>
      </c>
      <c r="C467" s="6026" t="s">
        <v>3182</v>
      </c>
      <c r="D467" s="6026" t="s">
        <v>3183</v>
      </c>
      <c r="E467" s="6026" t="s">
        <v>3184</v>
      </c>
      <c r="F467" s="6026" t="s">
        <v>2342</v>
      </c>
      <c r="G467" s="6026" t="s">
        <v>3185</v>
      </c>
      <c r="H467" s="6026" t="s">
        <v>3186</v>
      </c>
      <c r="I467" s="6026" t="s">
        <v>752</v>
      </c>
    </row>
    <row customHeight="1" ht="11.25">
      <c r="A468" s="6026" t="s">
        <v>2185</v>
      </c>
      <c r="B468" s="6026" t="s">
        <v>14</v>
      </c>
      <c r="C468" s="6026" t="s">
        <v>2505</v>
      </c>
      <c r="D468" s="6026" t="s">
        <v>2506</v>
      </c>
      <c r="E468" s="6026" t="s">
        <v>2507</v>
      </c>
      <c r="F468" s="6026" t="s">
        <v>2216</v>
      </c>
      <c r="G468" s="6026" t="s">
        <v>24</v>
      </c>
      <c r="H468" s="6026" t="s">
        <v>24</v>
      </c>
      <c r="I468" s="6026" t="s">
        <v>752</v>
      </c>
    </row>
    <row customHeight="1" ht="11.25">
      <c r="A469" s="6026" t="s">
        <v>2185</v>
      </c>
      <c r="B469" s="6026" t="s">
        <v>14</v>
      </c>
      <c r="C469" s="6026" t="s">
        <v>3187</v>
      </c>
      <c r="D469" s="6026" t="s">
        <v>3188</v>
      </c>
      <c r="E469" s="6026" t="s">
        <v>3189</v>
      </c>
      <c r="F469" s="6026" t="s">
        <v>2247</v>
      </c>
      <c r="G469" s="6026" t="s">
        <v>24</v>
      </c>
      <c r="H469" s="6026" t="s">
        <v>24</v>
      </c>
      <c r="I469" s="6026" t="s">
        <v>752</v>
      </c>
    </row>
    <row customHeight="1" ht="11.25">
      <c r="A470" s="6026" t="s">
        <v>2185</v>
      </c>
      <c r="B470" s="6026" t="s">
        <v>14</v>
      </c>
      <c r="C470" s="6026" t="s">
        <v>2521</v>
      </c>
      <c r="D470" s="6026" t="s">
        <v>2522</v>
      </c>
      <c r="E470" s="6026" t="s">
        <v>2523</v>
      </c>
      <c r="F470" s="6026" t="s">
        <v>2189</v>
      </c>
      <c r="G470" s="6026" t="s">
        <v>24</v>
      </c>
      <c r="H470" s="6026" t="s">
        <v>24</v>
      </c>
      <c r="I470" s="6026" t="s">
        <v>752</v>
      </c>
    </row>
    <row customHeight="1" ht="11.25">
      <c r="A471" s="6026" t="s">
        <v>2185</v>
      </c>
      <c r="B471" s="6026" t="s">
        <v>14</v>
      </c>
      <c r="C471" s="6026" t="s">
        <v>3190</v>
      </c>
      <c r="D471" s="6026" t="s">
        <v>3191</v>
      </c>
      <c r="E471" s="6026" t="s">
        <v>3192</v>
      </c>
      <c r="F471" s="6026" t="s">
        <v>2857</v>
      </c>
      <c r="G471" s="6026" t="s">
        <v>24</v>
      </c>
      <c r="H471" s="6026" t="s">
        <v>24</v>
      </c>
      <c r="I471" s="6026" t="s">
        <v>752</v>
      </c>
    </row>
    <row customHeight="1" ht="11.25">
      <c r="A472" s="6026" t="s">
        <v>2185</v>
      </c>
      <c r="B472" s="6026" t="s">
        <v>14</v>
      </c>
      <c r="C472" s="6026" t="s">
        <v>3193</v>
      </c>
      <c r="D472" s="6026" t="s">
        <v>3194</v>
      </c>
      <c r="E472" s="6026" t="s">
        <v>3195</v>
      </c>
      <c r="F472" s="6026" t="s">
        <v>2204</v>
      </c>
      <c r="G472" s="6026" t="s">
        <v>24</v>
      </c>
      <c r="H472" s="6026" t="s">
        <v>24</v>
      </c>
      <c r="I472" s="6026" t="s">
        <v>752</v>
      </c>
    </row>
    <row customHeight="1" ht="11.25">
      <c r="A473" s="6026" t="s">
        <v>2185</v>
      </c>
      <c r="B473" s="6026" t="s">
        <v>14</v>
      </c>
      <c r="C473" s="6026" t="s">
        <v>3196</v>
      </c>
      <c r="D473" s="6026" t="s">
        <v>3197</v>
      </c>
      <c r="E473" s="6026" t="s">
        <v>3198</v>
      </c>
      <c r="F473" s="6026" t="s">
        <v>2342</v>
      </c>
      <c r="G473" s="6026" t="s">
        <v>24</v>
      </c>
      <c r="H473" s="6026" t="s">
        <v>24</v>
      </c>
      <c r="I473" s="6026" t="s">
        <v>752</v>
      </c>
    </row>
    <row customHeight="1" ht="11.25">
      <c r="A474" s="6026" t="s">
        <v>2185</v>
      </c>
      <c r="B474" s="6026" t="s">
        <v>14</v>
      </c>
      <c r="C474" s="6026" t="s">
        <v>2531</v>
      </c>
      <c r="D474" s="6026" t="s">
        <v>2532</v>
      </c>
      <c r="E474" s="6026" t="s">
        <v>2533</v>
      </c>
      <c r="F474" s="6026" t="s">
        <v>2247</v>
      </c>
      <c r="G474" s="6026" t="s">
        <v>24</v>
      </c>
      <c r="H474" s="6026" t="s">
        <v>24</v>
      </c>
      <c r="I474" s="6026" t="s">
        <v>752</v>
      </c>
    </row>
    <row customHeight="1" ht="11.25">
      <c r="A475" s="6026" t="s">
        <v>2185</v>
      </c>
      <c r="B475" s="6026" t="s">
        <v>14</v>
      </c>
      <c r="C475" s="6026" t="s">
        <v>3199</v>
      </c>
      <c r="D475" s="6026" t="s">
        <v>3200</v>
      </c>
      <c r="E475" s="6026" t="s">
        <v>3201</v>
      </c>
      <c r="F475" s="6026" t="s">
        <v>2216</v>
      </c>
      <c r="G475" s="6026" t="s">
        <v>24</v>
      </c>
      <c r="H475" s="6026" t="s">
        <v>24</v>
      </c>
      <c r="I475" s="6026" t="s">
        <v>752</v>
      </c>
    </row>
    <row customHeight="1" ht="11.25">
      <c r="A476" s="6026" t="s">
        <v>2185</v>
      </c>
      <c r="B476" s="6026" t="s">
        <v>14</v>
      </c>
      <c r="C476" s="6026" t="s">
        <v>2534</v>
      </c>
      <c r="D476" s="6026" t="s">
        <v>2535</v>
      </c>
      <c r="E476" s="6026" t="s">
        <v>2536</v>
      </c>
      <c r="F476" s="6026" t="s">
        <v>2292</v>
      </c>
      <c r="G476" s="6026" t="s">
        <v>24</v>
      </c>
      <c r="H476" s="6026" t="s">
        <v>24</v>
      </c>
      <c r="I476" s="6026" t="s">
        <v>752</v>
      </c>
    </row>
    <row customHeight="1" ht="11.25">
      <c r="A477" s="6026" t="s">
        <v>2185</v>
      </c>
      <c r="B477" s="6026" t="s">
        <v>14</v>
      </c>
      <c r="C477" s="6026" t="s">
        <v>2545</v>
      </c>
      <c r="D477" s="6026" t="s">
        <v>2546</v>
      </c>
      <c r="E477" s="6026" t="s">
        <v>2547</v>
      </c>
      <c r="F477" s="6026" t="s">
        <v>2548</v>
      </c>
      <c r="G477" s="6026" t="s">
        <v>24</v>
      </c>
      <c r="H477" s="6026" t="s">
        <v>24</v>
      </c>
      <c r="I477" s="6026" t="s">
        <v>752</v>
      </c>
    </row>
    <row customHeight="1" ht="11.25">
      <c r="A478" s="6026" t="s">
        <v>2185</v>
      </c>
      <c r="B478" s="6026" t="s">
        <v>14</v>
      </c>
      <c r="C478" s="6026" t="s">
        <v>2549</v>
      </c>
      <c r="D478" s="6026" t="s">
        <v>2550</v>
      </c>
      <c r="E478" s="6026" t="s">
        <v>2551</v>
      </c>
      <c r="F478" s="6026" t="s">
        <v>2342</v>
      </c>
      <c r="G478" s="6026" t="s">
        <v>24</v>
      </c>
      <c r="H478" s="6026" t="s">
        <v>24</v>
      </c>
      <c r="I478" s="6026" t="s">
        <v>752</v>
      </c>
    </row>
    <row customHeight="1" ht="11.25">
      <c r="A479" s="6026" t="s">
        <v>2185</v>
      </c>
      <c r="B479" s="6026" t="s">
        <v>14</v>
      </c>
      <c r="C479" s="6026" t="s">
        <v>3202</v>
      </c>
      <c r="D479" s="6026" t="s">
        <v>3203</v>
      </c>
      <c r="E479" s="6026" t="s">
        <v>3204</v>
      </c>
      <c r="F479" s="6026" t="s">
        <v>2216</v>
      </c>
      <c r="G479" s="6026" t="s">
        <v>24</v>
      </c>
      <c r="H479" s="6026" t="s">
        <v>24</v>
      </c>
      <c r="I479" s="6026" t="s">
        <v>752</v>
      </c>
    </row>
    <row customHeight="1" ht="11.25">
      <c r="A480" s="6026" t="s">
        <v>2185</v>
      </c>
      <c r="B480" s="6026" t="s">
        <v>14</v>
      </c>
      <c r="C480" s="6026" t="s">
        <v>2565</v>
      </c>
      <c r="D480" s="6026" t="s">
        <v>2566</v>
      </c>
      <c r="E480" s="6026" t="s">
        <v>2567</v>
      </c>
      <c r="F480" s="6026" t="s">
        <v>2208</v>
      </c>
      <c r="G480" s="6026" t="s">
        <v>24</v>
      </c>
      <c r="H480" s="6026" t="s">
        <v>24</v>
      </c>
      <c r="I480" s="6026" t="s">
        <v>752</v>
      </c>
    </row>
    <row customHeight="1" ht="11.25">
      <c r="A481" s="6026" t="s">
        <v>2185</v>
      </c>
      <c r="B481" s="6026" t="s">
        <v>14</v>
      </c>
      <c r="C481" s="6026" t="s">
        <v>2568</v>
      </c>
      <c r="D481" s="6026" t="s">
        <v>2569</v>
      </c>
      <c r="E481" s="6026" t="s">
        <v>2570</v>
      </c>
      <c r="F481" s="6026" t="s">
        <v>2288</v>
      </c>
      <c r="G481" s="6026" t="s">
        <v>24</v>
      </c>
      <c r="H481" s="6026" t="s">
        <v>24</v>
      </c>
      <c r="I481" s="6026" t="s">
        <v>752</v>
      </c>
    </row>
    <row customHeight="1" ht="11.25">
      <c r="A482" s="6026" t="s">
        <v>2185</v>
      </c>
      <c r="B482" s="6026" t="s">
        <v>14</v>
      </c>
      <c r="C482" s="6026" t="s">
        <v>2574</v>
      </c>
      <c r="D482" s="6026" t="s">
        <v>2575</v>
      </c>
      <c r="E482" s="6026" t="s">
        <v>2576</v>
      </c>
      <c r="F482" s="6026" t="s">
        <v>2189</v>
      </c>
      <c r="G482" s="6026" t="s">
        <v>24</v>
      </c>
      <c r="H482" s="6026" t="s">
        <v>24</v>
      </c>
      <c r="I482" s="6026" t="s">
        <v>752</v>
      </c>
    </row>
    <row customHeight="1" ht="11.25">
      <c r="A483" s="6026" t="s">
        <v>2185</v>
      </c>
      <c r="B483" s="6026" t="s">
        <v>14</v>
      </c>
      <c r="C483" s="6026" t="s">
        <v>3205</v>
      </c>
      <c r="D483" s="6026" t="s">
        <v>3206</v>
      </c>
      <c r="E483" s="6026" t="s">
        <v>3207</v>
      </c>
      <c r="F483" s="6026" t="s">
        <v>2216</v>
      </c>
      <c r="G483" s="6026" t="s">
        <v>24</v>
      </c>
      <c r="H483" s="6026" t="s">
        <v>24</v>
      </c>
      <c r="I483" s="6026" t="s">
        <v>752</v>
      </c>
    </row>
    <row customHeight="1" ht="11.25">
      <c r="A484" s="6026" t="s">
        <v>2185</v>
      </c>
      <c r="B484" s="6026" t="s">
        <v>14</v>
      </c>
      <c r="C484" s="6026" t="s">
        <v>3208</v>
      </c>
      <c r="D484" s="6026" t="s">
        <v>3209</v>
      </c>
      <c r="E484" s="6026" t="s">
        <v>3210</v>
      </c>
      <c r="F484" s="6026" t="s">
        <v>2342</v>
      </c>
      <c r="G484" s="6026" t="s">
        <v>24</v>
      </c>
      <c r="H484" s="6026" t="s">
        <v>24</v>
      </c>
      <c r="I484" s="6026" t="s">
        <v>752</v>
      </c>
    </row>
    <row customHeight="1" ht="11.25">
      <c r="A485" s="6026" t="s">
        <v>2185</v>
      </c>
      <c r="B485" s="6026" t="s">
        <v>14</v>
      </c>
      <c r="C485" s="6026" t="s">
        <v>3211</v>
      </c>
      <c r="D485" s="6026" t="s">
        <v>3209</v>
      </c>
      <c r="E485" s="6026" t="s">
        <v>3212</v>
      </c>
      <c r="F485" s="6026" t="s">
        <v>2292</v>
      </c>
      <c r="G485" s="6026" t="s">
        <v>24</v>
      </c>
      <c r="H485" s="6026" t="s">
        <v>24</v>
      </c>
      <c r="I485" s="6026" t="s">
        <v>752</v>
      </c>
    </row>
    <row customHeight="1" ht="11.25">
      <c r="A486" s="6026" t="s">
        <v>2185</v>
      </c>
      <c r="B486" s="6026" t="s">
        <v>14</v>
      </c>
      <c r="C486" s="6026" t="s">
        <v>3213</v>
      </c>
      <c r="D486" s="6026" t="s">
        <v>3214</v>
      </c>
      <c r="E486" s="6026" t="s">
        <v>3215</v>
      </c>
      <c r="F486" s="6026" t="s">
        <v>2288</v>
      </c>
      <c r="G486" s="6026" t="s">
        <v>24</v>
      </c>
      <c r="H486" s="6026" t="s">
        <v>24</v>
      </c>
      <c r="I486" s="6026" t="s">
        <v>752</v>
      </c>
    </row>
    <row customHeight="1" ht="11.25">
      <c r="A487" s="6026" t="s">
        <v>2185</v>
      </c>
      <c r="B487" s="6026" t="s">
        <v>14</v>
      </c>
      <c r="C487" s="6026" t="s">
        <v>2595</v>
      </c>
      <c r="D487" s="6026" t="s">
        <v>2596</v>
      </c>
      <c r="E487" s="6026" t="s">
        <v>2597</v>
      </c>
      <c r="F487" s="6026" t="s">
        <v>2380</v>
      </c>
      <c r="G487" s="6026" t="s">
        <v>24</v>
      </c>
      <c r="H487" s="6026" t="s">
        <v>2598</v>
      </c>
      <c r="I487" s="6026" t="s">
        <v>752</v>
      </c>
    </row>
    <row customHeight="1" ht="11.25">
      <c r="A488" s="6026" t="s">
        <v>2185</v>
      </c>
      <c r="B488" s="6026" t="s">
        <v>14</v>
      </c>
      <c r="C488" s="6026" t="s">
        <v>3216</v>
      </c>
      <c r="D488" s="6026" t="s">
        <v>3217</v>
      </c>
      <c r="E488" s="6026" t="s">
        <v>3218</v>
      </c>
      <c r="F488" s="6026" t="s">
        <v>2247</v>
      </c>
      <c r="G488" s="6026" t="s">
        <v>24</v>
      </c>
      <c r="H488" s="6026" t="s">
        <v>24</v>
      </c>
      <c r="I488" s="6026" t="s">
        <v>752</v>
      </c>
    </row>
    <row customHeight="1" ht="11.25">
      <c r="A489" s="6026" t="s">
        <v>2185</v>
      </c>
      <c r="B489" s="6026" t="s">
        <v>14</v>
      </c>
      <c r="C489" s="6026" t="s">
        <v>2602</v>
      </c>
      <c r="D489" s="6026" t="s">
        <v>2603</v>
      </c>
      <c r="E489" s="6026" t="s">
        <v>2604</v>
      </c>
      <c r="F489" s="6026" t="s">
        <v>2247</v>
      </c>
      <c r="G489" s="6026" t="s">
        <v>24</v>
      </c>
      <c r="H489" s="6026" t="s">
        <v>24</v>
      </c>
      <c r="I489" s="6026" t="s">
        <v>752</v>
      </c>
    </row>
    <row customHeight="1" ht="11.25">
      <c r="A490" s="6026" t="s">
        <v>2185</v>
      </c>
      <c r="B490" s="6026" t="s">
        <v>14</v>
      </c>
      <c r="C490" s="6026" t="s">
        <v>3219</v>
      </c>
      <c r="D490" s="6026" t="s">
        <v>3220</v>
      </c>
      <c r="E490" s="6026" t="s">
        <v>3221</v>
      </c>
      <c r="F490" s="6026" t="s">
        <v>2288</v>
      </c>
      <c r="G490" s="6026" t="s">
        <v>3222</v>
      </c>
      <c r="H490" s="6026" t="s">
        <v>24</v>
      </c>
      <c r="I490" s="6026" t="s">
        <v>752</v>
      </c>
    </row>
    <row customHeight="1" ht="11.25">
      <c r="A491" s="6026" t="s">
        <v>2185</v>
      </c>
      <c r="B491" s="6026" t="s">
        <v>14</v>
      </c>
      <c r="C491" s="6026" t="s">
        <v>2605</v>
      </c>
      <c r="D491" s="6026" t="s">
        <v>2606</v>
      </c>
      <c r="E491" s="6026" t="s">
        <v>2607</v>
      </c>
      <c r="F491" s="6026" t="s">
        <v>2208</v>
      </c>
      <c r="G491" s="6026" t="s">
        <v>24</v>
      </c>
      <c r="H491" s="6026" t="s">
        <v>24</v>
      </c>
      <c r="I491" s="6026" t="s">
        <v>752</v>
      </c>
    </row>
    <row customHeight="1" ht="11.25">
      <c r="A492" s="6026" t="s">
        <v>2185</v>
      </c>
      <c r="B492" s="6026" t="s">
        <v>14</v>
      </c>
      <c r="C492" s="6026" t="s">
        <v>3223</v>
      </c>
      <c r="D492" s="6026" t="s">
        <v>3224</v>
      </c>
      <c r="E492" s="6026" t="s">
        <v>3225</v>
      </c>
      <c r="F492" s="6026" t="s">
        <v>2292</v>
      </c>
      <c r="G492" s="6026" t="s">
        <v>24</v>
      </c>
      <c r="H492" s="6026" t="s">
        <v>24</v>
      </c>
      <c r="I492" s="6026" t="s">
        <v>752</v>
      </c>
    </row>
    <row customHeight="1" ht="11.25">
      <c r="A493" s="6026" t="s">
        <v>2185</v>
      </c>
      <c r="B493" s="6026" t="s">
        <v>14</v>
      </c>
      <c r="C493" s="6026" t="s">
        <v>2617</v>
      </c>
      <c r="D493" s="6026" t="s">
        <v>2618</v>
      </c>
      <c r="E493" s="6026" t="s">
        <v>2619</v>
      </c>
      <c r="F493" s="6026" t="s">
        <v>2380</v>
      </c>
      <c r="G493" s="6026" t="s">
        <v>24</v>
      </c>
      <c r="H493" s="6026" t="s">
        <v>2620</v>
      </c>
      <c r="I493" s="6026" t="s">
        <v>752</v>
      </c>
    </row>
    <row customHeight="1" ht="11.25">
      <c r="A494" s="6026" t="s">
        <v>2185</v>
      </c>
      <c r="B494" s="6026" t="s">
        <v>14</v>
      </c>
      <c r="C494" s="6026" t="s">
        <v>3226</v>
      </c>
      <c r="D494" s="6026" t="s">
        <v>3227</v>
      </c>
      <c r="E494" s="6026" t="s">
        <v>2772</v>
      </c>
      <c r="F494" s="6026" t="s">
        <v>2204</v>
      </c>
      <c r="G494" s="6026" t="s">
        <v>24</v>
      </c>
      <c r="H494" s="6026" t="s">
        <v>24</v>
      </c>
      <c r="I494" s="6026" t="s">
        <v>752</v>
      </c>
    </row>
    <row customHeight="1" ht="11.25">
      <c r="A495" s="6026" t="s">
        <v>2185</v>
      </c>
      <c r="B495" s="6026" t="s">
        <v>14</v>
      </c>
      <c r="C495" s="6026" t="s">
        <v>2633</v>
      </c>
      <c r="D495" s="6026" t="s">
        <v>2634</v>
      </c>
      <c r="E495" s="6026" t="s">
        <v>2635</v>
      </c>
      <c r="F495" s="6026" t="s">
        <v>2216</v>
      </c>
      <c r="G495" s="6026" t="s">
        <v>24</v>
      </c>
      <c r="H495" s="6026" t="s">
        <v>24</v>
      </c>
      <c r="I495" s="6026" t="s">
        <v>752</v>
      </c>
    </row>
    <row customHeight="1" ht="11.25">
      <c r="A496" s="6026" t="s">
        <v>2185</v>
      </c>
      <c r="B496" s="6026" t="s">
        <v>14</v>
      </c>
      <c r="C496" s="6026" t="s">
        <v>3228</v>
      </c>
      <c r="D496" s="6026" t="s">
        <v>3229</v>
      </c>
      <c r="E496" s="6026" t="s">
        <v>3230</v>
      </c>
      <c r="F496" s="6026" t="s">
        <v>2212</v>
      </c>
      <c r="G496" s="6026" t="s">
        <v>24</v>
      </c>
      <c r="H496" s="6026" t="s">
        <v>24</v>
      </c>
      <c r="I496" s="6026" t="s">
        <v>752</v>
      </c>
    </row>
    <row customHeight="1" ht="11.25">
      <c r="A497" s="6026" t="s">
        <v>2185</v>
      </c>
      <c r="B497" s="6026" t="s">
        <v>14</v>
      </c>
      <c r="C497" s="6026" t="s">
        <v>2639</v>
      </c>
      <c r="D497" s="6026" t="s">
        <v>2640</v>
      </c>
      <c r="E497" s="6026" t="s">
        <v>2641</v>
      </c>
      <c r="F497" s="6026" t="s">
        <v>2642</v>
      </c>
      <c r="G497" s="6026" t="s">
        <v>24</v>
      </c>
      <c r="H497" s="6026" t="s">
        <v>2643</v>
      </c>
      <c r="I497" s="6026" t="s">
        <v>752</v>
      </c>
    </row>
    <row customHeight="1" ht="11.25">
      <c r="A498" s="6026" t="s">
        <v>2185</v>
      </c>
      <c r="B498" s="6026" t="s">
        <v>14</v>
      </c>
      <c r="C498" s="6026" t="s">
        <v>3231</v>
      </c>
      <c r="D498" s="6026" t="s">
        <v>3232</v>
      </c>
      <c r="E498" s="6026" t="s">
        <v>3233</v>
      </c>
      <c r="F498" s="6026" t="s">
        <v>2247</v>
      </c>
      <c r="G498" s="6026" t="s">
        <v>24</v>
      </c>
      <c r="H498" s="6026" t="s">
        <v>24</v>
      </c>
      <c r="I498" s="6026" t="s">
        <v>752</v>
      </c>
    </row>
    <row customHeight="1" ht="11.25">
      <c r="A499" s="6026" t="s">
        <v>2185</v>
      </c>
      <c r="B499" s="6026" t="s">
        <v>14</v>
      </c>
      <c r="C499" s="6026" t="s">
        <v>2651</v>
      </c>
      <c r="D499" s="6026" t="s">
        <v>2652</v>
      </c>
      <c r="E499" s="6026" t="s">
        <v>2653</v>
      </c>
      <c r="F499" s="6026" t="s">
        <v>2654</v>
      </c>
      <c r="G499" s="6026" t="s">
        <v>24</v>
      </c>
      <c r="H499" s="6026" t="s">
        <v>24</v>
      </c>
      <c r="I499" s="6026" t="s">
        <v>752</v>
      </c>
    </row>
    <row customHeight="1" ht="11.25">
      <c r="A500" s="6026" t="s">
        <v>2185</v>
      </c>
      <c r="B500" s="6026" t="s">
        <v>14</v>
      </c>
      <c r="C500" s="6026" t="s">
        <v>3234</v>
      </c>
      <c r="D500" s="6026" t="s">
        <v>3235</v>
      </c>
      <c r="E500" s="6026" t="s">
        <v>3236</v>
      </c>
      <c r="F500" s="6026" t="s">
        <v>2216</v>
      </c>
      <c r="G500" s="6026" t="s">
        <v>24</v>
      </c>
      <c r="H500" s="6026" t="s">
        <v>24</v>
      </c>
      <c r="I500" s="6026" t="s">
        <v>752</v>
      </c>
    </row>
    <row customHeight="1" ht="11.25">
      <c r="A501" s="6026" t="s">
        <v>2185</v>
      </c>
      <c r="B501" s="6026" t="s">
        <v>14</v>
      </c>
      <c r="C501" s="6026" t="s">
        <v>3237</v>
      </c>
      <c r="D501" s="6026" t="s">
        <v>3238</v>
      </c>
      <c r="E501" s="6026" t="s">
        <v>3239</v>
      </c>
      <c r="F501" s="6026" t="s">
        <v>2288</v>
      </c>
      <c r="G501" s="6026" t="s">
        <v>24</v>
      </c>
      <c r="H501" s="6026" t="s">
        <v>24</v>
      </c>
      <c r="I501" s="6026" t="s">
        <v>752</v>
      </c>
    </row>
    <row customHeight="1" ht="11.25">
      <c r="A502" s="6026" t="s">
        <v>2185</v>
      </c>
      <c r="B502" s="6026" t="s">
        <v>14</v>
      </c>
      <c r="C502" s="6026" t="s">
        <v>3240</v>
      </c>
      <c r="D502" s="6026" t="s">
        <v>3241</v>
      </c>
      <c r="E502" s="6026" t="s">
        <v>3242</v>
      </c>
      <c r="F502" s="6026" t="s">
        <v>2216</v>
      </c>
      <c r="G502" s="6026" t="s">
        <v>24</v>
      </c>
      <c r="H502" s="6026" t="s">
        <v>24</v>
      </c>
      <c r="I502" s="6026" t="s">
        <v>752</v>
      </c>
    </row>
    <row customHeight="1" ht="11.25">
      <c r="A503" s="6026" t="s">
        <v>2185</v>
      </c>
      <c r="B503" s="6026" t="s">
        <v>14</v>
      </c>
      <c r="C503" s="6026" t="s">
        <v>2667</v>
      </c>
      <c r="D503" s="6026" t="s">
        <v>2668</v>
      </c>
      <c r="E503" s="6026" t="s">
        <v>2669</v>
      </c>
      <c r="F503" s="6026" t="s">
        <v>2342</v>
      </c>
      <c r="G503" s="6026" t="s">
        <v>24</v>
      </c>
      <c r="H503" s="6026" t="s">
        <v>24</v>
      </c>
      <c r="I503" s="6026" t="s">
        <v>752</v>
      </c>
    </row>
    <row customHeight="1" ht="11.25">
      <c r="A504" s="6026" t="s">
        <v>2185</v>
      </c>
      <c r="B504" s="6026" t="s">
        <v>14</v>
      </c>
      <c r="C504" s="6026" t="s">
        <v>3243</v>
      </c>
      <c r="D504" s="6026" t="s">
        <v>3244</v>
      </c>
      <c r="E504" s="6026" t="s">
        <v>3245</v>
      </c>
      <c r="F504" s="6026" t="s">
        <v>2288</v>
      </c>
      <c r="G504" s="6026" t="s">
        <v>24</v>
      </c>
      <c r="H504" s="6026" t="s">
        <v>24</v>
      </c>
      <c r="I504" s="6026" t="s">
        <v>752</v>
      </c>
    </row>
    <row customHeight="1" ht="11.25">
      <c r="A505" s="6026" t="s">
        <v>2185</v>
      </c>
      <c r="B505" s="6026" t="s">
        <v>14</v>
      </c>
      <c r="C505" s="6026" t="s">
        <v>2673</v>
      </c>
      <c r="D505" s="6026" t="s">
        <v>2674</v>
      </c>
      <c r="E505" s="6026" t="s">
        <v>2675</v>
      </c>
      <c r="F505" s="6026" t="s">
        <v>2380</v>
      </c>
      <c r="G505" s="6026" t="s">
        <v>24</v>
      </c>
      <c r="H505" s="6026" t="s">
        <v>24</v>
      </c>
      <c r="I505" s="6026" t="s">
        <v>752</v>
      </c>
    </row>
    <row customHeight="1" ht="11.25">
      <c r="A506" s="6026" t="s">
        <v>2185</v>
      </c>
      <c r="B506" s="6026" t="s">
        <v>14</v>
      </c>
      <c r="C506" s="6026" t="s">
        <v>3246</v>
      </c>
      <c r="D506" s="6026" t="s">
        <v>3247</v>
      </c>
      <c r="E506" s="6026" t="s">
        <v>3248</v>
      </c>
      <c r="F506" s="6026" t="s">
        <v>2247</v>
      </c>
      <c r="G506" s="6026" t="s">
        <v>24</v>
      </c>
      <c r="H506" s="6026" t="s">
        <v>24</v>
      </c>
      <c r="I506" s="6026" t="s">
        <v>752</v>
      </c>
    </row>
    <row customHeight="1" ht="11.25">
      <c r="A507" s="6026" t="s">
        <v>2185</v>
      </c>
      <c r="B507" s="6026" t="s">
        <v>14</v>
      </c>
      <c r="C507" s="6026" t="s">
        <v>2682</v>
      </c>
      <c r="D507" s="6026" t="s">
        <v>2683</v>
      </c>
      <c r="E507" s="6026" t="s">
        <v>2684</v>
      </c>
      <c r="F507" s="6026" t="s">
        <v>2292</v>
      </c>
      <c r="G507" s="6026" t="s">
        <v>24</v>
      </c>
      <c r="H507" s="6026" t="s">
        <v>24</v>
      </c>
      <c r="I507" s="6026" t="s">
        <v>752</v>
      </c>
    </row>
    <row customHeight="1" ht="11.25">
      <c r="A508" s="6026" t="s">
        <v>2185</v>
      </c>
      <c r="B508" s="6026" t="s">
        <v>14</v>
      </c>
      <c r="C508" s="6026" t="s">
        <v>3249</v>
      </c>
      <c r="D508" s="6026" t="s">
        <v>3250</v>
      </c>
      <c r="E508" s="6026" t="s">
        <v>3251</v>
      </c>
      <c r="F508" s="6026" t="s">
        <v>2247</v>
      </c>
      <c r="G508" s="6026" t="s">
        <v>24</v>
      </c>
      <c r="H508" s="6026" t="s">
        <v>24</v>
      </c>
      <c r="I508" s="6026" t="s">
        <v>752</v>
      </c>
    </row>
    <row customHeight="1" ht="11.25">
      <c r="A509" s="6026" t="s">
        <v>2185</v>
      </c>
      <c r="B509" s="6026" t="s">
        <v>14</v>
      </c>
      <c r="C509" s="6026" t="s">
        <v>2688</v>
      </c>
      <c r="D509" s="6026" t="s">
        <v>2689</v>
      </c>
      <c r="E509" s="6026" t="s">
        <v>2690</v>
      </c>
      <c r="F509" s="6026" t="s">
        <v>2189</v>
      </c>
      <c r="G509" s="6026" t="s">
        <v>24</v>
      </c>
      <c r="H509" s="6026" t="s">
        <v>24</v>
      </c>
      <c r="I509" s="6026" t="s">
        <v>752</v>
      </c>
    </row>
    <row customHeight="1" ht="11.25">
      <c r="A510" s="6026" t="s">
        <v>2185</v>
      </c>
      <c r="B510" s="6026" t="s">
        <v>14</v>
      </c>
      <c r="C510" s="6026" t="s">
        <v>2691</v>
      </c>
      <c r="D510" s="6026" t="s">
        <v>2692</v>
      </c>
      <c r="E510" s="6026" t="s">
        <v>2693</v>
      </c>
      <c r="F510" s="6026" t="s">
        <v>2216</v>
      </c>
      <c r="G510" s="6026" t="s">
        <v>24</v>
      </c>
      <c r="H510" s="6026" t="s">
        <v>24</v>
      </c>
      <c r="I510" s="6026" t="s">
        <v>752</v>
      </c>
    </row>
    <row customHeight="1" ht="11.25">
      <c r="A511" s="6026" t="s">
        <v>2185</v>
      </c>
      <c r="B511" s="6026" t="s">
        <v>14</v>
      </c>
      <c r="C511" s="6026" t="s">
        <v>3252</v>
      </c>
      <c r="D511" s="6026" t="s">
        <v>3253</v>
      </c>
      <c r="E511" s="6026" t="s">
        <v>3254</v>
      </c>
      <c r="F511" s="6026" t="s">
        <v>2288</v>
      </c>
      <c r="G511" s="6026" t="s">
        <v>24</v>
      </c>
      <c r="H511" s="6026" t="s">
        <v>24</v>
      </c>
      <c r="I511" s="6026" t="s">
        <v>752</v>
      </c>
    </row>
    <row customHeight="1" ht="11.25">
      <c r="A512" s="6026" t="s">
        <v>2185</v>
      </c>
      <c r="B512" s="6026" t="s">
        <v>14</v>
      </c>
      <c r="C512" s="6026" t="s">
        <v>2697</v>
      </c>
      <c r="D512" s="6026" t="s">
        <v>2698</v>
      </c>
      <c r="E512" s="6026" t="s">
        <v>2699</v>
      </c>
      <c r="F512" s="6026" t="s">
        <v>2292</v>
      </c>
      <c r="G512" s="6026" t="s">
        <v>24</v>
      </c>
      <c r="H512" s="6026" t="s">
        <v>24</v>
      </c>
      <c r="I512" s="6026" t="s">
        <v>752</v>
      </c>
    </row>
    <row customHeight="1" ht="11.25">
      <c r="A513" s="6026" t="s">
        <v>2185</v>
      </c>
      <c r="B513" s="6026" t="s">
        <v>14</v>
      </c>
      <c r="C513" s="6026" t="s">
        <v>2703</v>
      </c>
      <c r="D513" s="6026" t="s">
        <v>2704</v>
      </c>
      <c r="E513" s="6026" t="s">
        <v>2705</v>
      </c>
      <c r="F513" s="6026" t="s">
        <v>2216</v>
      </c>
      <c r="G513" s="6026" t="s">
        <v>24</v>
      </c>
      <c r="H513" s="6026" t="s">
        <v>24</v>
      </c>
      <c r="I513" s="6026" t="s">
        <v>752</v>
      </c>
    </row>
    <row customHeight="1" ht="11.25">
      <c r="A514" s="6026" t="s">
        <v>2185</v>
      </c>
      <c r="B514" s="6026" t="s">
        <v>14</v>
      </c>
      <c r="C514" s="6026" t="s">
        <v>2716</v>
      </c>
      <c r="D514" s="6026" t="s">
        <v>2717</v>
      </c>
      <c r="E514" s="6026" t="s">
        <v>2718</v>
      </c>
      <c r="F514" s="6026" t="s">
        <v>2204</v>
      </c>
      <c r="G514" s="6026" t="s">
        <v>24</v>
      </c>
      <c r="H514" s="6026" t="s">
        <v>24</v>
      </c>
      <c r="I514" s="6026" t="s">
        <v>752</v>
      </c>
    </row>
    <row customHeight="1" ht="11.25">
      <c r="A515" s="6026" t="s">
        <v>2185</v>
      </c>
      <c r="B515" s="6026" t="s">
        <v>14</v>
      </c>
      <c r="C515" s="6026" t="s">
        <v>3255</v>
      </c>
      <c r="D515" s="6026" t="s">
        <v>3256</v>
      </c>
      <c r="E515" s="6026" t="s">
        <v>3257</v>
      </c>
      <c r="F515" s="6026" t="s">
        <v>2288</v>
      </c>
      <c r="G515" s="6026" t="s">
        <v>3258</v>
      </c>
      <c r="H515" s="6026" t="s">
        <v>24</v>
      </c>
      <c r="I515" s="6026" t="s">
        <v>752</v>
      </c>
    </row>
    <row customHeight="1" ht="11.25">
      <c r="A516" s="6026" t="s">
        <v>2185</v>
      </c>
      <c r="B516" s="6026" t="s">
        <v>14</v>
      </c>
      <c r="C516" s="6026" t="s">
        <v>3259</v>
      </c>
      <c r="D516" s="6026" t="s">
        <v>3260</v>
      </c>
      <c r="E516" s="6026" t="s">
        <v>3261</v>
      </c>
      <c r="F516" s="6026" t="s">
        <v>2288</v>
      </c>
      <c r="G516" s="6026" t="s">
        <v>24</v>
      </c>
      <c r="H516" s="6026" t="s">
        <v>24</v>
      </c>
      <c r="I516" s="6026" t="s">
        <v>752</v>
      </c>
    </row>
    <row customHeight="1" ht="11.25">
      <c r="A517" s="6026" t="s">
        <v>2185</v>
      </c>
      <c r="B517" s="6026" t="s">
        <v>14</v>
      </c>
      <c r="C517" s="6026" t="s">
        <v>3262</v>
      </c>
      <c r="D517" s="6026" t="s">
        <v>3263</v>
      </c>
      <c r="E517" s="6026" t="s">
        <v>3264</v>
      </c>
      <c r="F517" s="6026" t="s">
        <v>2380</v>
      </c>
      <c r="G517" s="6026" t="s">
        <v>24</v>
      </c>
      <c r="H517" s="6026" t="s">
        <v>24</v>
      </c>
      <c r="I517" s="6026" t="s">
        <v>752</v>
      </c>
    </row>
    <row customHeight="1" ht="11.25">
      <c r="A518" s="6026" t="s">
        <v>2185</v>
      </c>
      <c r="B518" s="6026" t="s">
        <v>14</v>
      </c>
      <c r="C518" s="6026" t="s">
        <v>2726</v>
      </c>
      <c r="D518" s="6026" t="s">
        <v>2727</v>
      </c>
      <c r="E518" s="6026" t="s">
        <v>2728</v>
      </c>
      <c r="F518" s="6026" t="s">
        <v>2548</v>
      </c>
      <c r="G518" s="6026" t="s">
        <v>2729</v>
      </c>
      <c r="H518" s="6026" t="s">
        <v>2730</v>
      </c>
      <c r="I518" s="6026" t="s">
        <v>752</v>
      </c>
    </row>
    <row customHeight="1" ht="11.25">
      <c r="A519" s="6026" t="s">
        <v>2185</v>
      </c>
      <c r="B519" s="6026" t="s">
        <v>14</v>
      </c>
      <c r="C519" s="6026" t="s">
        <v>2735</v>
      </c>
      <c r="D519" s="6026" t="s">
        <v>2736</v>
      </c>
      <c r="E519" s="6026" t="s">
        <v>2737</v>
      </c>
      <c r="F519" s="6026" t="s">
        <v>2288</v>
      </c>
      <c r="G519" s="6026" t="s">
        <v>24</v>
      </c>
      <c r="H519" s="6026" t="s">
        <v>24</v>
      </c>
      <c r="I519" s="6026" t="s">
        <v>752</v>
      </c>
    </row>
    <row customHeight="1" ht="11.25">
      <c r="A520" s="6026" t="s">
        <v>2185</v>
      </c>
      <c r="B520" s="6026" t="s">
        <v>14</v>
      </c>
      <c r="C520" s="6026" t="s">
        <v>2738</v>
      </c>
      <c r="D520" s="6026" t="s">
        <v>2739</v>
      </c>
      <c r="E520" s="6026" t="s">
        <v>2740</v>
      </c>
      <c r="F520" s="6026" t="s">
        <v>2342</v>
      </c>
      <c r="G520" s="6026" t="s">
        <v>24</v>
      </c>
      <c r="H520" s="6026" t="s">
        <v>24</v>
      </c>
      <c r="I520" s="6026" t="s">
        <v>752</v>
      </c>
    </row>
    <row customHeight="1" ht="11.25">
      <c r="A521" s="6026" t="s">
        <v>2185</v>
      </c>
      <c r="B521" s="6026" t="s">
        <v>14</v>
      </c>
      <c r="C521" s="6026" t="s">
        <v>2753</v>
      </c>
      <c r="D521" s="6026" t="s">
        <v>2754</v>
      </c>
      <c r="E521" s="6026" t="s">
        <v>2755</v>
      </c>
      <c r="F521" s="6026" t="s">
        <v>2247</v>
      </c>
      <c r="G521" s="6026" t="s">
        <v>24</v>
      </c>
      <c r="H521" s="6026" t="s">
        <v>24</v>
      </c>
      <c r="I521" s="6026" t="s">
        <v>752</v>
      </c>
    </row>
    <row customHeight="1" ht="11.25">
      <c r="A522" s="6026" t="s">
        <v>2185</v>
      </c>
      <c r="B522" s="6026" t="s">
        <v>14</v>
      </c>
      <c r="C522" s="6026" t="s">
        <v>3265</v>
      </c>
      <c r="D522" s="6026" t="s">
        <v>3266</v>
      </c>
      <c r="E522" s="6026" t="s">
        <v>3267</v>
      </c>
      <c r="F522" s="6026" t="s">
        <v>2380</v>
      </c>
      <c r="G522" s="6026" t="s">
        <v>24</v>
      </c>
      <c r="H522" s="6026" t="s">
        <v>24</v>
      </c>
      <c r="I522" s="6026" t="s">
        <v>752</v>
      </c>
    </row>
    <row customHeight="1" ht="11.25">
      <c r="A523" s="6026" t="s">
        <v>2185</v>
      </c>
      <c r="B523" s="6026" t="s">
        <v>14</v>
      </c>
      <c r="C523" s="6026" t="s">
        <v>2756</v>
      </c>
      <c r="D523" s="6026" t="s">
        <v>2757</v>
      </c>
      <c r="E523" s="6026" t="s">
        <v>2758</v>
      </c>
      <c r="F523" s="6026" t="s">
        <v>2380</v>
      </c>
      <c r="G523" s="6026" t="s">
        <v>24</v>
      </c>
      <c r="H523" s="6026" t="s">
        <v>24</v>
      </c>
      <c r="I523" s="6026" t="s">
        <v>752</v>
      </c>
    </row>
    <row customHeight="1" ht="11.25">
      <c r="A524" s="6026" t="s">
        <v>2185</v>
      </c>
      <c r="B524" s="6026" t="s">
        <v>14</v>
      </c>
      <c r="C524" s="6026" t="s">
        <v>2762</v>
      </c>
      <c r="D524" s="6026" t="s">
        <v>2763</v>
      </c>
      <c r="E524" s="6026" t="s">
        <v>2764</v>
      </c>
      <c r="F524" s="6026" t="s">
        <v>2216</v>
      </c>
      <c r="G524" s="6026" t="s">
        <v>24</v>
      </c>
      <c r="H524" s="6026" t="s">
        <v>2765</v>
      </c>
      <c r="I524" s="6026" t="s">
        <v>752</v>
      </c>
    </row>
    <row customHeight="1" ht="11.25">
      <c r="A525" s="6026" t="s">
        <v>2185</v>
      </c>
      <c r="B525" s="6026" t="s">
        <v>14</v>
      </c>
      <c r="C525" s="6026" t="s">
        <v>3268</v>
      </c>
      <c r="D525" s="6026" t="s">
        <v>3269</v>
      </c>
      <c r="E525" s="6026" t="s">
        <v>3270</v>
      </c>
      <c r="F525" s="6026" t="s">
        <v>2216</v>
      </c>
      <c r="G525" s="6026" t="s">
        <v>24</v>
      </c>
      <c r="H525" s="6026" t="s">
        <v>24</v>
      </c>
      <c r="I525" s="6026" t="s">
        <v>752</v>
      </c>
    </row>
    <row customHeight="1" ht="11.25">
      <c r="A526" s="6026" t="s">
        <v>2185</v>
      </c>
      <c r="B526" s="6026" t="s">
        <v>14</v>
      </c>
      <c r="C526" s="6026" t="s">
        <v>2766</v>
      </c>
      <c r="D526" s="6026" t="s">
        <v>2767</v>
      </c>
      <c r="E526" s="6026" t="s">
        <v>2768</v>
      </c>
      <c r="F526" s="6026" t="s">
        <v>2247</v>
      </c>
      <c r="G526" s="6026" t="s">
        <v>2769</v>
      </c>
      <c r="H526" s="6026" t="s">
        <v>24</v>
      </c>
      <c r="I526" s="6026" t="s">
        <v>752</v>
      </c>
    </row>
    <row customHeight="1" ht="11.25">
      <c r="A527" s="6026" t="s">
        <v>2185</v>
      </c>
      <c r="B527" s="6026" t="s">
        <v>14</v>
      </c>
      <c r="C527" s="6026" t="s">
        <v>3271</v>
      </c>
      <c r="D527" s="6026" t="s">
        <v>3272</v>
      </c>
      <c r="E527" s="6026" t="s">
        <v>3273</v>
      </c>
      <c r="F527" s="6026" t="s">
        <v>2288</v>
      </c>
      <c r="G527" s="6026" t="s">
        <v>24</v>
      </c>
      <c r="H527" s="6026" t="s">
        <v>24</v>
      </c>
      <c r="I527" s="6026" t="s">
        <v>752</v>
      </c>
    </row>
    <row customHeight="1" ht="11.25">
      <c r="A528" s="6026" t="s">
        <v>2185</v>
      </c>
      <c r="B528" s="6026" t="s">
        <v>14</v>
      </c>
      <c r="C528" s="6026" t="s">
        <v>2783</v>
      </c>
      <c r="D528" s="6026" t="s">
        <v>2784</v>
      </c>
      <c r="E528" s="6026" t="s">
        <v>2785</v>
      </c>
      <c r="F528" s="6026" t="s">
        <v>2380</v>
      </c>
      <c r="G528" s="6026" t="s">
        <v>24</v>
      </c>
      <c r="H528" s="6026" t="s">
        <v>24</v>
      </c>
      <c r="I528" s="6026" t="s">
        <v>752</v>
      </c>
    </row>
    <row customHeight="1" ht="11.25">
      <c r="A529" s="6026" t="s">
        <v>2185</v>
      </c>
      <c r="B529" s="6026" t="s">
        <v>14</v>
      </c>
      <c r="C529" s="6026" t="s">
        <v>2793</v>
      </c>
      <c r="D529" s="6026" t="s">
        <v>2794</v>
      </c>
      <c r="E529" s="6026" t="s">
        <v>2795</v>
      </c>
      <c r="F529" s="6026" t="s">
        <v>2380</v>
      </c>
      <c r="G529" s="6026" t="s">
        <v>24</v>
      </c>
      <c r="H529" s="6026" t="s">
        <v>24</v>
      </c>
      <c r="I529" s="6026" t="s">
        <v>752</v>
      </c>
    </row>
    <row customHeight="1" ht="11.25">
      <c r="A530" s="6026" t="s">
        <v>2185</v>
      </c>
      <c r="B530" s="6026" t="s">
        <v>14</v>
      </c>
      <c r="C530" s="6026" t="s">
        <v>2805</v>
      </c>
      <c r="D530" s="6026" t="s">
        <v>2806</v>
      </c>
      <c r="E530" s="6026" t="s">
        <v>2807</v>
      </c>
      <c r="F530" s="6026" t="s">
        <v>2380</v>
      </c>
      <c r="G530" s="6026" t="s">
        <v>24</v>
      </c>
      <c r="H530" s="6026" t="s">
        <v>24</v>
      </c>
      <c r="I530" s="6026" t="s">
        <v>752</v>
      </c>
    </row>
    <row customHeight="1" ht="11.25">
      <c r="A531" s="6026" t="s">
        <v>2185</v>
      </c>
      <c r="B531" s="6026" t="s">
        <v>14</v>
      </c>
      <c r="C531" s="6026" t="s">
        <v>2808</v>
      </c>
      <c r="D531" s="6026" t="s">
        <v>2809</v>
      </c>
      <c r="E531" s="6026" t="s">
        <v>2810</v>
      </c>
      <c r="F531" s="6026" t="s">
        <v>2380</v>
      </c>
      <c r="G531" s="6026" t="s">
        <v>24</v>
      </c>
      <c r="H531" s="6026" t="s">
        <v>24</v>
      </c>
      <c r="I531" s="6026" t="s">
        <v>752</v>
      </c>
    </row>
    <row customHeight="1" ht="11.25">
      <c r="A532" s="6026" t="s">
        <v>2185</v>
      </c>
      <c r="B532" s="6026" t="s">
        <v>14</v>
      </c>
      <c r="C532" s="6026" t="s">
        <v>3274</v>
      </c>
      <c r="D532" s="6026" t="s">
        <v>3275</v>
      </c>
      <c r="E532" s="6026" t="s">
        <v>3276</v>
      </c>
      <c r="F532" s="6026" t="s">
        <v>2216</v>
      </c>
      <c r="G532" s="6026" t="s">
        <v>24</v>
      </c>
      <c r="H532" s="6026" t="s">
        <v>24</v>
      </c>
      <c r="I532" s="6026" t="s">
        <v>752</v>
      </c>
    </row>
    <row customHeight="1" ht="11.25">
      <c r="A533" s="6026" t="s">
        <v>2185</v>
      </c>
      <c r="B533" s="6026" t="s">
        <v>14</v>
      </c>
      <c r="C533" s="6026" t="s">
        <v>3277</v>
      </c>
      <c r="D533" s="6026" t="s">
        <v>3278</v>
      </c>
      <c r="E533" s="6026" t="s">
        <v>3279</v>
      </c>
      <c r="F533" s="6026" t="s">
        <v>2874</v>
      </c>
      <c r="G533" s="6026" t="s">
        <v>24</v>
      </c>
      <c r="H533" s="6026" t="s">
        <v>24</v>
      </c>
      <c r="I533" s="6026" t="s">
        <v>752</v>
      </c>
    </row>
    <row customHeight="1" ht="11.25">
      <c r="A534" s="6026" t="s">
        <v>2185</v>
      </c>
      <c r="B534" s="6026" t="s">
        <v>14</v>
      </c>
      <c r="C534" s="6026" t="s">
        <v>3280</v>
      </c>
      <c r="D534" s="6026" t="s">
        <v>3281</v>
      </c>
      <c r="E534" s="6026" t="s">
        <v>3282</v>
      </c>
      <c r="F534" s="6026" t="s">
        <v>2288</v>
      </c>
      <c r="G534" s="6026" t="s">
        <v>24</v>
      </c>
      <c r="H534" s="6026" t="s">
        <v>24</v>
      </c>
      <c r="I534" s="6026" t="s">
        <v>752</v>
      </c>
    </row>
    <row customHeight="1" ht="11.25">
      <c r="A535" s="6026" t="s">
        <v>2185</v>
      </c>
      <c r="B535" s="6026" t="s">
        <v>14</v>
      </c>
      <c r="C535" s="6026" t="s">
        <v>3283</v>
      </c>
      <c r="D535" s="6026" t="s">
        <v>3284</v>
      </c>
      <c r="E535" s="6026" t="s">
        <v>3285</v>
      </c>
      <c r="F535" s="6026" t="s">
        <v>2874</v>
      </c>
      <c r="G535" s="6026" t="s">
        <v>24</v>
      </c>
      <c r="H535" s="6026" t="s">
        <v>24</v>
      </c>
      <c r="I535" s="6026" t="s">
        <v>752</v>
      </c>
    </row>
    <row customHeight="1" ht="11.25">
      <c r="A536" s="6026" t="s">
        <v>2185</v>
      </c>
      <c r="B536" s="6026" t="s">
        <v>14</v>
      </c>
      <c r="C536" s="6026" t="s">
        <v>3286</v>
      </c>
      <c r="D536" s="6026" t="s">
        <v>3287</v>
      </c>
      <c r="E536" s="6026" t="s">
        <v>3288</v>
      </c>
      <c r="F536" s="6026" t="s">
        <v>2216</v>
      </c>
      <c r="G536" s="6026" t="s">
        <v>24</v>
      </c>
      <c r="H536" s="6026" t="s">
        <v>24</v>
      </c>
      <c r="I536" s="6026" t="s">
        <v>752</v>
      </c>
    </row>
    <row customHeight="1" ht="11.25">
      <c r="A537" s="6026" t="s">
        <v>2185</v>
      </c>
      <c r="B537" s="6026" t="s">
        <v>14</v>
      </c>
      <c r="C537" s="6026" t="s">
        <v>3289</v>
      </c>
      <c r="D537" s="6026" t="s">
        <v>3290</v>
      </c>
      <c r="E537" s="6026" t="s">
        <v>3291</v>
      </c>
      <c r="F537" s="6026" t="s">
        <v>2247</v>
      </c>
      <c r="G537" s="6026" t="s">
        <v>24</v>
      </c>
      <c r="H537" s="6026" t="s">
        <v>3292</v>
      </c>
      <c r="I537" s="6026" t="s">
        <v>752</v>
      </c>
    </row>
    <row customHeight="1" ht="11.25">
      <c r="A538" s="6026" t="s">
        <v>2185</v>
      </c>
      <c r="B538" s="6026" t="s">
        <v>14</v>
      </c>
      <c r="C538" s="6026" t="s">
        <v>2839</v>
      </c>
      <c r="D538" s="6026" t="s">
        <v>2840</v>
      </c>
      <c r="E538" s="6026" t="s">
        <v>2841</v>
      </c>
      <c r="F538" s="6026" t="s">
        <v>2208</v>
      </c>
      <c r="G538" s="6026" t="s">
        <v>24</v>
      </c>
      <c r="H538" s="6026" t="s">
        <v>24</v>
      </c>
      <c r="I538" s="6026" t="s">
        <v>752</v>
      </c>
    </row>
    <row customHeight="1" ht="11.25">
      <c r="A539" s="6026" t="s">
        <v>2185</v>
      </c>
      <c r="B539" s="6026" t="s">
        <v>14</v>
      </c>
      <c r="C539" s="6026" t="s">
        <v>2842</v>
      </c>
      <c r="D539" s="6026" t="s">
        <v>2843</v>
      </c>
      <c r="E539" s="6026" t="s">
        <v>2844</v>
      </c>
      <c r="F539" s="6026" t="s">
        <v>2342</v>
      </c>
      <c r="G539" s="6026" t="s">
        <v>24</v>
      </c>
      <c r="H539" s="6026" t="s">
        <v>24</v>
      </c>
      <c r="I539" s="6026" t="s">
        <v>752</v>
      </c>
    </row>
    <row customHeight="1" ht="11.25">
      <c r="A540" s="6026" t="s">
        <v>2185</v>
      </c>
      <c r="B540" s="6026" t="s">
        <v>14</v>
      </c>
      <c r="C540" s="6026" t="s">
        <v>3293</v>
      </c>
      <c r="D540" s="6026" t="s">
        <v>3294</v>
      </c>
      <c r="E540" s="6026" t="s">
        <v>3295</v>
      </c>
      <c r="F540" s="6026" t="s">
        <v>2189</v>
      </c>
      <c r="G540" s="6026" t="s">
        <v>24</v>
      </c>
      <c r="H540" s="6026" t="s">
        <v>24</v>
      </c>
      <c r="I540" s="6026" t="s">
        <v>752</v>
      </c>
    </row>
    <row customHeight="1" ht="11.25">
      <c r="A541" s="6026" t="s">
        <v>2185</v>
      </c>
      <c r="B541" s="6026" t="s">
        <v>14</v>
      </c>
      <c r="C541" s="6026" t="s">
        <v>2848</v>
      </c>
      <c r="D541" s="6026" t="s">
        <v>2849</v>
      </c>
      <c r="E541" s="6026" t="s">
        <v>2850</v>
      </c>
      <c r="F541" s="6026" t="s">
        <v>2247</v>
      </c>
      <c r="G541" s="6026" t="s">
        <v>24</v>
      </c>
      <c r="H541" s="6026" t="s">
        <v>24</v>
      </c>
      <c r="I541" s="6026" t="s">
        <v>752</v>
      </c>
    </row>
    <row customHeight="1" ht="11.25">
      <c r="A542" s="6026" t="s">
        <v>2185</v>
      </c>
      <c r="B542" s="6026" t="s">
        <v>14</v>
      </c>
      <c r="C542" s="6026" t="s">
        <v>2858</v>
      </c>
      <c r="D542" s="6026" t="s">
        <v>2859</v>
      </c>
      <c r="E542" s="6026" t="s">
        <v>2860</v>
      </c>
      <c r="F542" s="6026" t="s">
        <v>2208</v>
      </c>
      <c r="G542" s="6026" t="s">
        <v>24</v>
      </c>
      <c r="H542" s="6026" t="s">
        <v>24</v>
      </c>
      <c r="I542" s="6026" t="s">
        <v>752</v>
      </c>
    </row>
    <row customHeight="1" ht="11.25">
      <c r="A543" s="6026" t="s">
        <v>2185</v>
      </c>
      <c r="B543" s="6026" t="s">
        <v>14</v>
      </c>
      <c r="C543" s="6026" t="s">
        <v>2861</v>
      </c>
      <c r="D543" s="6026" t="s">
        <v>2862</v>
      </c>
      <c r="E543" s="6026" t="s">
        <v>2863</v>
      </c>
      <c r="F543" s="6026" t="s">
        <v>2216</v>
      </c>
      <c r="G543" s="6026" t="s">
        <v>24</v>
      </c>
      <c r="H543" s="6026" t="s">
        <v>2864</v>
      </c>
      <c r="I543" s="6026" t="s">
        <v>752</v>
      </c>
    </row>
    <row customHeight="1" ht="11.25">
      <c r="A544" s="6026" t="s">
        <v>2185</v>
      </c>
      <c r="B544" s="6026" t="s">
        <v>14</v>
      </c>
      <c r="C544" s="6026" t="s">
        <v>3296</v>
      </c>
      <c r="D544" s="6026" t="s">
        <v>3297</v>
      </c>
      <c r="E544" s="6026" t="s">
        <v>3298</v>
      </c>
      <c r="F544" s="6026" t="s">
        <v>2204</v>
      </c>
      <c r="G544" s="6026" t="s">
        <v>24</v>
      </c>
      <c r="H544" s="6026" t="s">
        <v>24</v>
      </c>
      <c r="I544" s="6026" t="s">
        <v>752</v>
      </c>
    </row>
    <row customHeight="1" ht="11.25">
      <c r="A545" s="6026" t="s">
        <v>2185</v>
      </c>
      <c r="B545" s="6026" t="s">
        <v>14</v>
      </c>
      <c r="C545" s="6026" t="s">
        <v>3299</v>
      </c>
      <c r="D545" s="6026" t="s">
        <v>3300</v>
      </c>
      <c r="E545" s="6026" t="s">
        <v>3301</v>
      </c>
      <c r="F545" s="6026" t="s">
        <v>2216</v>
      </c>
      <c r="G545" s="6026" t="s">
        <v>24</v>
      </c>
      <c r="H545" s="6026" t="s">
        <v>24</v>
      </c>
      <c r="I545" s="6026" t="s">
        <v>752</v>
      </c>
    </row>
    <row customHeight="1" ht="11.25">
      <c r="A546" s="6026" t="s">
        <v>2185</v>
      </c>
      <c r="B546" s="6026" t="s">
        <v>14</v>
      </c>
      <c r="C546" s="6026" t="s">
        <v>2875</v>
      </c>
      <c r="D546" s="6026" t="s">
        <v>2876</v>
      </c>
      <c r="E546" s="6026" t="s">
        <v>2877</v>
      </c>
      <c r="F546" s="6026" t="s">
        <v>2292</v>
      </c>
      <c r="G546" s="6026" t="s">
        <v>24</v>
      </c>
      <c r="H546" s="6026" t="s">
        <v>24</v>
      </c>
      <c r="I546" s="6026" t="s">
        <v>752</v>
      </c>
    </row>
    <row customHeight="1" ht="11.25">
      <c r="A547" s="6026" t="s">
        <v>2185</v>
      </c>
      <c r="B547" s="6026" t="s">
        <v>14</v>
      </c>
      <c r="C547" s="6026" t="s">
        <v>3302</v>
      </c>
      <c r="D547" s="6026" t="s">
        <v>3303</v>
      </c>
      <c r="E547" s="6026" t="s">
        <v>3304</v>
      </c>
      <c r="F547" s="6026" t="s">
        <v>3305</v>
      </c>
      <c r="G547" s="6026" t="s">
        <v>24</v>
      </c>
      <c r="H547" s="6026" t="s">
        <v>24</v>
      </c>
      <c r="I547" s="6026" t="s">
        <v>752</v>
      </c>
    </row>
    <row customHeight="1" ht="11.25">
      <c r="A548" s="6026" t="s">
        <v>2185</v>
      </c>
      <c r="B548" s="6026" t="s">
        <v>14</v>
      </c>
      <c r="C548" s="6026" t="s">
        <v>3306</v>
      </c>
      <c r="D548" s="6026" t="s">
        <v>3307</v>
      </c>
      <c r="E548" s="6026" t="s">
        <v>3308</v>
      </c>
      <c r="F548" s="6026" t="s">
        <v>2247</v>
      </c>
      <c r="G548" s="6026" t="s">
        <v>24</v>
      </c>
      <c r="H548" s="6026" t="s">
        <v>24</v>
      </c>
      <c r="I548" s="6026" t="s">
        <v>752</v>
      </c>
    </row>
    <row customHeight="1" ht="11.25">
      <c r="A549" s="6026" t="s">
        <v>2185</v>
      </c>
      <c r="B549" s="6026" t="s">
        <v>14</v>
      </c>
      <c r="C549" s="6026" t="s">
        <v>3309</v>
      </c>
      <c r="D549" s="6026" t="s">
        <v>3310</v>
      </c>
      <c r="E549" s="6026" t="s">
        <v>3311</v>
      </c>
      <c r="F549" s="6026" t="s">
        <v>2216</v>
      </c>
      <c r="G549" s="6026" t="s">
        <v>24</v>
      </c>
      <c r="H549" s="6026" t="s">
        <v>24</v>
      </c>
      <c r="I549" s="6026" t="s">
        <v>752</v>
      </c>
    </row>
    <row customHeight="1" ht="11.25">
      <c r="A550" s="6026" t="s">
        <v>2185</v>
      </c>
      <c r="B550" s="6026" t="s">
        <v>14</v>
      </c>
      <c r="C550" s="6026" t="s">
        <v>2884</v>
      </c>
      <c r="D550" s="6026" t="s">
        <v>2885</v>
      </c>
      <c r="E550" s="6026" t="s">
        <v>2886</v>
      </c>
      <c r="F550" s="6026" t="s">
        <v>2216</v>
      </c>
      <c r="G550" s="6026" t="s">
        <v>24</v>
      </c>
      <c r="H550" s="6026" t="s">
        <v>24</v>
      </c>
      <c r="I550" s="6026" t="s">
        <v>752</v>
      </c>
    </row>
    <row customHeight="1" ht="11.25">
      <c r="A551" s="6026" t="s">
        <v>2185</v>
      </c>
      <c r="B551" s="6026" t="s">
        <v>14</v>
      </c>
      <c r="C551" s="6026" t="s">
        <v>2887</v>
      </c>
      <c r="D551" s="6026" t="s">
        <v>2888</v>
      </c>
      <c r="E551" s="6026" t="s">
        <v>2889</v>
      </c>
      <c r="F551" s="6026" t="s">
        <v>2247</v>
      </c>
      <c r="G551" s="6026" t="s">
        <v>24</v>
      </c>
      <c r="H551" s="6026" t="s">
        <v>24</v>
      </c>
      <c r="I551" s="6026" t="s">
        <v>752</v>
      </c>
    </row>
    <row customHeight="1" ht="11.25">
      <c r="A552" s="6026" t="s">
        <v>2185</v>
      </c>
      <c r="B552" s="6026" t="s">
        <v>14</v>
      </c>
      <c r="C552" s="6026" t="s">
        <v>2890</v>
      </c>
      <c r="D552" s="6026" t="s">
        <v>2888</v>
      </c>
      <c r="E552" s="6026" t="s">
        <v>2891</v>
      </c>
      <c r="F552" s="6026" t="s">
        <v>2247</v>
      </c>
      <c r="G552" s="6026" t="s">
        <v>24</v>
      </c>
      <c r="H552" s="6026" t="s">
        <v>24</v>
      </c>
      <c r="I552" s="6026" t="s">
        <v>752</v>
      </c>
    </row>
    <row customHeight="1" ht="11.25">
      <c r="A553" s="6026" t="s">
        <v>2185</v>
      </c>
      <c r="B553" s="6026" t="s">
        <v>14</v>
      </c>
      <c r="C553" s="6026" t="s">
        <v>3312</v>
      </c>
      <c r="D553" s="6026" t="s">
        <v>2888</v>
      </c>
      <c r="E553" s="6026" t="s">
        <v>3313</v>
      </c>
      <c r="F553" s="6026" t="s">
        <v>2380</v>
      </c>
      <c r="G553" s="6026" t="s">
        <v>3314</v>
      </c>
      <c r="H553" s="6026" t="s">
        <v>24</v>
      </c>
      <c r="I553" s="6026" t="s">
        <v>752</v>
      </c>
    </row>
    <row customHeight="1" ht="11.25">
      <c r="A554" s="6026" t="s">
        <v>2185</v>
      </c>
      <c r="B554" s="6026" t="s">
        <v>14</v>
      </c>
      <c r="C554" s="6026" t="s">
        <v>2914</v>
      </c>
      <c r="D554" s="6026" t="s">
        <v>2915</v>
      </c>
      <c r="E554" s="6026" t="s">
        <v>2916</v>
      </c>
      <c r="F554" s="6026" t="s">
        <v>2208</v>
      </c>
      <c r="G554" s="6026" t="s">
        <v>24</v>
      </c>
      <c r="H554" s="6026" t="s">
        <v>24</v>
      </c>
      <c r="I554" s="6026" t="s">
        <v>752</v>
      </c>
    </row>
    <row customHeight="1" ht="11.25">
      <c r="A555" s="6026" t="s">
        <v>2185</v>
      </c>
      <c r="B555" s="6026" t="s">
        <v>14</v>
      </c>
      <c r="C555" s="6026" t="s">
        <v>2927</v>
      </c>
      <c r="D555" s="6026" t="s">
        <v>2928</v>
      </c>
      <c r="E555" s="6026" t="s">
        <v>2929</v>
      </c>
      <c r="F555" s="6026" t="s">
        <v>2247</v>
      </c>
      <c r="G555" s="6026" t="s">
        <v>24</v>
      </c>
      <c r="H555" s="6026" t="s">
        <v>24</v>
      </c>
      <c r="I555" s="6026" t="s">
        <v>752</v>
      </c>
    </row>
    <row customHeight="1" ht="11.25">
      <c r="A556" s="6026" t="s">
        <v>2185</v>
      </c>
      <c r="B556" s="6026" t="s">
        <v>14</v>
      </c>
      <c r="C556" s="6026" t="s">
        <v>2949</v>
      </c>
      <c r="D556" s="6026" t="s">
        <v>2950</v>
      </c>
      <c r="E556" s="6026" t="s">
        <v>2772</v>
      </c>
      <c r="F556" s="6026" t="s">
        <v>2425</v>
      </c>
      <c r="G556" s="6026" t="s">
        <v>24</v>
      </c>
      <c r="H556" s="6026" t="s">
        <v>24</v>
      </c>
      <c r="I556" s="6026" t="s">
        <v>752</v>
      </c>
    </row>
    <row customHeight="1" ht="11.25">
      <c r="A557" s="6026" t="s">
        <v>2185</v>
      </c>
      <c r="B557" s="6026" t="s">
        <v>14</v>
      </c>
      <c r="C557" s="6026" t="s">
        <v>2954</v>
      </c>
      <c r="D557" s="6026" t="s">
        <v>2955</v>
      </c>
      <c r="E557" s="6026" t="s">
        <v>2956</v>
      </c>
      <c r="F557" s="6026" t="s">
        <v>2204</v>
      </c>
      <c r="G557" s="6026" t="s">
        <v>24</v>
      </c>
      <c r="H557" s="6026" t="s">
        <v>24</v>
      </c>
      <c r="I557" s="6026" t="s">
        <v>752</v>
      </c>
    </row>
    <row customHeight="1" ht="11.25">
      <c r="A558" s="6026" t="s">
        <v>2185</v>
      </c>
      <c r="B558" s="6026" t="s">
        <v>14</v>
      </c>
      <c r="C558" s="6026" t="s">
        <v>2957</v>
      </c>
      <c r="D558" s="6026" t="s">
        <v>2958</v>
      </c>
      <c r="E558" s="6026" t="s">
        <v>2959</v>
      </c>
      <c r="F558" s="6026" t="s">
        <v>2204</v>
      </c>
      <c r="G558" s="6026" t="s">
        <v>24</v>
      </c>
      <c r="H558" s="6026" t="s">
        <v>24</v>
      </c>
      <c r="I558" s="6026" t="s">
        <v>752</v>
      </c>
    </row>
    <row customHeight="1" ht="11.25">
      <c r="A559" s="6026" t="s">
        <v>2185</v>
      </c>
      <c r="B559" s="6026" t="s">
        <v>14</v>
      </c>
      <c r="C559" s="6026" t="s">
        <v>2979</v>
      </c>
      <c r="D559" s="6026" t="s">
        <v>2980</v>
      </c>
      <c r="E559" s="6026" t="s">
        <v>2981</v>
      </c>
      <c r="F559" s="6026" t="s">
        <v>2216</v>
      </c>
      <c r="G559" s="6026" t="s">
        <v>24</v>
      </c>
      <c r="H559" s="6026" t="s">
        <v>24</v>
      </c>
      <c r="I559" s="6026" t="s">
        <v>752</v>
      </c>
    </row>
    <row customHeight="1" ht="11.25">
      <c r="A560" s="6026" t="s">
        <v>2185</v>
      </c>
      <c r="B560" s="6026" t="s">
        <v>14</v>
      </c>
      <c r="C560" s="6026" t="s">
        <v>3315</v>
      </c>
      <c r="D560" s="6026" t="s">
        <v>3316</v>
      </c>
      <c r="E560" s="6026" t="s">
        <v>3317</v>
      </c>
      <c r="F560" s="6026" t="s">
        <v>2189</v>
      </c>
      <c r="G560" s="6026" t="s">
        <v>24</v>
      </c>
      <c r="H560" s="6026" t="s">
        <v>24</v>
      </c>
      <c r="I560" s="6026" t="s">
        <v>752</v>
      </c>
    </row>
    <row customHeight="1" ht="11.25">
      <c r="A561" s="6026" t="s">
        <v>2185</v>
      </c>
      <c r="B561" s="6026" t="s">
        <v>14</v>
      </c>
      <c r="C561" s="6026" t="s">
        <v>3318</v>
      </c>
      <c r="D561" s="6026" t="s">
        <v>3319</v>
      </c>
      <c r="E561" s="6026" t="s">
        <v>3320</v>
      </c>
      <c r="F561" s="6026" t="s">
        <v>3167</v>
      </c>
      <c r="G561" s="6026" t="s">
        <v>24</v>
      </c>
      <c r="H561" s="6026" t="s">
        <v>24</v>
      </c>
      <c r="I561" s="6026" t="s">
        <v>752</v>
      </c>
    </row>
    <row customHeight="1" ht="11.25">
      <c r="A562" s="6026" t="s">
        <v>2185</v>
      </c>
      <c r="B562" s="6026" t="s">
        <v>14</v>
      </c>
      <c r="C562" s="6026" t="s">
        <v>2989</v>
      </c>
      <c r="D562" s="6026" t="s">
        <v>2990</v>
      </c>
      <c r="E562" s="6026" t="s">
        <v>2991</v>
      </c>
      <c r="F562" s="6026" t="s">
        <v>2380</v>
      </c>
      <c r="G562" s="6026" t="s">
        <v>24</v>
      </c>
      <c r="H562" s="6026" t="s">
        <v>24</v>
      </c>
      <c r="I562" s="6026" t="s">
        <v>752</v>
      </c>
    </row>
    <row customHeight="1" ht="11.25">
      <c r="A563" s="6026" t="s">
        <v>2185</v>
      </c>
      <c r="B563" s="6026" t="s">
        <v>14</v>
      </c>
      <c r="C563" s="6026" t="s">
        <v>2992</v>
      </c>
      <c r="D563" s="6026" t="s">
        <v>2993</v>
      </c>
      <c r="E563" s="6026" t="s">
        <v>2994</v>
      </c>
      <c r="F563" s="6026" t="s">
        <v>2189</v>
      </c>
      <c r="G563" s="6026" t="s">
        <v>24</v>
      </c>
      <c r="H563" s="6026" t="s">
        <v>24</v>
      </c>
      <c r="I563" s="6026" t="s">
        <v>752</v>
      </c>
    </row>
    <row customHeight="1" ht="11.25">
      <c r="A564" s="6026" t="s">
        <v>2185</v>
      </c>
      <c r="B564" s="6026" t="s">
        <v>14</v>
      </c>
      <c r="C564" s="6026" t="s">
        <v>3321</v>
      </c>
      <c r="D564" s="6026" t="s">
        <v>3322</v>
      </c>
      <c r="E564" s="6026" t="s">
        <v>3323</v>
      </c>
      <c r="F564" s="6026" t="s">
        <v>2288</v>
      </c>
      <c r="G564" s="6026" t="s">
        <v>3324</v>
      </c>
      <c r="H564" s="6026" t="s">
        <v>24</v>
      </c>
      <c r="I564" s="6026" t="s">
        <v>752</v>
      </c>
    </row>
    <row customHeight="1" ht="11.25">
      <c r="A565" s="6026" t="s">
        <v>2185</v>
      </c>
      <c r="B565" s="6026" t="s">
        <v>14</v>
      </c>
      <c r="C565" s="6026" t="s">
        <v>3325</v>
      </c>
      <c r="D565" s="6026" t="s">
        <v>3326</v>
      </c>
      <c r="E565" s="6026" t="s">
        <v>3327</v>
      </c>
      <c r="F565" s="6026" t="s">
        <v>2204</v>
      </c>
      <c r="G565" s="6026" t="s">
        <v>24</v>
      </c>
      <c r="H565" s="6026" t="s">
        <v>24</v>
      </c>
      <c r="I565" s="6026" t="s">
        <v>752</v>
      </c>
    </row>
    <row customHeight="1" ht="11.25">
      <c r="A566" s="6026" t="s">
        <v>2185</v>
      </c>
      <c r="B566" s="6026" t="s">
        <v>14</v>
      </c>
      <c r="C566" s="6026" t="s">
        <v>3328</v>
      </c>
      <c r="D566" s="6026" t="s">
        <v>3329</v>
      </c>
      <c r="E566" s="6026" t="s">
        <v>3330</v>
      </c>
      <c r="F566" s="6026" t="s">
        <v>2342</v>
      </c>
      <c r="G566" s="6026" t="s">
        <v>24</v>
      </c>
      <c r="H566" s="6026" t="s">
        <v>24</v>
      </c>
      <c r="I566" s="6026" t="s">
        <v>752</v>
      </c>
    </row>
    <row customHeight="1" ht="11.25">
      <c r="A567" s="6026" t="s">
        <v>2185</v>
      </c>
      <c r="B567" s="6026" t="s">
        <v>14</v>
      </c>
      <c r="C567" s="6026" t="s">
        <v>3331</v>
      </c>
      <c r="D567" s="6026" t="s">
        <v>3332</v>
      </c>
      <c r="E567" s="6026" t="s">
        <v>3333</v>
      </c>
      <c r="F567" s="6026" t="s">
        <v>2342</v>
      </c>
      <c r="G567" s="6026" t="s">
        <v>24</v>
      </c>
      <c r="H567" s="6026" t="s">
        <v>24</v>
      </c>
      <c r="I567" s="6026" t="s">
        <v>752</v>
      </c>
    </row>
    <row customHeight="1" ht="11.25">
      <c r="A568" s="6026" t="s">
        <v>2185</v>
      </c>
      <c r="B568" s="6026" t="s">
        <v>14</v>
      </c>
      <c r="C568" s="6026" t="s">
        <v>3334</v>
      </c>
      <c r="D568" s="6026" t="s">
        <v>3335</v>
      </c>
      <c r="E568" s="6026" t="s">
        <v>3336</v>
      </c>
      <c r="F568" s="6026" t="s">
        <v>2342</v>
      </c>
      <c r="G568" s="6026" t="s">
        <v>24</v>
      </c>
      <c r="H568" s="6026" t="s">
        <v>24</v>
      </c>
      <c r="I568" s="6026" t="s">
        <v>752</v>
      </c>
    </row>
    <row customHeight="1" ht="11.25">
      <c r="A569" s="6026" t="s">
        <v>2185</v>
      </c>
      <c r="B569" s="6026" t="s">
        <v>14</v>
      </c>
      <c r="C569" s="6026" t="s">
        <v>3337</v>
      </c>
      <c r="D569" s="6026" t="s">
        <v>3338</v>
      </c>
      <c r="E569" s="6026" t="s">
        <v>3339</v>
      </c>
      <c r="F569" s="6026" t="s">
        <v>2342</v>
      </c>
      <c r="G569" s="6026" t="s">
        <v>24</v>
      </c>
      <c r="H569" s="6026" t="s">
        <v>24</v>
      </c>
      <c r="I569" s="6026" t="s">
        <v>752</v>
      </c>
    </row>
    <row customHeight="1" ht="11.25">
      <c r="A570" s="6026" t="s">
        <v>2185</v>
      </c>
      <c r="B570" s="6026" t="s">
        <v>14</v>
      </c>
      <c r="C570" s="6026" t="s">
        <v>3340</v>
      </c>
      <c r="D570" s="6026" t="s">
        <v>3341</v>
      </c>
      <c r="E570" s="6026" t="s">
        <v>3342</v>
      </c>
      <c r="F570" s="6026" t="s">
        <v>2342</v>
      </c>
      <c r="G570" s="6026" t="s">
        <v>24</v>
      </c>
      <c r="H570" s="6026" t="s">
        <v>24</v>
      </c>
      <c r="I570" s="6026" t="s">
        <v>752</v>
      </c>
    </row>
    <row customHeight="1" ht="11.25">
      <c r="A571" s="6026" t="s">
        <v>2185</v>
      </c>
      <c r="B571" s="6026" t="s">
        <v>14</v>
      </c>
      <c r="C571" s="6026" t="s">
        <v>3343</v>
      </c>
      <c r="D571" s="6026" t="s">
        <v>3344</v>
      </c>
      <c r="E571" s="6026" t="s">
        <v>3345</v>
      </c>
      <c r="F571" s="6026" t="s">
        <v>2342</v>
      </c>
      <c r="G571" s="6026" t="s">
        <v>24</v>
      </c>
      <c r="H571" s="6026" t="s">
        <v>24</v>
      </c>
      <c r="I571" s="6026" t="s">
        <v>752</v>
      </c>
    </row>
    <row customHeight="1" ht="11.25">
      <c r="A572" s="6026" t="s">
        <v>2185</v>
      </c>
      <c r="B572" s="6026" t="s">
        <v>14</v>
      </c>
      <c r="C572" s="6026" t="s">
        <v>3346</v>
      </c>
      <c r="D572" s="6026" t="s">
        <v>3347</v>
      </c>
      <c r="E572" s="6026" t="s">
        <v>3348</v>
      </c>
      <c r="F572" s="6026" t="s">
        <v>2247</v>
      </c>
      <c r="G572" s="6026" t="s">
        <v>24</v>
      </c>
      <c r="H572" s="6026" t="s">
        <v>24</v>
      </c>
      <c r="I572" s="6026" t="s">
        <v>752</v>
      </c>
    </row>
    <row customHeight="1" ht="11.25">
      <c r="A573" s="6026" t="s">
        <v>2185</v>
      </c>
      <c r="B573" s="6026" t="s">
        <v>14</v>
      </c>
      <c r="C573" s="6026" t="s">
        <v>3349</v>
      </c>
      <c r="D573" s="6026" t="s">
        <v>3350</v>
      </c>
      <c r="E573" s="6026" t="s">
        <v>3351</v>
      </c>
      <c r="F573" s="6026" t="s">
        <v>2247</v>
      </c>
      <c r="G573" s="6026" t="s">
        <v>24</v>
      </c>
      <c r="H573" s="6026" t="s">
        <v>24</v>
      </c>
      <c r="I573" s="6026" t="s">
        <v>752</v>
      </c>
    </row>
    <row customHeight="1" ht="11.25">
      <c r="A574" s="6026" t="s">
        <v>2185</v>
      </c>
      <c r="B574" s="6026" t="s">
        <v>14</v>
      </c>
      <c r="C574" s="6026" t="s">
        <v>3352</v>
      </c>
      <c r="D574" s="6026" t="s">
        <v>3353</v>
      </c>
      <c r="E574" s="6026" t="s">
        <v>3354</v>
      </c>
      <c r="F574" s="6026" t="s">
        <v>2247</v>
      </c>
      <c r="G574" s="6026" t="s">
        <v>24</v>
      </c>
      <c r="H574" s="6026" t="s">
        <v>24</v>
      </c>
      <c r="I574" s="6026" t="s">
        <v>752</v>
      </c>
    </row>
    <row customHeight="1" ht="11.25">
      <c r="A575" s="6026" t="s">
        <v>2185</v>
      </c>
      <c r="B575" s="6026" t="s">
        <v>14</v>
      </c>
      <c r="C575" s="6026" t="s">
        <v>3355</v>
      </c>
      <c r="D575" s="6026" t="s">
        <v>3353</v>
      </c>
      <c r="E575" s="6026" t="s">
        <v>3356</v>
      </c>
      <c r="F575" s="6026" t="s">
        <v>2288</v>
      </c>
      <c r="G575" s="6026" t="s">
        <v>24</v>
      </c>
      <c r="H575" s="6026" t="s">
        <v>24</v>
      </c>
      <c r="I575" s="6026" t="s">
        <v>752</v>
      </c>
    </row>
    <row customHeight="1" ht="11.25">
      <c r="A576" s="6026" t="s">
        <v>2185</v>
      </c>
      <c r="B576" s="6026" t="s">
        <v>14</v>
      </c>
      <c r="C576" s="6026" t="s">
        <v>3357</v>
      </c>
      <c r="D576" s="6026" t="s">
        <v>3358</v>
      </c>
      <c r="E576" s="6026" t="s">
        <v>3359</v>
      </c>
      <c r="F576" s="6026" t="s">
        <v>2342</v>
      </c>
      <c r="G576" s="6026" t="s">
        <v>24</v>
      </c>
      <c r="H576" s="6026" t="s">
        <v>3360</v>
      </c>
      <c r="I576" s="6026" t="s">
        <v>752</v>
      </c>
    </row>
    <row customHeight="1" ht="11.25">
      <c r="A577" s="6026" t="s">
        <v>2185</v>
      </c>
      <c r="B577" s="6026" t="s">
        <v>14</v>
      </c>
      <c r="C577" s="6026" t="s">
        <v>3361</v>
      </c>
      <c r="D577" s="6026" t="s">
        <v>3362</v>
      </c>
      <c r="E577" s="6026" t="s">
        <v>3363</v>
      </c>
      <c r="F577" s="6026" t="s">
        <v>2288</v>
      </c>
      <c r="G577" s="6026" t="s">
        <v>24</v>
      </c>
      <c r="H577" s="6026" t="s">
        <v>24</v>
      </c>
      <c r="I577" s="6026" t="s">
        <v>752</v>
      </c>
    </row>
    <row customHeight="1" ht="11.25">
      <c r="A578" s="6026" t="s">
        <v>2185</v>
      </c>
      <c r="B578" s="6026" t="s">
        <v>14</v>
      </c>
      <c r="C578" s="6026" t="s">
        <v>3364</v>
      </c>
      <c r="D578" s="6026" t="s">
        <v>3362</v>
      </c>
      <c r="E578" s="6026" t="s">
        <v>3365</v>
      </c>
      <c r="F578" s="6026" t="s">
        <v>2642</v>
      </c>
      <c r="G578" s="6026" t="s">
        <v>24</v>
      </c>
      <c r="H578" s="6026" t="s">
        <v>24</v>
      </c>
      <c r="I578" s="6026" t="s">
        <v>752</v>
      </c>
    </row>
    <row customHeight="1" ht="11.25">
      <c r="A579" s="6026" t="s">
        <v>2185</v>
      </c>
      <c r="B579" s="6026" t="s">
        <v>14</v>
      </c>
      <c r="C579" s="6026" t="s">
        <v>3366</v>
      </c>
      <c r="D579" s="6026" t="s">
        <v>3362</v>
      </c>
      <c r="E579" s="6026" t="s">
        <v>3365</v>
      </c>
      <c r="F579" s="6026" t="s">
        <v>2342</v>
      </c>
      <c r="G579" s="6026" t="s">
        <v>24</v>
      </c>
      <c r="H579" s="6026" t="s">
        <v>24</v>
      </c>
      <c r="I579" s="6026" t="s">
        <v>752</v>
      </c>
    </row>
    <row customHeight="1" ht="11.25">
      <c r="A580" s="6026" t="s">
        <v>2185</v>
      </c>
      <c r="B580" s="6026" t="s">
        <v>14</v>
      </c>
      <c r="C580" s="6026" t="s">
        <v>3367</v>
      </c>
      <c r="D580" s="6026" t="s">
        <v>3368</v>
      </c>
      <c r="E580" s="6026" t="s">
        <v>3369</v>
      </c>
      <c r="F580" s="6026" t="s">
        <v>2342</v>
      </c>
      <c r="G580" s="6026" t="s">
        <v>24</v>
      </c>
      <c r="H580" s="6026" t="s">
        <v>24</v>
      </c>
      <c r="I580" s="6026" t="s">
        <v>752</v>
      </c>
    </row>
    <row customHeight="1" ht="11.25">
      <c r="A581" s="6026" t="s">
        <v>2185</v>
      </c>
      <c r="B581" s="6026" t="s">
        <v>14</v>
      </c>
      <c r="C581" s="6026" t="s">
        <v>3370</v>
      </c>
      <c r="D581" s="6026" t="s">
        <v>3368</v>
      </c>
      <c r="E581" s="6026" t="s">
        <v>3371</v>
      </c>
      <c r="F581" s="6026" t="s">
        <v>2342</v>
      </c>
      <c r="G581" s="6026" t="s">
        <v>24</v>
      </c>
      <c r="H581" s="6026" t="s">
        <v>24</v>
      </c>
      <c r="I581" s="6026" t="s">
        <v>752</v>
      </c>
    </row>
    <row customHeight="1" ht="11.25">
      <c r="A582" s="6026" t="s">
        <v>2185</v>
      </c>
      <c r="B582" s="6026" t="s">
        <v>14</v>
      </c>
      <c r="C582" s="6026" t="s">
        <v>2995</v>
      </c>
      <c r="D582" s="6026" t="s">
        <v>2996</v>
      </c>
      <c r="E582" s="6026" t="s">
        <v>2997</v>
      </c>
      <c r="F582" s="6026" t="s">
        <v>2247</v>
      </c>
      <c r="G582" s="6026" t="s">
        <v>24</v>
      </c>
      <c r="H582" s="6026" t="s">
        <v>24</v>
      </c>
      <c r="I582" s="6026" t="s">
        <v>752</v>
      </c>
    </row>
    <row customHeight="1" ht="11.25">
      <c r="A583" s="6026" t="s">
        <v>2185</v>
      </c>
      <c r="B583" s="6026" t="s">
        <v>14</v>
      </c>
      <c r="C583" s="6026" t="s">
        <v>3372</v>
      </c>
      <c r="D583" s="6026" t="s">
        <v>3373</v>
      </c>
      <c r="E583" s="6026" t="s">
        <v>3374</v>
      </c>
      <c r="F583" s="6026" t="s">
        <v>2342</v>
      </c>
      <c r="G583" s="6026" t="s">
        <v>24</v>
      </c>
      <c r="H583" s="6026" t="s">
        <v>24</v>
      </c>
      <c r="I583" s="6026" t="s">
        <v>752</v>
      </c>
    </row>
    <row customHeight="1" ht="11.25">
      <c r="A584" s="6026" t="s">
        <v>2185</v>
      </c>
      <c r="B584" s="6026" t="s">
        <v>14</v>
      </c>
      <c r="C584" s="6026" t="s">
        <v>3375</v>
      </c>
      <c r="D584" s="6026" t="s">
        <v>3373</v>
      </c>
      <c r="E584" s="6026" t="s">
        <v>3376</v>
      </c>
      <c r="F584" s="6026" t="s">
        <v>2288</v>
      </c>
      <c r="G584" s="6026" t="s">
        <v>24</v>
      </c>
      <c r="H584" s="6026" t="s">
        <v>24</v>
      </c>
      <c r="I584" s="6026" t="s">
        <v>752</v>
      </c>
    </row>
    <row customHeight="1" ht="11.25">
      <c r="A585" s="6026" t="s">
        <v>2185</v>
      </c>
      <c r="B585" s="6026" t="s">
        <v>14</v>
      </c>
      <c r="C585" s="6026" t="s">
        <v>3377</v>
      </c>
      <c r="D585" s="6026" t="s">
        <v>3378</v>
      </c>
      <c r="E585" s="6026" t="s">
        <v>3379</v>
      </c>
      <c r="F585" s="6026" t="s">
        <v>2247</v>
      </c>
      <c r="G585" s="6026" t="s">
        <v>24</v>
      </c>
      <c r="H585" s="6026" t="s">
        <v>24</v>
      </c>
      <c r="I585" s="6026" t="s">
        <v>752</v>
      </c>
    </row>
    <row customHeight="1" ht="11.25">
      <c r="A586" s="6026" t="s">
        <v>2185</v>
      </c>
      <c r="B586" s="6026" t="s">
        <v>14</v>
      </c>
      <c r="C586" s="6026" t="s">
        <v>3380</v>
      </c>
      <c r="D586" s="6026" t="s">
        <v>3381</v>
      </c>
      <c r="E586" s="6026" t="s">
        <v>3382</v>
      </c>
      <c r="F586" s="6026" t="s">
        <v>2292</v>
      </c>
      <c r="G586" s="6026" t="s">
        <v>24</v>
      </c>
      <c r="H586" s="6026" t="s">
        <v>24</v>
      </c>
      <c r="I586" s="6026" t="s">
        <v>752</v>
      </c>
    </row>
    <row customHeight="1" ht="11.25">
      <c r="A587" s="6026" t="s">
        <v>2185</v>
      </c>
      <c r="B587" s="6026" t="s">
        <v>14</v>
      </c>
      <c r="C587" s="6026" t="s">
        <v>3383</v>
      </c>
      <c r="D587" s="6026" t="s">
        <v>3384</v>
      </c>
      <c r="E587" s="6026" t="s">
        <v>3385</v>
      </c>
      <c r="F587" s="6026" t="s">
        <v>2247</v>
      </c>
      <c r="G587" s="6026" t="s">
        <v>24</v>
      </c>
      <c r="H587" s="6026" t="s">
        <v>24</v>
      </c>
      <c r="I587" s="6026" t="s">
        <v>752</v>
      </c>
    </row>
    <row customHeight="1" ht="11.25">
      <c r="A588" s="6026" t="s">
        <v>2185</v>
      </c>
      <c r="B588" s="6026" t="s">
        <v>14</v>
      </c>
      <c r="C588" s="6026" t="s">
        <v>3386</v>
      </c>
      <c r="D588" s="6026" t="s">
        <v>3387</v>
      </c>
      <c r="E588" s="6026" t="s">
        <v>3388</v>
      </c>
      <c r="F588" s="6026" t="s">
        <v>2247</v>
      </c>
      <c r="G588" s="6026" t="s">
        <v>24</v>
      </c>
      <c r="H588" s="6026" t="s">
        <v>24</v>
      </c>
      <c r="I588" s="6026" t="s">
        <v>752</v>
      </c>
    </row>
    <row customHeight="1" ht="11.25">
      <c r="A589" s="6026" t="s">
        <v>2185</v>
      </c>
      <c r="B589" s="6026" t="s">
        <v>14</v>
      </c>
      <c r="C589" s="6026" t="s">
        <v>3389</v>
      </c>
      <c r="D589" s="6026" t="s">
        <v>3390</v>
      </c>
      <c r="E589" s="6026" t="s">
        <v>3391</v>
      </c>
      <c r="F589" s="6026" t="s">
        <v>2247</v>
      </c>
      <c r="G589" s="6026" t="s">
        <v>24</v>
      </c>
      <c r="H589" s="6026" t="s">
        <v>24</v>
      </c>
      <c r="I589" s="6026" t="s">
        <v>752</v>
      </c>
    </row>
    <row customHeight="1" ht="11.25">
      <c r="A590" s="6026" t="s">
        <v>2185</v>
      </c>
      <c r="B590" s="6026" t="s">
        <v>14</v>
      </c>
      <c r="C590" s="6026" t="s">
        <v>3392</v>
      </c>
      <c r="D590" s="6026" t="s">
        <v>3393</v>
      </c>
      <c r="E590" s="6026" t="s">
        <v>3394</v>
      </c>
      <c r="F590" s="6026" t="s">
        <v>2247</v>
      </c>
      <c r="G590" s="6026" t="s">
        <v>24</v>
      </c>
      <c r="H590" s="6026" t="s">
        <v>24</v>
      </c>
      <c r="I590" s="6026" t="s">
        <v>752</v>
      </c>
    </row>
    <row customHeight="1" ht="11.25">
      <c r="A591" s="6026" t="s">
        <v>2185</v>
      </c>
      <c r="B591" s="6026" t="s">
        <v>14</v>
      </c>
      <c r="C591" s="6026" t="s">
        <v>3395</v>
      </c>
      <c r="D591" s="6026" t="s">
        <v>3396</v>
      </c>
      <c r="E591" s="6026" t="s">
        <v>3397</v>
      </c>
      <c r="F591" s="6026" t="s">
        <v>2292</v>
      </c>
      <c r="G591" s="6026" t="s">
        <v>24</v>
      </c>
      <c r="H591" s="6026" t="s">
        <v>24</v>
      </c>
      <c r="I591" s="6026" t="s">
        <v>752</v>
      </c>
    </row>
    <row customHeight="1" ht="11.25">
      <c r="A592" s="6026" t="s">
        <v>2185</v>
      </c>
      <c r="B592" s="6026" t="s">
        <v>14</v>
      </c>
      <c r="C592" s="6026" t="s">
        <v>3398</v>
      </c>
      <c r="D592" s="6026" t="s">
        <v>3399</v>
      </c>
      <c r="E592" s="6026" t="s">
        <v>3400</v>
      </c>
      <c r="F592" s="6026" t="s">
        <v>2342</v>
      </c>
      <c r="G592" s="6026" t="s">
        <v>24</v>
      </c>
      <c r="H592" s="6026" t="s">
        <v>24</v>
      </c>
      <c r="I592" s="6026" t="s">
        <v>752</v>
      </c>
    </row>
    <row customHeight="1" ht="11.25">
      <c r="A593" s="6026" t="s">
        <v>2185</v>
      </c>
      <c r="B593" s="6026" t="s">
        <v>14</v>
      </c>
      <c r="C593" s="6026" t="s">
        <v>3401</v>
      </c>
      <c r="D593" s="6026" t="s">
        <v>3402</v>
      </c>
      <c r="E593" s="6026" t="s">
        <v>3403</v>
      </c>
      <c r="F593" s="6026" t="s">
        <v>2247</v>
      </c>
      <c r="G593" s="6026" t="s">
        <v>24</v>
      </c>
      <c r="H593" s="6026" t="s">
        <v>24</v>
      </c>
      <c r="I593" s="6026" t="s">
        <v>752</v>
      </c>
    </row>
    <row customHeight="1" ht="11.25">
      <c r="A594" s="6026" t="s">
        <v>2185</v>
      </c>
      <c r="B594" s="6026" t="s">
        <v>14</v>
      </c>
      <c r="C594" s="6026" t="s">
        <v>3404</v>
      </c>
      <c r="D594" s="6026" t="s">
        <v>3405</v>
      </c>
      <c r="E594" s="6026" t="s">
        <v>3406</v>
      </c>
      <c r="F594" s="6026" t="s">
        <v>2292</v>
      </c>
      <c r="G594" s="6026" t="s">
        <v>24</v>
      </c>
      <c r="H594" s="6026" t="s">
        <v>24</v>
      </c>
      <c r="I594" s="6026" t="s">
        <v>752</v>
      </c>
    </row>
    <row customHeight="1" ht="11.25">
      <c r="A595" s="6026" t="s">
        <v>2185</v>
      </c>
      <c r="B595" s="6026" t="s">
        <v>14</v>
      </c>
      <c r="C595" s="6026" t="s">
        <v>3407</v>
      </c>
      <c r="D595" s="6026" t="s">
        <v>3408</v>
      </c>
      <c r="E595" s="6026" t="s">
        <v>3409</v>
      </c>
      <c r="F595" s="6026" t="s">
        <v>2342</v>
      </c>
      <c r="G595" s="6026" t="s">
        <v>24</v>
      </c>
      <c r="H595" s="6026" t="s">
        <v>24</v>
      </c>
      <c r="I595" s="6026" t="s">
        <v>752</v>
      </c>
    </row>
    <row customHeight="1" ht="11.25">
      <c r="A596" s="6026" t="s">
        <v>2185</v>
      </c>
      <c r="B596" s="6026" t="s">
        <v>14</v>
      </c>
      <c r="C596" s="6026" t="s">
        <v>3410</v>
      </c>
      <c r="D596" s="6026" t="s">
        <v>3411</v>
      </c>
      <c r="E596" s="6026" t="s">
        <v>3412</v>
      </c>
      <c r="F596" s="6026" t="s">
        <v>2247</v>
      </c>
      <c r="G596" s="6026" t="s">
        <v>24</v>
      </c>
      <c r="H596" s="6026" t="s">
        <v>24</v>
      </c>
      <c r="I596" s="6026" t="s">
        <v>752</v>
      </c>
    </row>
    <row customHeight="1" ht="11.25">
      <c r="A597" s="6026" t="s">
        <v>2185</v>
      </c>
      <c r="B597" s="6026" t="s">
        <v>14</v>
      </c>
      <c r="C597" s="6026" t="s">
        <v>3413</v>
      </c>
      <c r="D597" s="6026" t="s">
        <v>3414</v>
      </c>
      <c r="E597" s="6026" t="s">
        <v>3415</v>
      </c>
      <c r="F597" s="6026" t="s">
        <v>2292</v>
      </c>
      <c r="G597" s="6026" t="s">
        <v>24</v>
      </c>
      <c r="H597" s="6026" t="s">
        <v>24</v>
      </c>
      <c r="I597" s="6026" t="s">
        <v>752</v>
      </c>
    </row>
    <row customHeight="1" ht="11.25">
      <c r="A598" s="6026" t="s">
        <v>2185</v>
      </c>
      <c r="B598" s="6026" t="s">
        <v>14</v>
      </c>
      <c r="C598" s="6026" t="s">
        <v>3416</v>
      </c>
      <c r="D598" s="6026" t="s">
        <v>3417</v>
      </c>
      <c r="E598" s="6026" t="s">
        <v>3418</v>
      </c>
      <c r="F598" s="6026" t="s">
        <v>2342</v>
      </c>
      <c r="G598" s="6026" t="s">
        <v>24</v>
      </c>
      <c r="H598" s="6026" t="s">
        <v>24</v>
      </c>
      <c r="I598" s="6026" t="s">
        <v>752</v>
      </c>
    </row>
    <row customHeight="1" ht="11.25">
      <c r="A599" s="6026" t="s">
        <v>2185</v>
      </c>
      <c r="B599" s="6026" t="s">
        <v>14</v>
      </c>
      <c r="C599" s="6026" t="s">
        <v>3419</v>
      </c>
      <c r="D599" s="6026" t="s">
        <v>3420</v>
      </c>
      <c r="E599" s="6026" t="s">
        <v>3421</v>
      </c>
      <c r="F599" s="6026" t="s">
        <v>2292</v>
      </c>
      <c r="G599" s="6026" t="s">
        <v>24</v>
      </c>
      <c r="H599" s="6026" t="s">
        <v>24</v>
      </c>
      <c r="I599" s="6026" t="s">
        <v>752</v>
      </c>
    </row>
    <row customHeight="1" ht="11.25">
      <c r="A600" s="6026" t="s">
        <v>2185</v>
      </c>
      <c r="B600" s="6026" t="s">
        <v>14</v>
      </c>
      <c r="C600" s="6026" t="s">
        <v>3422</v>
      </c>
      <c r="D600" s="6026" t="s">
        <v>3423</v>
      </c>
      <c r="E600" s="6026" t="s">
        <v>3424</v>
      </c>
      <c r="F600" s="6026" t="s">
        <v>2292</v>
      </c>
      <c r="G600" s="6026" t="s">
        <v>24</v>
      </c>
      <c r="H600" s="6026" t="s">
        <v>24</v>
      </c>
      <c r="I600" s="6026" t="s">
        <v>752</v>
      </c>
    </row>
    <row customHeight="1" ht="11.25">
      <c r="A601" s="6026" t="s">
        <v>2185</v>
      </c>
      <c r="B601" s="6026" t="s">
        <v>14</v>
      </c>
      <c r="C601" s="6026" t="s">
        <v>3425</v>
      </c>
      <c r="D601" s="6026" t="s">
        <v>3426</v>
      </c>
      <c r="E601" s="6026" t="s">
        <v>3427</v>
      </c>
      <c r="F601" s="6026" t="s">
        <v>2288</v>
      </c>
      <c r="G601" s="6026" t="s">
        <v>24</v>
      </c>
      <c r="H601" s="6026" t="s">
        <v>24</v>
      </c>
      <c r="I601" s="6026" t="s">
        <v>752</v>
      </c>
    </row>
    <row customHeight="1" ht="11.25">
      <c r="A602" s="6026" t="s">
        <v>2185</v>
      </c>
      <c r="B602" s="6026" t="s">
        <v>14</v>
      </c>
      <c r="C602" s="6026" t="s">
        <v>3428</v>
      </c>
      <c r="D602" s="6026" t="s">
        <v>3429</v>
      </c>
      <c r="E602" s="6026" t="s">
        <v>3430</v>
      </c>
      <c r="F602" s="6026" t="s">
        <v>2725</v>
      </c>
      <c r="G602" s="6026" t="s">
        <v>24</v>
      </c>
      <c r="H602" s="6026" t="s">
        <v>24</v>
      </c>
      <c r="I602" s="6026" t="s">
        <v>752</v>
      </c>
    </row>
    <row customHeight="1" ht="11.25">
      <c r="A603" s="6026" t="s">
        <v>2185</v>
      </c>
      <c r="B603" s="6026" t="s">
        <v>14</v>
      </c>
      <c r="C603" s="6026" t="s">
        <v>3001</v>
      </c>
      <c r="D603" s="6026" t="s">
        <v>3002</v>
      </c>
      <c r="E603" s="6026" t="s">
        <v>3003</v>
      </c>
      <c r="F603" s="6026" t="s">
        <v>2288</v>
      </c>
      <c r="G603" s="6026" t="s">
        <v>24</v>
      </c>
      <c r="H603" s="6026" t="s">
        <v>24</v>
      </c>
      <c r="I603" s="6026" t="s">
        <v>752</v>
      </c>
    </row>
    <row customHeight="1" ht="11.25">
      <c r="A604" s="6026" t="s">
        <v>2185</v>
      </c>
      <c r="B604" s="6026" t="s">
        <v>14</v>
      </c>
      <c r="C604" s="6026" t="s">
        <v>3004</v>
      </c>
      <c r="D604" s="6026" t="s">
        <v>3005</v>
      </c>
      <c r="E604" s="6026" t="s">
        <v>3006</v>
      </c>
      <c r="F604" s="6026" t="s">
        <v>2288</v>
      </c>
      <c r="G604" s="6026" t="s">
        <v>24</v>
      </c>
      <c r="H604" s="6026" t="s">
        <v>24</v>
      </c>
      <c r="I604" s="6026" t="s">
        <v>752</v>
      </c>
    </row>
    <row customHeight="1" ht="11.25">
      <c r="A605" s="6026" t="s">
        <v>2185</v>
      </c>
      <c r="B605" s="6026" t="s">
        <v>14</v>
      </c>
      <c r="C605" s="6026" t="s">
        <v>3431</v>
      </c>
      <c r="D605" s="6026" t="s">
        <v>3432</v>
      </c>
      <c r="E605" s="6026" t="s">
        <v>3433</v>
      </c>
      <c r="F605" s="6026" t="s">
        <v>2288</v>
      </c>
      <c r="G605" s="6026" t="s">
        <v>24</v>
      </c>
      <c r="H605" s="6026" t="s">
        <v>24</v>
      </c>
      <c r="I605" s="6026" t="s">
        <v>752</v>
      </c>
    </row>
    <row customHeight="1" ht="11.25">
      <c r="A606" s="6026" t="s">
        <v>2185</v>
      </c>
      <c r="B606" s="6026" t="s">
        <v>14</v>
      </c>
      <c r="C606" s="6026" t="s">
        <v>3434</v>
      </c>
      <c r="D606" s="6026" t="s">
        <v>3435</v>
      </c>
      <c r="E606" s="6026" t="s">
        <v>3436</v>
      </c>
      <c r="F606" s="6026" t="s">
        <v>2292</v>
      </c>
      <c r="G606" s="6026" t="s">
        <v>24</v>
      </c>
      <c r="H606" s="6026" t="s">
        <v>24</v>
      </c>
      <c r="I606" s="6026" t="s">
        <v>752</v>
      </c>
    </row>
    <row customHeight="1" ht="11.25">
      <c r="A607" s="6026" t="s">
        <v>2185</v>
      </c>
      <c r="B607" s="6026" t="s">
        <v>14</v>
      </c>
      <c r="C607" s="6026" t="s">
        <v>3011</v>
      </c>
      <c r="D607" s="6026" t="s">
        <v>3012</v>
      </c>
      <c r="E607" s="6026" t="s">
        <v>3013</v>
      </c>
      <c r="F607" s="6026" t="s">
        <v>2342</v>
      </c>
      <c r="G607" s="6026" t="s">
        <v>24</v>
      </c>
      <c r="H607" s="6026" t="s">
        <v>24</v>
      </c>
      <c r="I607" s="6026" t="s">
        <v>752</v>
      </c>
    </row>
    <row customHeight="1" ht="11.25">
      <c r="A608" s="6026" t="s">
        <v>2185</v>
      </c>
      <c r="B608" s="6026" t="s">
        <v>14</v>
      </c>
      <c r="C608" s="6026" t="s">
        <v>3014</v>
      </c>
      <c r="D608" s="6026" t="s">
        <v>3015</v>
      </c>
      <c r="E608" s="6026" t="s">
        <v>3016</v>
      </c>
      <c r="F608" s="6026" t="s">
        <v>2342</v>
      </c>
      <c r="G608" s="6026" t="s">
        <v>24</v>
      </c>
      <c r="H608" s="6026" t="s">
        <v>24</v>
      </c>
      <c r="I608" s="6026" t="s">
        <v>752</v>
      </c>
    </row>
    <row customHeight="1" ht="11.25">
      <c r="A609" s="6026" t="s">
        <v>2185</v>
      </c>
      <c r="B609" s="6026" t="s">
        <v>14</v>
      </c>
      <c r="C609" s="6026" t="s">
        <v>3437</v>
      </c>
      <c r="D609" s="6026" t="s">
        <v>3438</v>
      </c>
      <c r="E609" s="6026" t="s">
        <v>3439</v>
      </c>
      <c r="F609" s="6026" t="s">
        <v>2342</v>
      </c>
      <c r="G609" s="6026" t="s">
        <v>24</v>
      </c>
      <c r="H609" s="6026" t="s">
        <v>24</v>
      </c>
      <c r="I609" s="6026" t="s">
        <v>752</v>
      </c>
    </row>
    <row customHeight="1" ht="11.25">
      <c r="A610" s="6026" t="s">
        <v>2185</v>
      </c>
      <c r="B610" s="6026" t="s">
        <v>14</v>
      </c>
      <c r="C610" s="6026" t="s">
        <v>3017</v>
      </c>
      <c r="D610" s="6026" t="s">
        <v>3018</v>
      </c>
      <c r="E610" s="6026" t="s">
        <v>2283</v>
      </c>
      <c r="F610" s="6026" t="s">
        <v>3019</v>
      </c>
      <c r="G610" s="6026" t="s">
        <v>24</v>
      </c>
      <c r="H610" s="6026" t="s">
        <v>24</v>
      </c>
      <c r="I610" s="6026" t="s">
        <v>752</v>
      </c>
    </row>
    <row customHeight="1" ht="11.25">
      <c r="A611" s="6026" t="s">
        <v>2185</v>
      </c>
      <c r="B611" s="6026" t="s">
        <v>14</v>
      </c>
      <c r="C611" s="6026" t="s">
        <v>3020</v>
      </c>
      <c r="D611" s="6026" t="s">
        <v>3021</v>
      </c>
      <c r="E611" s="6026" t="s">
        <v>3022</v>
      </c>
      <c r="F611" s="6026" t="s">
        <v>3023</v>
      </c>
      <c r="G611" s="6026" t="s">
        <v>24</v>
      </c>
      <c r="H611" s="6026" t="s">
        <v>24</v>
      </c>
      <c r="I611" s="6026" t="s">
        <v>752</v>
      </c>
    </row>
    <row customHeight="1" ht="11.25">
      <c r="A612" s="6026" t="s">
        <v>2185</v>
      </c>
      <c r="B612" s="6026" t="s">
        <v>14</v>
      </c>
      <c r="C612" s="6026" t="s">
        <v>3440</v>
      </c>
      <c r="D612" s="6026" t="s">
        <v>3441</v>
      </c>
      <c r="E612" s="6026" t="s">
        <v>3442</v>
      </c>
      <c r="F612" s="6026" t="s">
        <v>2725</v>
      </c>
      <c r="G612" s="6026" t="s">
        <v>24</v>
      </c>
      <c r="H612" s="6026" t="s">
        <v>24</v>
      </c>
      <c r="I612" s="6026" t="s">
        <v>752</v>
      </c>
    </row>
    <row customHeight="1" ht="11.25">
      <c r="A613" s="6026" t="s">
        <v>2185</v>
      </c>
      <c r="B613" s="6026" t="s">
        <v>14</v>
      </c>
      <c r="C613" s="6026" t="s">
        <v>3024</v>
      </c>
      <c r="D613" s="6026" t="s">
        <v>3025</v>
      </c>
      <c r="E613" s="6026" t="s">
        <v>3026</v>
      </c>
      <c r="F613" s="6026" t="s">
        <v>3027</v>
      </c>
      <c r="G613" s="6026" t="s">
        <v>24</v>
      </c>
      <c r="H613" s="6026" t="s">
        <v>24</v>
      </c>
      <c r="I613" s="6026" t="s">
        <v>752</v>
      </c>
    </row>
    <row customHeight="1" ht="11.25">
      <c r="A614" s="6026" t="s">
        <v>2185</v>
      </c>
      <c r="B614" s="6026" t="s">
        <v>14</v>
      </c>
      <c r="C614" s="6026" t="s">
        <v>3028</v>
      </c>
      <c r="D614" s="6026" t="s">
        <v>3029</v>
      </c>
      <c r="E614" s="6026" t="s">
        <v>3030</v>
      </c>
      <c r="F614" s="6026" t="s">
        <v>2380</v>
      </c>
      <c r="G614" s="6026" t="s">
        <v>24</v>
      </c>
      <c r="H614" s="6026" t="s">
        <v>24</v>
      </c>
      <c r="I614" s="6026" t="s">
        <v>752</v>
      </c>
    </row>
    <row customHeight="1" ht="11.25">
      <c r="A615" s="6026" t="s">
        <v>2185</v>
      </c>
      <c r="B615" s="6026" t="s">
        <v>14</v>
      </c>
      <c r="C615" s="6026" t="s">
        <v>3031</v>
      </c>
      <c r="D615" s="6026" t="s">
        <v>3032</v>
      </c>
      <c r="E615" s="6026" t="s">
        <v>3033</v>
      </c>
      <c r="F615" s="6026" t="s">
        <v>3034</v>
      </c>
      <c r="G615" s="6026" t="s">
        <v>24</v>
      </c>
      <c r="H615" s="6026" t="s">
        <v>24</v>
      </c>
      <c r="I615" s="6026" t="s">
        <v>752</v>
      </c>
    </row>
    <row customHeight="1" ht="11.25">
      <c r="A616" s="6026" t="s">
        <v>2185</v>
      </c>
      <c r="B616" s="6026" t="s">
        <v>14</v>
      </c>
      <c r="C616" s="6026" t="s">
        <v>3443</v>
      </c>
      <c r="D616" s="6026" t="s">
        <v>3444</v>
      </c>
      <c r="E616" s="6026" t="s">
        <v>3442</v>
      </c>
      <c r="F616" s="6026" t="s">
        <v>2288</v>
      </c>
      <c r="G616" s="6026" t="s">
        <v>24</v>
      </c>
      <c r="H616" s="6026" t="s">
        <v>24</v>
      </c>
      <c r="I616" s="6026" t="s">
        <v>752</v>
      </c>
    </row>
    <row customHeight="1" ht="11.25">
      <c r="A617" s="6026" t="s">
        <v>2185</v>
      </c>
      <c r="B617" s="6026" t="s">
        <v>14</v>
      </c>
      <c r="C617" s="6026" t="s">
        <v>3052</v>
      </c>
      <c r="D617" s="6026" t="s">
        <v>3053</v>
      </c>
      <c r="E617" s="6026" t="s">
        <v>3026</v>
      </c>
      <c r="F617" s="6026" t="s">
        <v>3054</v>
      </c>
      <c r="G617" s="6026" t="s">
        <v>24</v>
      </c>
      <c r="H617" s="6026" t="s">
        <v>24</v>
      </c>
      <c r="I617" s="6026" t="s">
        <v>752</v>
      </c>
    </row>
    <row customHeight="1" ht="11.25">
      <c r="A618" s="6026" t="s">
        <v>2185</v>
      </c>
      <c r="B618" s="6026" t="s">
        <v>14</v>
      </c>
      <c r="C618" s="6026" t="s">
        <v>3055</v>
      </c>
      <c r="D618" s="6026" t="s">
        <v>3056</v>
      </c>
      <c r="E618" s="6026" t="s">
        <v>3050</v>
      </c>
      <c r="F618" s="6026" t="s">
        <v>3057</v>
      </c>
      <c r="G618" s="6026" t="s">
        <v>24</v>
      </c>
      <c r="H618" s="6026" t="s">
        <v>24</v>
      </c>
      <c r="I618" s="6026" t="s">
        <v>752</v>
      </c>
    </row>
    <row customHeight="1" ht="11.25">
      <c r="A619" s="6026" t="s">
        <v>2185</v>
      </c>
      <c r="B619" s="6026" t="s">
        <v>14</v>
      </c>
      <c r="C619" s="6026" t="s">
        <v>3061</v>
      </c>
      <c r="D619" s="6026" t="s">
        <v>3062</v>
      </c>
      <c r="E619" s="6026" t="s">
        <v>3063</v>
      </c>
      <c r="F619" s="6026" t="s">
        <v>2247</v>
      </c>
      <c r="G619" s="6026" t="s">
        <v>3064</v>
      </c>
      <c r="H619" s="6026" t="s">
        <v>24</v>
      </c>
      <c r="I619" s="6026" t="s">
        <v>752</v>
      </c>
    </row>
    <row customHeight="1" ht="11.25">
      <c r="A620" s="6026" t="s">
        <v>2185</v>
      </c>
      <c r="B620" s="6026" t="s">
        <v>14</v>
      </c>
      <c r="C620" s="6026" t="s">
        <v>2190</v>
      </c>
      <c r="D620" s="6026" t="s">
        <v>2191</v>
      </c>
      <c r="E620" s="6026" t="s">
        <v>2192</v>
      </c>
      <c r="F620" s="6026" t="s">
        <v>2193</v>
      </c>
      <c r="G620" s="6026" t="s">
        <v>24</v>
      </c>
      <c r="H620" s="6026" t="s">
        <v>24</v>
      </c>
      <c r="I620" s="6026" t="s">
        <v>804</v>
      </c>
    </row>
    <row customHeight="1" ht="11.25">
      <c r="A621" s="6026" t="s">
        <v>2185</v>
      </c>
      <c r="B621" s="6026" t="s">
        <v>14</v>
      </c>
      <c r="C621" s="6026" t="s">
        <v>2194</v>
      </c>
      <c r="D621" s="6026" t="s">
        <v>2195</v>
      </c>
      <c r="E621" s="6026" t="s">
        <v>2196</v>
      </c>
      <c r="F621" s="6026" t="s">
        <v>2197</v>
      </c>
      <c r="G621" s="6026" t="s">
        <v>24</v>
      </c>
      <c r="H621" s="6026" t="s">
        <v>24</v>
      </c>
      <c r="I621" s="6026" t="s">
        <v>804</v>
      </c>
    </row>
    <row customHeight="1" ht="11.25">
      <c r="A622" s="6026" t="s">
        <v>2185</v>
      </c>
      <c r="B622" s="6026" t="s">
        <v>14</v>
      </c>
      <c r="C622" s="6026" t="s">
        <v>2209</v>
      </c>
      <c r="D622" s="6026" t="s">
        <v>2210</v>
      </c>
      <c r="E622" s="6026" t="s">
        <v>2211</v>
      </c>
      <c r="F622" s="6026" t="s">
        <v>2212</v>
      </c>
      <c r="G622" s="6026" t="s">
        <v>24</v>
      </c>
      <c r="H622" s="6026" t="s">
        <v>24</v>
      </c>
      <c r="I622" s="6026" t="s">
        <v>804</v>
      </c>
    </row>
    <row customHeight="1" ht="11.25">
      <c r="A623" s="6026" t="s">
        <v>2185</v>
      </c>
      <c r="B623" s="6026" t="s">
        <v>14</v>
      </c>
      <c r="C623" s="6026" t="s">
        <v>2213</v>
      </c>
      <c r="D623" s="6026" t="s">
        <v>2214</v>
      </c>
      <c r="E623" s="6026" t="s">
        <v>2215</v>
      </c>
      <c r="F623" s="6026" t="s">
        <v>2216</v>
      </c>
      <c r="G623" s="6026" t="s">
        <v>24</v>
      </c>
      <c r="H623" s="6026" t="s">
        <v>24</v>
      </c>
      <c r="I623" s="6026" t="s">
        <v>804</v>
      </c>
    </row>
    <row customHeight="1" ht="11.25">
      <c r="A624" s="6026" t="s">
        <v>2185</v>
      </c>
      <c r="B624" s="6026" t="s">
        <v>14</v>
      </c>
      <c r="C624" s="6026" t="s">
        <v>2217</v>
      </c>
      <c r="D624" s="6026" t="s">
        <v>2218</v>
      </c>
      <c r="E624" s="6026" t="s">
        <v>2219</v>
      </c>
      <c r="F624" s="6026" t="s">
        <v>2208</v>
      </c>
      <c r="G624" s="6026" t="s">
        <v>24</v>
      </c>
      <c r="H624" s="6026" t="s">
        <v>24</v>
      </c>
      <c r="I624" s="6026" t="s">
        <v>804</v>
      </c>
    </row>
    <row customHeight="1" ht="11.25">
      <c r="A625" s="6026" t="s">
        <v>2185</v>
      </c>
      <c r="B625" s="6026" t="s">
        <v>14</v>
      </c>
      <c r="C625" s="6026" t="s">
        <v>2220</v>
      </c>
      <c r="D625" s="6026" t="s">
        <v>2221</v>
      </c>
      <c r="E625" s="6026" t="s">
        <v>2222</v>
      </c>
      <c r="F625" s="6026" t="s">
        <v>2216</v>
      </c>
      <c r="G625" s="6026" t="s">
        <v>24</v>
      </c>
      <c r="H625" s="6026" t="s">
        <v>24</v>
      </c>
      <c r="I625" s="6026" t="s">
        <v>804</v>
      </c>
    </row>
    <row customHeight="1" ht="11.25">
      <c r="A626" s="6026" t="s">
        <v>2185</v>
      </c>
      <c r="B626" s="6026" t="s">
        <v>14</v>
      </c>
      <c r="C626" s="6026" t="s">
        <v>2223</v>
      </c>
      <c r="D626" s="6026" t="s">
        <v>2224</v>
      </c>
      <c r="E626" s="6026" t="s">
        <v>2225</v>
      </c>
      <c r="F626" s="6026" t="s">
        <v>2204</v>
      </c>
      <c r="G626" s="6026" t="s">
        <v>24</v>
      </c>
      <c r="H626" s="6026" t="s">
        <v>24</v>
      </c>
      <c r="I626" s="6026" t="s">
        <v>804</v>
      </c>
    </row>
    <row customHeight="1" ht="11.25">
      <c r="A627" s="6026" t="s">
        <v>2185</v>
      </c>
      <c r="B627" s="6026" t="s">
        <v>14</v>
      </c>
      <c r="C627" s="6026" t="s">
        <v>2226</v>
      </c>
      <c r="D627" s="6026" t="s">
        <v>2227</v>
      </c>
      <c r="E627" s="6026" t="s">
        <v>2228</v>
      </c>
      <c r="F627" s="6026" t="s">
        <v>2208</v>
      </c>
      <c r="G627" s="6026" t="s">
        <v>24</v>
      </c>
      <c r="H627" s="6026" t="s">
        <v>24</v>
      </c>
      <c r="I627" s="6026" t="s">
        <v>804</v>
      </c>
    </row>
    <row customHeight="1" ht="11.25">
      <c r="A628" s="6026" t="s">
        <v>2185</v>
      </c>
      <c r="B628" s="6026" t="s">
        <v>14</v>
      </c>
      <c r="C628" s="6026" t="s">
        <v>3069</v>
      </c>
      <c r="D628" s="6026" t="s">
        <v>3070</v>
      </c>
      <c r="E628" s="6026" t="s">
        <v>3071</v>
      </c>
      <c r="F628" s="6026" t="s">
        <v>2189</v>
      </c>
      <c r="G628" s="6026" t="s">
        <v>24</v>
      </c>
      <c r="H628" s="6026" t="s">
        <v>24</v>
      </c>
      <c r="I628" s="6026" t="s">
        <v>804</v>
      </c>
    </row>
    <row customHeight="1" ht="11.25">
      <c r="A629" s="6026" t="s">
        <v>2185</v>
      </c>
      <c r="B629" s="6026" t="s">
        <v>14</v>
      </c>
      <c r="C629" s="6026" t="s">
        <v>2239</v>
      </c>
      <c r="D629" s="6026" t="s">
        <v>45</v>
      </c>
      <c r="E629" s="6026" t="s">
        <v>48</v>
      </c>
      <c r="F629" s="6026" t="s">
        <v>50</v>
      </c>
      <c r="G629" s="6026" t="s">
        <v>24</v>
      </c>
      <c r="H629" s="6026" t="s">
        <v>24</v>
      </c>
      <c r="I629" s="6026" t="s">
        <v>804</v>
      </c>
    </row>
    <row customHeight="1" ht="11.25">
      <c r="A630" s="6026" t="s">
        <v>2185</v>
      </c>
      <c r="B630" s="6026" t="s">
        <v>14</v>
      </c>
      <c r="C630" s="6026" t="s">
        <v>3075</v>
      </c>
      <c r="D630" s="6026" t="s">
        <v>3076</v>
      </c>
      <c r="E630" s="6026" t="s">
        <v>3077</v>
      </c>
      <c r="F630" s="6026" t="s">
        <v>2216</v>
      </c>
      <c r="G630" s="6026" t="s">
        <v>24</v>
      </c>
      <c r="H630" s="6026" t="s">
        <v>24</v>
      </c>
      <c r="I630" s="6026" t="s">
        <v>804</v>
      </c>
    </row>
    <row customHeight="1" ht="11.25">
      <c r="A631" s="6026" t="s">
        <v>2185</v>
      </c>
      <c r="B631" s="6026" t="s">
        <v>14</v>
      </c>
      <c r="C631" s="6026" t="s">
        <v>2248</v>
      </c>
      <c r="D631" s="6026" t="s">
        <v>2249</v>
      </c>
      <c r="E631" s="6026" t="s">
        <v>2250</v>
      </c>
      <c r="F631" s="6026" t="s">
        <v>2251</v>
      </c>
      <c r="G631" s="6026" t="s">
        <v>24</v>
      </c>
      <c r="H631" s="6026" t="s">
        <v>24</v>
      </c>
      <c r="I631" s="6026" t="s">
        <v>804</v>
      </c>
    </row>
    <row customHeight="1" ht="11.25">
      <c r="A632" s="6026" t="s">
        <v>2185</v>
      </c>
      <c r="B632" s="6026" t="s">
        <v>14</v>
      </c>
      <c r="C632" s="6026" t="s">
        <v>2278</v>
      </c>
      <c r="D632" s="6026" t="s">
        <v>2279</v>
      </c>
      <c r="E632" s="6026" t="s">
        <v>2280</v>
      </c>
      <c r="F632" s="6026" t="s">
        <v>2216</v>
      </c>
      <c r="G632" s="6026" t="s">
        <v>24</v>
      </c>
      <c r="H632" s="6026" t="s">
        <v>24</v>
      </c>
      <c r="I632" s="6026" t="s">
        <v>804</v>
      </c>
    </row>
    <row customHeight="1" ht="11.25">
      <c r="A633" s="6026" t="s">
        <v>2185</v>
      </c>
      <c r="B633" s="6026" t="s">
        <v>14</v>
      </c>
      <c r="C633" s="6026" t="s">
        <v>2285</v>
      </c>
      <c r="D633" s="6026" t="s">
        <v>2286</v>
      </c>
      <c r="E633" s="6026" t="s">
        <v>2287</v>
      </c>
      <c r="F633" s="6026" t="s">
        <v>2288</v>
      </c>
      <c r="G633" s="6026" t="s">
        <v>24</v>
      </c>
      <c r="H633" s="6026" t="s">
        <v>24</v>
      </c>
      <c r="I633" s="6026" t="s">
        <v>804</v>
      </c>
    </row>
    <row customHeight="1" ht="11.25">
      <c r="A634" s="6026" t="s">
        <v>2185</v>
      </c>
      <c r="B634" s="6026" t="s">
        <v>14</v>
      </c>
      <c r="C634" s="6026" t="s">
        <v>2289</v>
      </c>
      <c r="D634" s="6026" t="s">
        <v>2290</v>
      </c>
      <c r="E634" s="6026" t="s">
        <v>2291</v>
      </c>
      <c r="F634" s="6026" t="s">
        <v>2292</v>
      </c>
      <c r="G634" s="6026" t="s">
        <v>24</v>
      </c>
      <c r="H634" s="6026" t="s">
        <v>24</v>
      </c>
      <c r="I634" s="6026" t="s">
        <v>804</v>
      </c>
    </row>
    <row customHeight="1" ht="11.25">
      <c r="A635" s="6026" t="s">
        <v>2185</v>
      </c>
      <c r="B635" s="6026" t="s">
        <v>14</v>
      </c>
      <c r="C635" s="6026" t="s">
        <v>3081</v>
      </c>
      <c r="D635" s="6026" t="s">
        <v>3082</v>
      </c>
      <c r="E635" s="6026" t="s">
        <v>3083</v>
      </c>
      <c r="F635" s="6026" t="s">
        <v>2204</v>
      </c>
      <c r="G635" s="6026" t="s">
        <v>24</v>
      </c>
      <c r="H635" s="6026" t="s">
        <v>24</v>
      </c>
      <c r="I635" s="6026" t="s">
        <v>804</v>
      </c>
    </row>
    <row customHeight="1" ht="11.25">
      <c r="A636" s="6026" t="s">
        <v>2185</v>
      </c>
      <c r="B636" s="6026" t="s">
        <v>14</v>
      </c>
      <c r="C636" s="6026" t="s">
        <v>2299</v>
      </c>
      <c r="D636" s="6026" t="s">
        <v>2300</v>
      </c>
      <c r="E636" s="6026" t="s">
        <v>2301</v>
      </c>
      <c r="F636" s="6026" t="s">
        <v>2204</v>
      </c>
      <c r="G636" s="6026" t="s">
        <v>24</v>
      </c>
      <c r="H636" s="6026" t="s">
        <v>24</v>
      </c>
      <c r="I636" s="6026" t="s">
        <v>804</v>
      </c>
    </row>
    <row customHeight="1" ht="11.25">
      <c r="A637" s="6026" t="s">
        <v>2185</v>
      </c>
      <c r="B637" s="6026" t="s">
        <v>14</v>
      </c>
      <c r="C637" s="6026" t="s">
        <v>2309</v>
      </c>
      <c r="D637" s="6026" t="s">
        <v>2310</v>
      </c>
      <c r="E637" s="6026" t="s">
        <v>2283</v>
      </c>
      <c r="F637" s="6026" t="s">
        <v>2311</v>
      </c>
      <c r="G637" s="6026" t="s">
        <v>24</v>
      </c>
      <c r="H637" s="6026" t="s">
        <v>24</v>
      </c>
      <c r="I637" s="6026" t="s">
        <v>804</v>
      </c>
    </row>
    <row customHeight="1" ht="11.25">
      <c r="A638" s="6026" t="s">
        <v>2185</v>
      </c>
      <c r="B638" s="6026" t="s">
        <v>14</v>
      </c>
      <c r="C638" s="6026" t="s">
        <v>2330</v>
      </c>
      <c r="D638" s="6026" t="s">
        <v>2331</v>
      </c>
      <c r="E638" s="6026" t="s">
        <v>2332</v>
      </c>
      <c r="F638" s="6026" t="s">
        <v>559</v>
      </c>
      <c r="G638" s="6026" t="s">
        <v>24</v>
      </c>
      <c r="H638" s="6026" t="s">
        <v>24</v>
      </c>
      <c r="I638" s="6026" t="s">
        <v>804</v>
      </c>
    </row>
    <row customHeight="1" ht="11.25">
      <c r="A639" s="6026" t="s">
        <v>2185</v>
      </c>
      <c r="B639" s="6026" t="s">
        <v>14</v>
      </c>
      <c r="C639" s="6026" t="s">
        <v>3106</v>
      </c>
      <c r="D639" s="6026" t="s">
        <v>3107</v>
      </c>
      <c r="E639" s="6026" t="s">
        <v>3108</v>
      </c>
      <c r="F639" s="6026" t="s">
        <v>2247</v>
      </c>
      <c r="G639" s="6026" t="s">
        <v>24</v>
      </c>
      <c r="H639" s="6026" t="s">
        <v>24</v>
      </c>
      <c r="I639" s="6026" t="s">
        <v>804</v>
      </c>
    </row>
    <row customHeight="1" ht="11.25">
      <c r="A640" s="6026" t="s">
        <v>2185</v>
      </c>
      <c r="B640" s="6026" t="s">
        <v>14</v>
      </c>
      <c r="C640" s="6026" t="s">
        <v>2339</v>
      </c>
      <c r="D640" s="6026" t="s">
        <v>2340</v>
      </c>
      <c r="E640" s="6026" t="s">
        <v>2341</v>
      </c>
      <c r="F640" s="6026" t="s">
        <v>2342</v>
      </c>
      <c r="G640" s="6026" t="s">
        <v>24</v>
      </c>
      <c r="H640" s="6026" t="s">
        <v>24</v>
      </c>
      <c r="I640" s="6026" t="s">
        <v>804</v>
      </c>
    </row>
    <row customHeight="1" ht="11.25">
      <c r="A641" s="6026" t="s">
        <v>2185</v>
      </c>
      <c r="B641" s="6026" t="s">
        <v>14</v>
      </c>
      <c r="C641" s="6026" t="s">
        <v>3109</v>
      </c>
      <c r="D641" s="6026" t="s">
        <v>3110</v>
      </c>
      <c r="E641" s="6026" t="s">
        <v>3111</v>
      </c>
      <c r="F641" s="6026" t="s">
        <v>2288</v>
      </c>
      <c r="G641" s="6026" t="s">
        <v>24</v>
      </c>
      <c r="H641" s="6026" t="s">
        <v>3112</v>
      </c>
      <c r="I641" s="6026" t="s">
        <v>804</v>
      </c>
    </row>
    <row customHeight="1" ht="11.25">
      <c r="A642" s="6026" t="s">
        <v>2185</v>
      </c>
      <c r="B642" s="6026" t="s">
        <v>14</v>
      </c>
      <c r="C642" s="6026" t="s">
        <v>3113</v>
      </c>
      <c r="D642" s="6026" t="s">
        <v>3114</v>
      </c>
      <c r="E642" s="6026" t="s">
        <v>3115</v>
      </c>
      <c r="F642" s="6026" t="s">
        <v>2288</v>
      </c>
      <c r="G642" s="6026" t="s">
        <v>24</v>
      </c>
      <c r="H642" s="6026" t="s">
        <v>24</v>
      </c>
      <c r="I642" s="6026" t="s">
        <v>804</v>
      </c>
    </row>
    <row customHeight="1" ht="11.25">
      <c r="A643" s="6026" t="s">
        <v>2185</v>
      </c>
      <c r="B643" s="6026" t="s">
        <v>14</v>
      </c>
      <c r="C643" s="6026" t="s">
        <v>24</v>
      </c>
      <c r="D643" s="6026" t="s">
        <v>2350</v>
      </c>
      <c r="E643" s="6026" t="s">
        <v>2351</v>
      </c>
      <c r="F643" s="6026" t="s">
        <v>2204</v>
      </c>
      <c r="G643" s="6026" t="s">
        <v>24</v>
      </c>
      <c r="H643" s="6026" t="s">
        <v>24</v>
      </c>
      <c r="I643" s="6026" t="s">
        <v>804</v>
      </c>
    </row>
    <row customHeight="1" ht="11.25">
      <c r="A644" s="6026" t="s">
        <v>2185</v>
      </c>
      <c r="B644" s="6026" t="s">
        <v>14</v>
      </c>
      <c r="C644" s="6026" t="s">
        <v>3445</v>
      </c>
      <c r="D644" s="6026" t="s">
        <v>3446</v>
      </c>
      <c r="E644" s="6026" t="s">
        <v>3447</v>
      </c>
      <c r="F644" s="6026" t="s">
        <v>2204</v>
      </c>
      <c r="G644" s="6026" t="s">
        <v>24</v>
      </c>
      <c r="H644" s="6026" t="s">
        <v>24</v>
      </c>
      <c r="I644" s="6026" t="s">
        <v>804</v>
      </c>
    </row>
    <row customHeight="1" ht="11.25">
      <c r="A645" s="6026" t="s">
        <v>2185</v>
      </c>
      <c r="B645" s="6026" t="s">
        <v>14</v>
      </c>
      <c r="C645" s="6026" t="s">
        <v>2352</v>
      </c>
      <c r="D645" s="6026" t="s">
        <v>2353</v>
      </c>
      <c r="E645" s="6026" t="s">
        <v>2354</v>
      </c>
      <c r="F645" s="6026" t="s">
        <v>2292</v>
      </c>
      <c r="G645" s="6026" t="s">
        <v>24</v>
      </c>
      <c r="H645" s="6026" t="s">
        <v>24</v>
      </c>
      <c r="I645" s="6026" t="s">
        <v>804</v>
      </c>
    </row>
    <row customHeight="1" ht="11.25">
      <c r="A646" s="6026" t="s">
        <v>2185</v>
      </c>
      <c r="B646" s="6026" t="s">
        <v>14</v>
      </c>
      <c r="C646" s="6026" t="s">
        <v>3116</v>
      </c>
      <c r="D646" s="6026" t="s">
        <v>3117</v>
      </c>
      <c r="E646" s="6026" t="s">
        <v>3118</v>
      </c>
      <c r="F646" s="6026" t="s">
        <v>2380</v>
      </c>
      <c r="G646" s="6026" t="s">
        <v>24</v>
      </c>
      <c r="H646" s="6026" t="s">
        <v>24</v>
      </c>
      <c r="I646" s="6026" t="s">
        <v>804</v>
      </c>
    </row>
    <row customHeight="1" ht="11.25">
      <c r="A647" s="6026" t="s">
        <v>2185</v>
      </c>
      <c r="B647" s="6026" t="s">
        <v>14</v>
      </c>
      <c r="C647" s="6026" t="s">
        <v>3119</v>
      </c>
      <c r="D647" s="6026" t="s">
        <v>3120</v>
      </c>
      <c r="E647" s="6026" t="s">
        <v>3121</v>
      </c>
      <c r="F647" s="6026" t="s">
        <v>2380</v>
      </c>
      <c r="G647" s="6026" t="s">
        <v>24</v>
      </c>
      <c r="H647" s="6026" t="s">
        <v>24</v>
      </c>
      <c r="I647" s="6026" t="s">
        <v>804</v>
      </c>
    </row>
    <row customHeight="1" ht="11.25">
      <c r="A648" s="6026" t="s">
        <v>2185</v>
      </c>
      <c r="B648" s="6026" t="s">
        <v>14</v>
      </c>
      <c r="C648" s="6026" t="s">
        <v>3448</v>
      </c>
      <c r="D648" s="6026" t="s">
        <v>3449</v>
      </c>
      <c r="E648" s="6026" t="s">
        <v>3450</v>
      </c>
      <c r="F648" s="6026" t="s">
        <v>2342</v>
      </c>
      <c r="G648" s="6026" t="s">
        <v>24</v>
      </c>
      <c r="H648" s="6026" t="s">
        <v>24</v>
      </c>
      <c r="I648" s="6026" t="s">
        <v>804</v>
      </c>
    </row>
    <row customHeight="1" ht="11.25">
      <c r="A649" s="6026" t="s">
        <v>2185</v>
      </c>
      <c r="B649" s="6026" t="s">
        <v>14</v>
      </c>
      <c r="C649" s="6026" t="s">
        <v>2355</v>
      </c>
      <c r="D649" s="6026" t="s">
        <v>2356</v>
      </c>
      <c r="E649" s="6026" t="s">
        <v>2357</v>
      </c>
      <c r="F649" s="6026" t="s">
        <v>2292</v>
      </c>
      <c r="G649" s="6026" t="s">
        <v>2358</v>
      </c>
      <c r="H649" s="6026" t="s">
        <v>24</v>
      </c>
      <c r="I649" s="6026" t="s">
        <v>804</v>
      </c>
    </row>
    <row customHeight="1" ht="11.25">
      <c r="A650" s="6026" t="s">
        <v>2185</v>
      </c>
      <c r="B650" s="6026" t="s">
        <v>14</v>
      </c>
      <c r="C650" s="6026" t="s">
        <v>3122</v>
      </c>
      <c r="D650" s="6026" t="s">
        <v>3123</v>
      </c>
      <c r="E650" s="6026" t="s">
        <v>3124</v>
      </c>
      <c r="F650" s="6026" t="s">
        <v>2288</v>
      </c>
      <c r="G650" s="6026" t="s">
        <v>24</v>
      </c>
      <c r="H650" s="6026" t="s">
        <v>24</v>
      </c>
      <c r="I650" s="6026" t="s">
        <v>804</v>
      </c>
    </row>
    <row customHeight="1" ht="11.25">
      <c r="A651" s="6026" t="s">
        <v>2185</v>
      </c>
      <c r="B651" s="6026" t="s">
        <v>14</v>
      </c>
      <c r="C651" s="6026" t="s">
        <v>2362</v>
      </c>
      <c r="D651" s="6026" t="s">
        <v>2363</v>
      </c>
      <c r="E651" s="6026" t="s">
        <v>2364</v>
      </c>
      <c r="F651" s="6026" t="s">
        <v>2365</v>
      </c>
      <c r="G651" s="6026" t="s">
        <v>24</v>
      </c>
      <c r="H651" s="6026" t="s">
        <v>24</v>
      </c>
      <c r="I651" s="6026" t="s">
        <v>804</v>
      </c>
    </row>
    <row customHeight="1" ht="11.25">
      <c r="A652" s="6026" t="s">
        <v>2185</v>
      </c>
      <c r="B652" s="6026" t="s">
        <v>14</v>
      </c>
      <c r="C652" s="6026" t="s">
        <v>3125</v>
      </c>
      <c r="D652" s="6026" t="s">
        <v>3126</v>
      </c>
      <c r="E652" s="6026" t="s">
        <v>3127</v>
      </c>
      <c r="F652" s="6026" t="s">
        <v>2247</v>
      </c>
      <c r="G652" s="6026" t="s">
        <v>24</v>
      </c>
      <c r="H652" s="6026" t="s">
        <v>24</v>
      </c>
      <c r="I652" s="6026" t="s">
        <v>804</v>
      </c>
    </row>
    <row customHeight="1" ht="11.25">
      <c r="A653" s="6026" t="s">
        <v>2185</v>
      </c>
      <c r="B653" s="6026" t="s">
        <v>14</v>
      </c>
      <c r="C653" s="6026" t="s">
        <v>3128</v>
      </c>
      <c r="D653" s="6026" t="s">
        <v>3129</v>
      </c>
      <c r="E653" s="6026" t="s">
        <v>3130</v>
      </c>
      <c r="F653" s="6026" t="s">
        <v>2292</v>
      </c>
      <c r="G653" s="6026" t="s">
        <v>3131</v>
      </c>
      <c r="H653" s="6026" t="s">
        <v>24</v>
      </c>
      <c r="I653" s="6026" t="s">
        <v>804</v>
      </c>
    </row>
    <row customHeight="1" ht="11.25">
      <c r="A654" s="6026" t="s">
        <v>2185</v>
      </c>
      <c r="B654" s="6026" t="s">
        <v>14</v>
      </c>
      <c r="C654" s="6026" t="s">
        <v>3451</v>
      </c>
      <c r="D654" s="6026" t="s">
        <v>3452</v>
      </c>
      <c r="E654" s="6026" t="s">
        <v>3453</v>
      </c>
      <c r="F654" s="6026" t="s">
        <v>2380</v>
      </c>
      <c r="G654" s="6026" t="s">
        <v>24</v>
      </c>
      <c r="H654" s="6026" t="s">
        <v>24</v>
      </c>
      <c r="I654" s="6026" t="s">
        <v>804</v>
      </c>
    </row>
    <row customHeight="1" ht="11.25">
      <c r="A655" s="6026" t="s">
        <v>2185</v>
      </c>
      <c r="B655" s="6026" t="s">
        <v>14</v>
      </c>
      <c r="C655" s="6026" t="s">
        <v>2371</v>
      </c>
      <c r="D655" s="6026" t="s">
        <v>2372</v>
      </c>
      <c r="E655" s="6026" t="s">
        <v>2373</v>
      </c>
      <c r="F655" s="6026" t="s">
        <v>2342</v>
      </c>
      <c r="G655" s="6026" t="s">
        <v>24</v>
      </c>
      <c r="H655" s="6026" t="s">
        <v>24</v>
      </c>
      <c r="I655" s="6026" t="s">
        <v>804</v>
      </c>
    </row>
    <row customHeight="1" ht="11.25">
      <c r="A656" s="6026" t="s">
        <v>2185</v>
      </c>
      <c r="B656" s="6026" t="s">
        <v>14</v>
      </c>
      <c r="C656" s="6026" t="s">
        <v>2374</v>
      </c>
      <c r="D656" s="6026" t="s">
        <v>2375</v>
      </c>
      <c r="E656" s="6026" t="s">
        <v>2376</v>
      </c>
      <c r="F656" s="6026" t="s">
        <v>2288</v>
      </c>
      <c r="G656" s="6026" t="s">
        <v>24</v>
      </c>
      <c r="H656" s="6026" t="s">
        <v>24</v>
      </c>
      <c r="I656" s="6026" t="s">
        <v>804</v>
      </c>
    </row>
    <row customHeight="1" ht="11.25">
      <c r="A657" s="6026" t="s">
        <v>2185</v>
      </c>
      <c r="B657" s="6026" t="s">
        <v>14</v>
      </c>
      <c r="C657" s="6026" t="s">
        <v>3132</v>
      </c>
      <c r="D657" s="6026" t="s">
        <v>3133</v>
      </c>
      <c r="E657" s="6026" t="s">
        <v>3134</v>
      </c>
      <c r="F657" s="6026" t="s">
        <v>2216</v>
      </c>
      <c r="G657" s="6026" t="s">
        <v>24</v>
      </c>
      <c r="H657" s="6026" t="s">
        <v>24</v>
      </c>
      <c r="I657" s="6026" t="s">
        <v>804</v>
      </c>
    </row>
    <row customHeight="1" ht="11.25">
      <c r="A658" s="6026" t="s">
        <v>2185</v>
      </c>
      <c r="B658" s="6026" t="s">
        <v>14</v>
      </c>
      <c r="C658" s="6026" t="s">
        <v>2387</v>
      </c>
      <c r="D658" s="6026" t="s">
        <v>2388</v>
      </c>
      <c r="E658" s="6026" t="s">
        <v>2389</v>
      </c>
      <c r="F658" s="6026" t="s">
        <v>2247</v>
      </c>
      <c r="G658" s="6026" t="s">
        <v>24</v>
      </c>
      <c r="H658" s="6026" t="s">
        <v>24</v>
      </c>
      <c r="I658" s="6026" t="s">
        <v>804</v>
      </c>
    </row>
    <row customHeight="1" ht="11.25">
      <c r="A659" s="6026" t="s">
        <v>2185</v>
      </c>
      <c r="B659" s="6026" t="s">
        <v>14</v>
      </c>
      <c r="C659" s="6026" t="s">
        <v>2393</v>
      </c>
      <c r="D659" s="6026" t="s">
        <v>2394</v>
      </c>
      <c r="E659" s="6026" t="s">
        <v>2395</v>
      </c>
      <c r="F659" s="6026" t="s">
        <v>2342</v>
      </c>
      <c r="G659" s="6026" t="s">
        <v>24</v>
      </c>
      <c r="H659" s="6026" t="s">
        <v>24</v>
      </c>
      <c r="I659" s="6026" t="s">
        <v>804</v>
      </c>
    </row>
    <row customHeight="1" ht="11.25">
      <c r="A660" s="6026" t="s">
        <v>2185</v>
      </c>
      <c r="B660" s="6026" t="s">
        <v>14</v>
      </c>
      <c r="C660" s="6026" t="s">
        <v>2396</v>
      </c>
      <c r="D660" s="6026" t="s">
        <v>2397</v>
      </c>
      <c r="E660" s="6026" t="s">
        <v>2398</v>
      </c>
      <c r="F660" s="6026" t="s">
        <v>2288</v>
      </c>
      <c r="G660" s="6026" t="s">
        <v>24</v>
      </c>
      <c r="H660" s="6026" t="s">
        <v>24</v>
      </c>
      <c r="I660" s="6026" t="s">
        <v>804</v>
      </c>
    </row>
    <row customHeight="1" ht="11.25">
      <c r="A661" s="6026" t="s">
        <v>2185</v>
      </c>
      <c r="B661" s="6026" t="s">
        <v>14</v>
      </c>
      <c r="C661" s="6026" t="s">
        <v>2405</v>
      </c>
      <c r="D661" s="6026" t="s">
        <v>2406</v>
      </c>
      <c r="E661" s="6026" t="s">
        <v>2407</v>
      </c>
      <c r="F661" s="6026" t="s">
        <v>2342</v>
      </c>
      <c r="G661" s="6026" t="s">
        <v>24</v>
      </c>
      <c r="H661" s="6026" t="s">
        <v>24</v>
      </c>
      <c r="I661" s="6026" t="s">
        <v>804</v>
      </c>
    </row>
    <row customHeight="1" ht="11.25">
      <c r="A662" s="6026" t="s">
        <v>2185</v>
      </c>
      <c r="B662" s="6026" t="s">
        <v>14</v>
      </c>
      <c r="C662" s="6026" t="s">
        <v>2408</v>
      </c>
      <c r="D662" s="6026" t="s">
        <v>2409</v>
      </c>
      <c r="E662" s="6026" t="s">
        <v>2410</v>
      </c>
      <c r="F662" s="6026" t="s">
        <v>2216</v>
      </c>
      <c r="G662" s="6026" t="s">
        <v>24</v>
      </c>
      <c r="H662" s="6026" t="s">
        <v>24</v>
      </c>
      <c r="I662" s="6026" t="s">
        <v>804</v>
      </c>
    </row>
    <row customHeight="1" ht="11.25">
      <c r="A663" s="6026" t="s">
        <v>2185</v>
      </c>
      <c r="B663" s="6026" t="s">
        <v>14</v>
      </c>
      <c r="C663" s="6026" t="s">
        <v>3135</v>
      </c>
      <c r="D663" s="6026" t="s">
        <v>3136</v>
      </c>
      <c r="E663" s="6026" t="s">
        <v>3137</v>
      </c>
      <c r="F663" s="6026" t="s">
        <v>2288</v>
      </c>
      <c r="G663" s="6026" t="s">
        <v>24</v>
      </c>
      <c r="H663" s="6026" t="s">
        <v>24</v>
      </c>
      <c r="I663" s="6026" t="s">
        <v>804</v>
      </c>
    </row>
    <row customHeight="1" ht="11.25">
      <c r="A664" s="6026" t="s">
        <v>2185</v>
      </c>
      <c r="B664" s="6026" t="s">
        <v>14</v>
      </c>
      <c r="C664" s="6026" t="s">
        <v>2414</v>
      </c>
      <c r="D664" s="6026" t="s">
        <v>2415</v>
      </c>
      <c r="E664" s="6026" t="s">
        <v>2416</v>
      </c>
      <c r="F664" s="6026" t="s">
        <v>2288</v>
      </c>
      <c r="G664" s="6026" t="s">
        <v>24</v>
      </c>
      <c r="H664" s="6026" t="s">
        <v>24</v>
      </c>
      <c r="I664" s="6026" t="s">
        <v>804</v>
      </c>
    </row>
    <row customHeight="1" ht="11.25">
      <c r="A665" s="6026" t="s">
        <v>2185</v>
      </c>
      <c r="B665" s="6026" t="s">
        <v>14</v>
      </c>
      <c r="C665" s="6026" t="s">
        <v>2417</v>
      </c>
      <c r="D665" s="6026" t="s">
        <v>2418</v>
      </c>
      <c r="E665" s="6026" t="s">
        <v>2419</v>
      </c>
      <c r="F665" s="6026" t="s">
        <v>2208</v>
      </c>
      <c r="G665" s="6026" t="s">
        <v>24</v>
      </c>
      <c r="H665" s="6026" t="s">
        <v>24</v>
      </c>
      <c r="I665" s="6026" t="s">
        <v>804</v>
      </c>
    </row>
    <row customHeight="1" ht="11.25">
      <c r="A666" s="6026" t="s">
        <v>2185</v>
      </c>
      <c r="B666" s="6026" t="s">
        <v>14</v>
      </c>
      <c r="C666" s="6026" t="s">
        <v>2430</v>
      </c>
      <c r="D666" s="6026" t="s">
        <v>2431</v>
      </c>
      <c r="E666" s="6026" t="s">
        <v>2432</v>
      </c>
      <c r="F666" s="6026" t="s">
        <v>2380</v>
      </c>
      <c r="G666" s="6026" t="s">
        <v>2433</v>
      </c>
      <c r="H666" s="6026" t="s">
        <v>24</v>
      </c>
      <c r="I666" s="6026" t="s">
        <v>804</v>
      </c>
    </row>
    <row customHeight="1" ht="11.25">
      <c r="A667" s="6026" t="s">
        <v>2185</v>
      </c>
      <c r="B667" s="6026" t="s">
        <v>14</v>
      </c>
      <c r="C667" s="6026" t="s">
        <v>3138</v>
      </c>
      <c r="D667" s="6026" t="s">
        <v>3139</v>
      </c>
      <c r="E667" s="6026" t="s">
        <v>3140</v>
      </c>
      <c r="F667" s="6026" t="s">
        <v>2288</v>
      </c>
      <c r="G667" s="6026" t="s">
        <v>24</v>
      </c>
      <c r="H667" s="6026" t="s">
        <v>24</v>
      </c>
      <c r="I667" s="6026" t="s">
        <v>804</v>
      </c>
    </row>
    <row customHeight="1" ht="11.25">
      <c r="A668" s="6026" t="s">
        <v>2185</v>
      </c>
      <c r="B668" s="6026" t="s">
        <v>14</v>
      </c>
      <c r="C668" s="6026" t="s">
        <v>2456</v>
      </c>
      <c r="D668" s="6026" t="s">
        <v>2457</v>
      </c>
      <c r="E668" s="6026" t="s">
        <v>2458</v>
      </c>
      <c r="F668" s="6026" t="s">
        <v>2292</v>
      </c>
      <c r="G668" s="6026" t="s">
        <v>24</v>
      </c>
      <c r="H668" s="6026" t="s">
        <v>24</v>
      </c>
      <c r="I668" s="6026" t="s">
        <v>804</v>
      </c>
    </row>
    <row customHeight="1" ht="11.25">
      <c r="A669" s="6026" t="s">
        <v>2185</v>
      </c>
      <c r="B669" s="6026" t="s">
        <v>14</v>
      </c>
      <c r="C669" s="6026" t="s">
        <v>3151</v>
      </c>
      <c r="D669" s="6026" t="s">
        <v>3152</v>
      </c>
      <c r="E669" s="6026" t="s">
        <v>3153</v>
      </c>
      <c r="F669" s="6026" t="s">
        <v>2189</v>
      </c>
      <c r="G669" s="6026" t="s">
        <v>24</v>
      </c>
      <c r="H669" s="6026" t="s">
        <v>24</v>
      </c>
      <c r="I669" s="6026" t="s">
        <v>804</v>
      </c>
    </row>
    <row customHeight="1" ht="11.25">
      <c r="A670" s="6026" t="s">
        <v>2185</v>
      </c>
      <c r="B670" s="6026" t="s">
        <v>14</v>
      </c>
      <c r="C670" s="6026" t="s">
        <v>2475</v>
      </c>
      <c r="D670" s="6026" t="s">
        <v>2476</v>
      </c>
      <c r="E670" s="6026" t="s">
        <v>2477</v>
      </c>
      <c r="F670" s="6026" t="s">
        <v>2208</v>
      </c>
      <c r="G670" s="6026" t="s">
        <v>24</v>
      </c>
      <c r="H670" s="6026" t="s">
        <v>24</v>
      </c>
      <c r="I670" s="6026" t="s">
        <v>804</v>
      </c>
    </row>
    <row customHeight="1" ht="11.25">
      <c r="A671" s="6026" t="s">
        <v>2185</v>
      </c>
      <c r="B671" s="6026" t="s">
        <v>14</v>
      </c>
      <c r="C671" s="6026" t="s">
        <v>3154</v>
      </c>
      <c r="D671" s="6026" t="s">
        <v>3155</v>
      </c>
      <c r="E671" s="6026" t="s">
        <v>3156</v>
      </c>
      <c r="F671" s="6026" t="s">
        <v>2247</v>
      </c>
      <c r="G671" s="6026" t="s">
        <v>24</v>
      </c>
      <c r="H671" s="6026" t="s">
        <v>24</v>
      </c>
      <c r="I671" s="6026" t="s">
        <v>804</v>
      </c>
    </row>
    <row customHeight="1" ht="11.25">
      <c r="A672" s="6026" t="s">
        <v>2185</v>
      </c>
      <c r="B672" s="6026" t="s">
        <v>14</v>
      </c>
      <c r="C672" s="6026" t="s">
        <v>2481</v>
      </c>
      <c r="D672" s="6026" t="s">
        <v>2482</v>
      </c>
      <c r="E672" s="6026" t="s">
        <v>2483</v>
      </c>
      <c r="F672" s="6026" t="s">
        <v>2208</v>
      </c>
      <c r="G672" s="6026" t="s">
        <v>24</v>
      </c>
      <c r="H672" s="6026" t="s">
        <v>24</v>
      </c>
      <c r="I672" s="6026" t="s">
        <v>804</v>
      </c>
    </row>
    <row customHeight="1" ht="11.25">
      <c r="A673" s="6026" t="s">
        <v>2185</v>
      </c>
      <c r="B673" s="6026" t="s">
        <v>14</v>
      </c>
      <c r="C673" s="6026" t="s">
        <v>2499</v>
      </c>
      <c r="D673" s="6026" t="s">
        <v>2500</v>
      </c>
      <c r="E673" s="6026" t="s">
        <v>2501</v>
      </c>
      <c r="F673" s="6026" t="s">
        <v>2342</v>
      </c>
      <c r="G673" s="6026" t="s">
        <v>24</v>
      </c>
      <c r="H673" s="6026" t="s">
        <v>24</v>
      </c>
      <c r="I673" s="6026" t="s">
        <v>804</v>
      </c>
    </row>
    <row customHeight="1" ht="11.25">
      <c r="A674" s="6026" t="s">
        <v>2185</v>
      </c>
      <c r="B674" s="6026" t="s">
        <v>14</v>
      </c>
      <c r="C674" s="6026" t="s">
        <v>2502</v>
      </c>
      <c r="D674" s="6026" t="s">
        <v>2503</v>
      </c>
      <c r="E674" s="6026" t="s">
        <v>2504</v>
      </c>
      <c r="F674" s="6026" t="s">
        <v>2204</v>
      </c>
      <c r="G674" s="6026" t="s">
        <v>24</v>
      </c>
      <c r="H674" s="6026" t="s">
        <v>24</v>
      </c>
      <c r="I674" s="6026" t="s">
        <v>804</v>
      </c>
    </row>
    <row customHeight="1" ht="11.25">
      <c r="A675" s="6026" t="s">
        <v>2185</v>
      </c>
      <c r="B675" s="6026" t="s">
        <v>14</v>
      </c>
      <c r="C675" s="6026" t="s">
        <v>3173</v>
      </c>
      <c r="D675" s="6026" t="s">
        <v>3174</v>
      </c>
      <c r="E675" s="6026" t="s">
        <v>3175</v>
      </c>
      <c r="F675" s="6026" t="s">
        <v>2216</v>
      </c>
      <c r="G675" s="6026" t="s">
        <v>24</v>
      </c>
      <c r="H675" s="6026" t="s">
        <v>24</v>
      </c>
      <c r="I675" s="6026" t="s">
        <v>804</v>
      </c>
    </row>
    <row customHeight="1" ht="11.25">
      <c r="A676" s="6026" t="s">
        <v>2185</v>
      </c>
      <c r="B676" s="6026" t="s">
        <v>14</v>
      </c>
      <c r="C676" s="6026" t="s">
        <v>3176</v>
      </c>
      <c r="D676" s="6026" t="s">
        <v>3177</v>
      </c>
      <c r="E676" s="6026" t="s">
        <v>3178</v>
      </c>
      <c r="F676" s="6026" t="s">
        <v>2247</v>
      </c>
      <c r="G676" s="6026" t="s">
        <v>24</v>
      </c>
      <c r="H676" s="6026" t="s">
        <v>24</v>
      </c>
      <c r="I676" s="6026" t="s">
        <v>804</v>
      </c>
    </row>
    <row customHeight="1" ht="11.25">
      <c r="A677" s="6026" t="s">
        <v>2185</v>
      </c>
      <c r="B677" s="6026" t="s">
        <v>14</v>
      </c>
      <c r="C677" s="6026" t="s">
        <v>3179</v>
      </c>
      <c r="D677" s="6026" t="s">
        <v>3180</v>
      </c>
      <c r="E677" s="6026" t="s">
        <v>3178</v>
      </c>
      <c r="F677" s="6026" t="s">
        <v>3181</v>
      </c>
      <c r="G677" s="6026" t="s">
        <v>24</v>
      </c>
      <c r="H677" s="6026" t="s">
        <v>24</v>
      </c>
      <c r="I677" s="6026" t="s">
        <v>804</v>
      </c>
    </row>
    <row customHeight="1" ht="11.25">
      <c r="A678" s="6026" t="s">
        <v>2185</v>
      </c>
      <c r="B678" s="6026" t="s">
        <v>14</v>
      </c>
      <c r="C678" s="6026" t="s">
        <v>3182</v>
      </c>
      <c r="D678" s="6026" t="s">
        <v>3183</v>
      </c>
      <c r="E678" s="6026" t="s">
        <v>3184</v>
      </c>
      <c r="F678" s="6026" t="s">
        <v>2342</v>
      </c>
      <c r="G678" s="6026" t="s">
        <v>3185</v>
      </c>
      <c r="H678" s="6026" t="s">
        <v>3186</v>
      </c>
      <c r="I678" s="6026" t="s">
        <v>804</v>
      </c>
    </row>
    <row customHeight="1" ht="11.25">
      <c r="A679" s="6026" t="s">
        <v>2185</v>
      </c>
      <c r="B679" s="6026" t="s">
        <v>14</v>
      </c>
      <c r="C679" s="6026" t="s">
        <v>2505</v>
      </c>
      <c r="D679" s="6026" t="s">
        <v>2506</v>
      </c>
      <c r="E679" s="6026" t="s">
        <v>2507</v>
      </c>
      <c r="F679" s="6026" t="s">
        <v>2216</v>
      </c>
      <c r="G679" s="6026" t="s">
        <v>24</v>
      </c>
      <c r="H679" s="6026" t="s">
        <v>24</v>
      </c>
      <c r="I679" s="6026" t="s">
        <v>804</v>
      </c>
    </row>
    <row customHeight="1" ht="11.25">
      <c r="A680" s="6026" t="s">
        <v>2185</v>
      </c>
      <c r="B680" s="6026" t="s">
        <v>14</v>
      </c>
      <c r="C680" s="6026" t="s">
        <v>3454</v>
      </c>
      <c r="D680" s="6026" t="s">
        <v>3455</v>
      </c>
      <c r="E680" s="6026" t="s">
        <v>3456</v>
      </c>
      <c r="F680" s="6026" t="s">
        <v>2208</v>
      </c>
      <c r="G680" s="6026" t="s">
        <v>3457</v>
      </c>
      <c r="H680" s="6026" t="s">
        <v>24</v>
      </c>
      <c r="I680" s="6026" t="s">
        <v>804</v>
      </c>
    </row>
    <row customHeight="1" ht="11.25">
      <c r="A681" s="6026" t="s">
        <v>2185</v>
      </c>
      <c r="B681" s="6026" t="s">
        <v>14</v>
      </c>
      <c r="C681" s="6026" t="s">
        <v>3193</v>
      </c>
      <c r="D681" s="6026" t="s">
        <v>3194</v>
      </c>
      <c r="E681" s="6026" t="s">
        <v>3195</v>
      </c>
      <c r="F681" s="6026" t="s">
        <v>2204</v>
      </c>
      <c r="G681" s="6026" t="s">
        <v>24</v>
      </c>
      <c r="H681" s="6026" t="s">
        <v>24</v>
      </c>
      <c r="I681" s="6026" t="s">
        <v>804</v>
      </c>
    </row>
    <row customHeight="1" ht="11.25">
      <c r="A682" s="6026" t="s">
        <v>2185</v>
      </c>
      <c r="B682" s="6026" t="s">
        <v>14</v>
      </c>
      <c r="C682" s="6026" t="s">
        <v>2531</v>
      </c>
      <c r="D682" s="6026" t="s">
        <v>2532</v>
      </c>
      <c r="E682" s="6026" t="s">
        <v>2533</v>
      </c>
      <c r="F682" s="6026" t="s">
        <v>2247</v>
      </c>
      <c r="G682" s="6026" t="s">
        <v>24</v>
      </c>
      <c r="H682" s="6026" t="s">
        <v>24</v>
      </c>
      <c r="I682" s="6026" t="s">
        <v>804</v>
      </c>
    </row>
    <row customHeight="1" ht="11.25">
      <c r="A683" s="6026" t="s">
        <v>2185</v>
      </c>
      <c r="B683" s="6026" t="s">
        <v>14</v>
      </c>
      <c r="C683" s="6026" t="s">
        <v>2534</v>
      </c>
      <c r="D683" s="6026" t="s">
        <v>2535</v>
      </c>
      <c r="E683" s="6026" t="s">
        <v>2536</v>
      </c>
      <c r="F683" s="6026" t="s">
        <v>2292</v>
      </c>
      <c r="G683" s="6026" t="s">
        <v>24</v>
      </c>
      <c r="H683" s="6026" t="s">
        <v>24</v>
      </c>
      <c r="I683" s="6026" t="s">
        <v>804</v>
      </c>
    </row>
    <row customHeight="1" ht="11.25">
      <c r="A684" s="6026" t="s">
        <v>2185</v>
      </c>
      <c r="B684" s="6026" t="s">
        <v>14</v>
      </c>
      <c r="C684" s="6026" t="s">
        <v>2545</v>
      </c>
      <c r="D684" s="6026" t="s">
        <v>2546</v>
      </c>
      <c r="E684" s="6026" t="s">
        <v>2547</v>
      </c>
      <c r="F684" s="6026" t="s">
        <v>2548</v>
      </c>
      <c r="G684" s="6026" t="s">
        <v>24</v>
      </c>
      <c r="H684" s="6026" t="s">
        <v>24</v>
      </c>
      <c r="I684" s="6026" t="s">
        <v>804</v>
      </c>
    </row>
    <row customHeight="1" ht="11.25">
      <c r="A685" s="6026" t="s">
        <v>2185</v>
      </c>
      <c r="B685" s="6026" t="s">
        <v>14</v>
      </c>
      <c r="C685" s="6026" t="s">
        <v>2549</v>
      </c>
      <c r="D685" s="6026" t="s">
        <v>2550</v>
      </c>
      <c r="E685" s="6026" t="s">
        <v>2551</v>
      </c>
      <c r="F685" s="6026" t="s">
        <v>2342</v>
      </c>
      <c r="G685" s="6026" t="s">
        <v>24</v>
      </c>
      <c r="H685" s="6026" t="s">
        <v>24</v>
      </c>
      <c r="I685" s="6026" t="s">
        <v>804</v>
      </c>
    </row>
    <row customHeight="1" ht="11.25">
      <c r="A686" s="6026" t="s">
        <v>2185</v>
      </c>
      <c r="B686" s="6026" t="s">
        <v>14</v>
      </c>
      <c r="C686" s="6026" t="s">
        <v>3458</v>
      </c>
      <c r="D686" s="6026" t="s">
        <v>3459</v>
      </c>
      <c r="E686" s="6026" t="s">
        <v>3460</v>
      </c>
      <c r="F686" s="6026" t="s">
        <v>2292</v>
      </c>
      <c r="G686" s="6026" t="s">
        <v>24</v>
      </c>
      <c r="H686" s="6026" t="s">
        <v>24</v>
      </c>
      <c r="I686" s="6026" t="s">
        <v>804</v>
      </c>
    </row>
    <row customHeight="1" ht="11.25">
      <c r="A687" s="6026" t="s">
        <v>2185</v>
      </c>
      <c r="B687" s="6026" t="s">
        <v>14</v>
      </c>
      <c r="C687" s="6026" t="s">
        <v>3202</v>
      </c>
      <c r="D687" s="6026" t="s">
        <v>3203</v>
      </c>
      <c r="E687" s="6026" t="s">
        <v>3204</v>
      </c>
      <c r="F687" s="6026" t="s">
        <v>2216</v>
      </c>
      <c r="G687" s="6026" t="s">
        <v>24</v>
      </c>
      <c r="H687" s="6026" t="s">
        <v>24</v>
      </c>
      <c r="I687" s="6026" t="s">
        <v>804</v>
      </c>
    </row>
    <row customHeight="1" ht="11.25">
      <c r="A688" s="6026" t="s">
        <v>2185</v>
      </c>
      <c r="B688" s="6026" t="s">
        <v>14</v>
      </c>
      <c r="C688" s="6026" t="s">
        <v>2565</v>
      </c>
      <c r="D688" s="6026" t="s">
        <v>2566</v>
      </c>
      <c r="E688" s="6026" t="s">
        <v>2567</v>
      </c>
      <c r="F688" s="6026" t="s">
        <v>2208</v>
      </c>
      <c r="G688" s="6026" t="s">
        <v>24</v>
      </c>
      <c r="H688" s="6026" t="s">
        <v>24</v>
      </c>
      <c r="I688" s="6026" t="s">
        <v>804</v>
      </c>
    </row>
    <row customHeight="1" ht="11.25">
      <c r="A689" s="6026" t="s">
        <v>2185</v>
      </c>
      <c r="B689" s="6026" t="s">
        <v>14</v>
      </c>
      <c r="C689" s="6026" t="s">
        <v>3461</v>
      </c>
      <c r="D689" s="6026" t="s">
        <v>3462</v>
      </c>
      <c r="E689" s="6026" t="s">
        <v>3463</v>
      </c>
      <c r="F689" s="6026" t="s">
        <v>2247</v>
      </c>
      <c r="G689" s="6026" t="s">
        <v>3464</v>
      </c>
      <c r="H689" s="6026" t="s">
        <v>24</v>
      </c>
      <c r="I689" s="6026" t="s">
        <v>804</v>
      </c>
    </row>
    <row customHeight="1" ht="11.25">
      <c r="A690" s="6026" t="s">
        <v>2185</v>
      </c>
      <c r="B690" s="6026" t="s">
        <v>14</v>
      </c>
      <c r="C690" s="6026" t="s">
        <v>3219</v>
      </c>
      <c r="D690" s="6026" t="s">
        <v>3220</v>
      </c>
      <c r="E690" s="6026" t="s">
        <v>3221</v>
      </c>
      <c r="F690" s="6026" t="s">
        <v>2288</v>
      </c>
      <c r="G690" s="6026" t="s">
        <v>3222</v>
      </c>
      <c r="H690" s="6026" t="s">
        <v>24</v>
      </c>
      <c r="I690" s="6026" t="s">
        <v>804</v>
      </c>
    </row>
    <row customHeight="1" ht="11.25">
      <c r="A691" s="6026" t="s">
        <v>2185</v>
      </c>
      <c r="B691" s="6026" t="s">
        <v>14</v>
      </c>
      <c r="C691" s="6026" t="s">
        <v>3223</v>
      </c>
      <c r="D691" s="6026" t="s">
        <v>3224</v>
      </c>
      <c r="E691" s="6026" t="s">
        <v>3225</v>
      </c>
      <c r="F691" s="6026" t="s">
        <v>2292</v>
      </c>
      <c r="G691" s="6026" t="s">
        <v>24</v>
      </c>
      <c r="H691" s="6026" t="s">
        <v>24</v>
      </c>
      <c r="I691" s="6026" t="s">
        <v>804</v>
      </c>
    </row>
    <row customHeight="1" ht="11.25">
      <c r="A692" s="6026" t="s">
        <v>2185</v>
      </c>
      <c r="B692" s="6026" t="s">
        <v>14</v>
      </c>
      <c r="C692" s="6026" t="s">
        <v>3226</v>
      </c>
      <c r="D692" s="6026" t="s">
        <v>3227</v>
      </c>
      <c r="E692" s="6026" t="s">
        <v>2772</v>
      </c>
      <c r="F692" s="6026" t="s">
        <v>2204</v>
      </c>
      <c r="G692" s="6026" t="s">
        <v>24</v>
      </c>
      <c r="H692" s="6026" t="s">
        <v>24</v>
      </c>
      <c r="I692" s="6026" t="s">
        <v>804</v>
      </c>
    </row>
    <row customHeight="1" ht="11.25">
      <c r="A693" s="6026" t="s">
        <v>2185</v>
      </c>
      <c r="B693" s="6026" t="s">
        <v>14</v>
      </c>
      <c r="C693" s="6026" t="s">
        <v>2633</v>
      </c>
      <c r="D693" s="6026" t="s">
        <v>2634</v>
      </c>
      <c r="E693" s="6026" t="s">
        <v>2635</v>
      </c>
      <c r="F693" s="6026" t="s">
        <v>2216</v>
      </c>
      <c r="G693" s="6026" t="s">
        <v>24</v>
      </c>
      <c r="H693" s="6026" t="s">
        <v>24</v>
      </c>
      <c r="I693" s="6026" t="s">
        <v>804</v>
      </c>
    </row>
    <row customHeight="1" ht="11.25">
      <c r="A694" s="6026" t="s">
        <v>2185</v>
      </c>
      <c r="B694" s="6026" t="s">
        <v>14</v>
      </c>
      <c r="C694" s="6026" t="s">
        <v>3228</v>
      </c>
      <c r="D694" s="6026" t="s">
        <v>3229</v>
      </c>
      <c r="E694" s="6026" t="s">
        <v>3230</v>
      </c>
      <c r="F694" s="6026" t="s">
        <v>2212</v>
      </c>
      <c r="G694" s="6026" t="s">
        <v>24</v>
      </c>
      <c r="H694" s="6026" t="s">
        <v>24</v>
      </c>
      <c r="I694" s="6026" t="s">
        <v>804</v>
      </c>
    </row>
    <row customHeight="1" ht="11.25">
      <c r="A695" s="6026" t="s">
        <v>2185</v>
      </c>
      <c r="B695" s="6026" t="s">
        <v>14</v>
      </c>
      <c r="C695" s="6026" t="s">
        <v>3234</v>
      </c>
      <c r="D695" s="6026" t="s">
        <v>3235</v>
      </c>
      <c r="E695" s="6026" t="s">
        <v>3236</v>
      </c>
      <c r="F695" s="6026" t="s">
        <v>2216</v>
      </c>
      <c r="G695" s="6026" t="s">
        <v>24</v>
      </c>
      <c r="H695" s="6026" t="s">
        <v>24</v>
      </c>
      <c r="I695" s="6026" t="s">
        <v>804</v>
      </c>
    </row>
    <row customHeight="1" ht="11.25">
      <c r="A696" s="6026" t="s">
        <v>2185</v>
      </c>
      <c r="B696" s="6026" t="s">
        <v>14</v>
      </c>
      <c r="C696" s="6026" t="s">
        <v>3240</v>
      </c>
      <c r="D696" s="6026" t="s">
        <v>3241</v>
      </c>
      <c r="E696" s="6026" t="s">
        <v>3242</v>
      </c>
      <c r="F696" s="6026" t="s">
        <v>2216</v>
      </c>
      <c r="G696" s="6026" t="s">
        <v>24</v>
      </c>
      <c r="H696" s="6026" t="s">
        <v>24</v>
      </c>
      <c r="I696" s="6026" t="s">
        <v>804</v>
      </c>
    </row>
    <row customHeight="1" ht="11.25">
      <c r="A697" s="6026" t="s">
        <v>2185</v>
      </c>
      <c r="B697" s="6026" t="s">
        <v>14</v>
      </c>
      <c r="C697" s="6026" t="s">
        <v>2673</v>
      </c>
      <c r="D697" s="6026" t="s">
        <v>2674</v>
      </c>
      <c r="E697" s="6026" t="s">
        <v>2675</v>
      </c>
      <c r="F697" s="6026" t="s">
        <v>2380</v>
      </c>
      <c r="G697" s="6026" t="s">
        <v>24</v>
      </c>
      <c r="H697" s="6026" t="s">
        <v>24</v>
      </c>
      <c r="I697" s="6026" t="s">
        <v>804</v>
      </c>
    </row>
    <row customHeight="1" ht="11.25">
      <c r="A698" s="6026" t="s">
        <v>2185</v>
      </c>
      <c r="B698" s="6026" t="s">
        <v>14</v>
      </c>
      <c r="C698" s="6026" t="s">
        <v>2682</v>
      </c>
      <c r="D698" s="6026" t="s">
        <v>2683</v>
      </c>
      <c r="E698" s="6026" t="s">
        <v>2684</v>
      </c>
      <c r="F698" s="6026" t="s">
        <v>2292</v>
      </c>
      <c r="G698" s="6026" t="s">
        <v>24</v>
      </c>
      <c r="H698" s="6026" t="s">
        <v>24</v>
      </c>
      <c r="I698" s="6026" t="s">
        <v>804</v>
      </c>
    </row>
    <row customHeight="1" ht="11.25">
      <c r="A699" s="6026" t="s">
        <v>2185</v>
      </c>
      <c r="B699" s="6026" t="s">
        <v>14</v>
      </c>
      <c r="C699" s="6026" t="s">
        <v>3249</v>
      </c>
      <c r="D699" s="6026" t="s">
        <v>3250</v>
      </c>
      <c r="E699" s="6026" t="s">
        <v>3251</v>
      </c>
      <c r="F699" s="6026" t="s">
        <v>2247</v>
      </c>
      <c r="G699" s="6026" t="s">
        <v>24</v>
      </c>
      <c r="H699" s="6026" t="s">
        <v>24</v>
      </c>
      <c r="I699" s="6026" t="s">
        <v>804</v>
      </c>
    </row>
    <row customHeight="1" ht="11.25">
      <c r="A700" s="6026" t="s">
        <v>2185</v>
      </c>
      <c r="B700" s="6026" t="s">
        <v>14</v>
      </c>
      <c r="C700" s="6026" t="s">
        <v>2688</v>
      </c>
      <c r="D700" s="6026" t="s">
        <v>2689</v>
      </c>
      <c r="E700" s="6026" t="s">
        <v>2690</v>
      </c>
      <c r="F700" s="6026" t="s">
        <v>2189</v>
      </c>
      <c r="G700" s="6026" t="s">
        <v>24</v>
      </c>
      <c r="H700" s="6026" t="s">
        <v>24</v>
      </c>
      <c r="I700" s="6026" t="s">
        <v>804</v>
      </c>
    </row>
    <row customHeight="1" ht="11.25">
      <c r="A701" s="6026" t="s">
        <v>2185</v>
      </c>
      <c r="B701" s="6026" t="s">
        <v>14</v>
      </c>
      <c r="C701" s="6026" t="s">
        <v>2697</v>
      </c>
      <c r="D701" s="6026" t="s">
        <v>2698</v>
      </c>
      <c r="E701" s="6026" t="s">
        <v>2699</v>
      </c>
      <c r="F701" s="6026" t="s">
        <v>2292</v>
      </c>
      <c r="G701" s="6026" t="s">
        <v>24</v>
      </c>
      <c r="H701" s="6026" t="s">
        <v>24</v>
      </c>
      <c r="I701" s="6026" t="s">
        <v>804</v>
      </c>
    </row>
    <row customHeight="1" ht="11.25">
      <c r="A702" s="6026" t="s">
        <v>2185</v>
      </c>
      <c r="B702" s="6026" t="s">
        <v>14</v>
      </c>
      <c r="C702" s="6026" t="s">
        <v>2716</v>
      </c>
      <c r="D702" s="6026" t="s">
        <v>2717</v>
      </c>
      <c r="E702" s="6026" t="s">
        <v>2718</v>
      </c>
      <c r="F702" s="6026" t="s">
        <v>2204</v>
      </c>
      <c r="G702" s="6026" t="s">
        <v>24</v>
      </c>
      <c r="H702" s="6026" t="s">
        <v>24</v>
      </c>
      <c r="I702" s="6026" t="s">
        <v>804</v>
      </c>
    </row>
    <row customHeight="1" ht="11.25">
      <c r="A703" s="6026" t="s">
        <v>2185</v>
      </c>
      <c r="B703" s="6026" t="s">
        <v>14</v>
      </c>
      <c r="C703" s="6026" t="s">
        <v>2726</v>
      </c>
      <c r="D703" s="6026" t="s">
        <v>2727</v>
      </c>
      <c r="E703" s="6026" t="s">
        <v>2728</v>
      </c>
      <c r="F703" s="6026" t="s">
        <v>2548</v>
      </c>
      <c r="G703" s="6026" t="s">
        <v>2729</v>
      </c>
      <c r="H703" s="6026" t="s">
        <v>2730</v>
      </c>
      <c r="I703" s="6026" t="s">
        <v>804</v>
      </c>
    </row>
    <row customHeight="1" ht="11.25">
      <c r="A704" s="6026" t="s">
        <v>2185</v>
      </c>
      <c r="B704" s="6026" t="s">
        <v>14</v>
      </c>
      <c r="C704" s="6026" t="s">
        <v>2735</v>
      </c>
      <c r="D704" s="6026" t="s">
        <v>2736</v>
      </c>
      <c r="E704" s="6026" t="s">
        <v>2737</v>
      </c>
      <c r="F704" s="6026" t="s">
        <v>2288</v>
      </c>
      <c r="G704" s="6026" t="s">
        <v>24</v>
      </c>
      <c r="H704" s="6026" t="s">
        <v>24</v>
      </c>
      <c r="I704" s="6026" t="s">
        <v>804</v>
      </c>
    </row>
    <row customHeight="1" ht="11.25">
      <c r="A705" s="6026" t="s">
        <v>2185</v>
      </c>
      <c r="B705" s="6026" t="s">
        <v>14</v>
      </c>
      <c r="C705" s="6026" t="s">
        <v>2738</v>
      </c>
      <c r="D705" s="6026" t="s">
        <v>2739</v>
      </c>
      <c r="E705" s="6026" t="s">
        <v>2740</v>
      </c>
      <c r="F705" s="6026" t="s">
        <v>2342</v>
      </c>
      <c r="G705" s="6026" t="s">
        <v>24</v>
      </c>
      <c r="H705" s="6026" t="s">
        <v>24</v>
      </c>
      <c r="I705" s="6026" t="s">
        <v>804</v>
      </c>
    </row>
    <row customHeight="1" ht="11.25">
      <c r="A706" s="6026" t="s">
        <v>2185</v>
      </c>
      <c r="B706" s="6026" t="s">
        <v>14</v>
      </c>
      <c r="C706" s="6026" t="s">
        <v>2753</v>
      </c>
      <c r="D706" s="6026" t="s">
        <v>2754</v>
      </c>
      <c r="E706" s="6026" t="s">
        <v>2755</v>
      </c>
      <c r="F706" s="6026" t="s">
        <v>2247</v>
      </c>
      <c r="G706" s="6026" t="s">
        <v>24</v>
      </c>
      <c r="H706" s="6026" t="s">
        <v>24</v>
      </c>
      <c r="I706" s="6026" t="s">
        <v>804</v>
      </c>
    </row>
    <row customHeight="1" ht="11.25">
      <c r="A707" s="6026" t="s">
        <v>2185</v>
      </c>
      <c r="B707" s="6026" t="s">
        <v>14</v>
      </c>
      <c r="C707" s="6026" t="s">
        <v>2756</v>
      </c>
      <c r="D707" s="6026" t="s">
        <v>2757</v>
      </c>
      <c r="E707" s="6026" t="s">
        <v>2758</v>
      </c>
      <c r="F707" s="6026" t="s">
        <v>2380</v>
      </c>
      <c r="G707" s="6026" t="s">
        <v>24</v>
      </c>
      <c r="H707" s="6026" t="s">
        <v>24</v>
      </c>
      <c r="I707" s="6026" t="s">
        <v>804</v>
      </c>
    </row>
    <row customHeight="1" ht="11.25">
      <c r="A708" s="6026" t="s">
        <v>2185</v>
      </c>
      <c r="B708" s="6026" t="s">
        <v>14</v>
      </c>
      <c r="C708" s="6026" t="s">
        <v>2762</v>
      </c>
      <c r="D708" s="6026" t="s">
        <v>2763</v>
      </c>
      <c r="E708" s="6026" t="s">
        <v>2764</v>
      </c>
      <c r="F708" s="6026" t="s">
        <v>2216</v>
      </c>
      <c r="G708" s="6026" t="s">
        <v>24</v>
      </c>
      <c r="H708" s="6026" t="s">
        <v>2765</v>
      </c>
      <c r="I708" s="6026" t="s">
        <v>804</v>
      </c>
    </row>
    <row customHeight="1" ht="11.25">
      <c r="A709" s="6026" t="s">
        <v>2185</v>
      </c>
      <c r="B709" s="6026" t="s">
        <v>14</v>
      </c>
      <c r="C709" s="6026" t="s">
        <v>3271</v>
      </c>
      <c r="D709" s="6026" t="s">
        <v>3272</v>
      </c>
      <c r="E709" s="6026" t="s">
        <v>3273</v>
      </c>
      <c r="F709" s="6026" t="s">
        <v>2288</v>
      </c>
      <c r="G709" s="6026" t="s">
        <v>24</v>
      </c>
      <c r="H709" s="6026" t="s">
        <v>24</v>
      </c>
      <c r="I709" s="6026" t="s">
        <v>804</v>
      </c>
    </row>
    <row customHeight="1" ht="11.25">
      <c r="A710" s="6026" t="s">
        <v>2185</v>
      </c>
      <c r="B710" s="6026" t="s">
        <v>14</v>
      </c>
      <c r="C710" s="6026" t="s">
        <v>2783</v>
      </c>
      <c r="D710" s="6026" t="s">
        <v>2784</v>
      </c>
      <c r="E710" s="6026" t="s">
        <v>2785</v>
      </c>
      <c r="F710" s="6026" t="s">
        <v>2380</v>
      </c>
      <c r="G710" s="6026" t="s">
        <v>24</v>
      </c>
      <c r="H710" s="6026" t="s">
        <v>24</v>
      </c>
      <c r="I710" s="6026" t="s">
        <v>804</v>
      </c>
    </row>
    <row customHeight="1" ht="11.25">
      <c r="A711" s="6026" t="s">
        <v>2185</v>
      </c>
      <c r="B711" s="6026" t="s">
        <v>14</v>
      </c>
      <c r="C711" s="6026" t="s">
        <v>2793</v>
      </c>
      <c r="D711" s="6026" t="s">
        <v>2794</v>
      </c>
      <c r="E711" s="6026" t="s">
        <v>2795</v>
      </c>
      <c r="F711" s="6026" t="s">
        <v>2380</v>
      </c>
      <c r="G711" s="6026" t="s">
        <v>24</v>
      </c>
      <c r="H711" s="6026" t="s">
        <v>24</v>
      </c>
      <c r="I711" s="6026" t="s">
        <v>804</v>
      </c>
    </row>
    <row customHeight="1" ht="11.25">
      <c r="A712" s="6026" t="s">
        <v>2185</v>
      </c>
      <c r="B712" s="6026" t="s">
        <v>14</v>
      </c>
      <c r="C712" s="6026" t="s">
        <v>2808</v>
      </c>
      <c r="D712" s="6026" t="s">
        <v>2809</v>
      </c>
      <c r="E712" s="6026" t="s">
        <v>2810</v>
      </c>
      <c r="F712" s="6026" t="s">
        <v>2380</v>
      </c>
      <c r="G712" s="6026" t="s">
        <v>24</v>
      </c>
      <c r="H712" s="6026" t="s">
        <v>24</v>
      </c>
      <c r="I712" s="6026" t="s">
        <v>804</v>
      </c>
    </row>
    <row customHeight="1" ht="11.25">
      <c r="A713" s="6026" t="s">
        <v>2185</v>
      </c>
      <c r="B713" s="6026" t="s">
        <v>14</v>
      </c>
      <c r="C713" s="6026" t="s">
        <v>3280</v>
      </c>
      <c r="D713" s="6026" t="s">
        <v>3281</v>
      </c>
      <c r="E713" s="6026" t="s">
        <v>3282</v>
      </c>
      <c r="F713" s="6026" t="s">
        <v>2288</v>
      </c>
      <c r="G713" s="6026" t="s">
        <v>24</v>
      </c>
      <c r="H713" s="6026" t="s">
        <v>24</v>
      </c>
      <c r="I713" s="6026" t="s">
        <v>804</v>
      </c>
    </row>
    <row customHeight="1" ht="11.25">
      <c r="A714" s="6026" t="s">
        <v>2185</v>
      </c>
      <c r="B714" s="6026" t="s">
        <v>14</v>
      </c>
      <c r="C714" s="6026" t="s">
        <v>3289</v>
      </c>
      <c r="D714" s="6026" t="s">
        <v>3290</v>
      </c>
      <c r="E714" s="6026" t="s">
        <v>3291</v>
      </c>
      <c r="F714" s="6026" t="s">
        <v>2247</v>
      </c>
      <c r="G714" s="6026" t="s">
        <v>24</v>
      </c>
      <c r="H714" s="6026" t="s">
        <v>3292</v>
      </c>
      <c r="I714" s="6026" t="s">
        <v>804</v>
      </c>
    </row>
    <row customHeight="1" ht="11.25">
      <c r="A715" s="6026" t="s">
        <v>2185</v>
      </c>
      <c r="B715" s="6026" t="s">
        <v>14</v>
      </c>
      <c r="C715" s="6026" t="s">
        <v>2839</v>
      </c>
      <c r="D715" s="6026" t="s">
        <v>2840</v>
      </c>
      <c r="E715" s="6026" t="s">
        <v>2841</v>
      </c>
      <c r="F715" s="6026" t="s">
        <v>2208</v>
      </c>
      <c r="G715" s="6026" t="s">
        <v>24</v>
      </c>
      <c r="H715" s="6026" t="s">
        <v>24</v>
      </c>
      <c r="I715" s="6026" t="s">
        <v>804</v>
      </c>
    </row>
    <row customHeight="1" ht="11.25">
      <c r="A716" s="6026" t="s">
        <v>2185</v>
      </c>
      <c r="B716" s="6026" t="s">
        <v>14</v>
      </c>
      <c r="C716" s="6026" t="s">
        <v>2842</v>
      </c>
      <c r="D716" s="6026" t="s">
        <v>2843</v>
      </c>
      <c r="E716" s="6026" t="s">
        <v>2844</v>
      </c>
      <c r="F716" s="6026" t="s">
        <v>2342</v>
      </c>
      <c r="G716" s="6026" t="s">
        <v>24</v>
      </c>
      <c r="H716" s="6026" t="s">
        <v>24</v>
      </c>
      <c r="I716" s="6026" t="s">
        <v>804</v>
      </c>
    </row>
    <row customHeight="1" ht="11.25">
      <c r="A717" s="6026" t="s">
        <v>2185</v>
      </c>
      <c r="B717" s="6026" t="s">
        <v>14</v>
      </c>
      <c r="C717" s="6026" t="s">
        <v>2848</v>
      </c>
      <c r="D717" s="6026" t="s">
        <v>2849</v>
      </c>
      <c r="E717" s="6026" t="s">
        <v>2850</v>
      </c>
      <c r="F717" s="6026" t="s">
        <v>2247</v>
      </c>
      <c r="G717" s="6026" t="s">
        <v>24</v>
      </c>
      <c r="H717" s="6026" t="s">
        <v>24</v>
      </c>
      <c r="I717" s="6026" t="s">
        <v>804</v>
      </c>
    </row>
    <row customHeight="1" ht="11.25">
      <c r="A718" s="6026" t="s">
        <v>2185</v>
      </c>
      <c r="B718" s="6026" t="s">
        <v>14</v>
      </c>
      <c r="C718" s="6026" t="s">
        <v>2858</v>
      </c>
      <c r="D718" s="6026" t="s">
        <v>2859</v>
      </c>
      <c r="E718" s="6026" t="s">
        <v>2860</v>
      </c>
      <c r="F718" s="6026" t="s">
        <v>2208</v>
      </c>
      <c r="G718" s="6026" t="s">
        <v>24</v>
      </c>
      <c r="H718" s="6026" t="s">
        <v>24</v>
      </c>
      <c r="I718" s="6026" t="s">
        <v>804</v>
      </c>
    </row>
    <row customHeight="1" ht="11.25">
      <c r="A719" s="6026" t="s">
        <v>2185</v>
      </c>
      <c r="B719" s="6026" t="s">
        <v>14</v>
      </c>
      <c r="C719" s="6026" t="s">
        <v>2861</v>
      </c>
      <c r="D719" s="6026" t="s">
        <v>2862</v>
      </c>
      <c r="E719" s="6026" t="s">
        <v>2863</v>
      </c>
      <c r="F719" s="6026" t="s">
        <v>2216</v>
      </c>
      <c r="G719" s="6026" t="s">
        <v>24</v>
      </c>
      <c r="H719" s="6026" t="s">
        <v>2864</v>
      </c>
      <c r="I719" s="6026" t="s">
        <v>804</v>
      </c>
    </row>
    <row customHeight="1" ht="11.25">
      <c r="A720" s="6026" t="s">
        <v>2185</v>
      </c>
      <c r="B720" s="6026" t="s">
        <v>14</v>
      </c>
      <c r="C720" s="6026" t="s">
        <v>3299</v>
      </c>
      <c r="D720" s="6026" t="s">
        <v>3300</v>
      </c>
      <c r="E720" s="6026" t="s">
        <v>3301</v>
      </c>
      <c r="F720" s="6026" t="s">
        <v>2216</v>
      </c>
      <c r="G720" s="6026" t="s">
        <v>24</v>
      </c>
      <c r="H720" s="6026" t="s">
        <v>24</v>
      </c>
      <c r="I720" s="6026" t="s">
        <v>804</v>
      </c>
    </row>
    <row customHeight="1" ht="11.25">
      <c r="A721" s="6026" t="s">
        <v>2185</v>
      </c>
      <c r="B721" s="6026" t="s">
        <v>14</v>
      </c>
      <c r="C721" s="6026" t="s">
        <v>2875</v>
      </c>
      <c r="D721" s="6026" t="s">
        <v>2876</v>
      </c>
      <c r="E721" s="6026" t="s">
        <v>2877</v>
      </c>
      <c r="F721" s="6026" t="s">
        <v>2292</v>
      </c>
      <c r="G721" s="6026" t="s">
        <v>24</v>
      </c>
      <c r="H721" s="6026" t="s">
        <v>24</v>
      </c>
      <c r="I721" s="6026" t="s">
        <v>804</v>
      </c>
    </row>
    <row customHeight="1" ht="11.25">
      <c r="A722" s="6026" t="s">
        <v>2185</v>
      </c>
      <c r="B722" s="6026" t="s">
        <v>14</v>
      </c>
      <c r="C722" s="6026" t="s">
        <v>3309</v>
      </c>
      <c r="D722" s="6026" t="s">
        <v>3310</v>
      </c>
      <c r="E722" s="6026" t="s">
        <v>3311</v>
      </c>
      <c r="F722" s="6026" t="s">
        <v>2216</v>
      </c>
      <c r="G722" s="6026" t="s">
        <v>24</v>
      </c>
      <c r="H722" s="6026" t="s">
        <v>24</v>
      </c>
      <c r="I722" s="6026" t="s">
        <v>804</v>
      </c>
    </row>
    <row customHeight="1" ht="11.25">
      <c r="A723" s="6026" t="s">
        <v>2185</v>
      </c>
      <c r="B723" s="6026" t="s">
        <v>14</v>
      </c>
      <c r="C723" s="6026" t="s">
        <v>2884</v>
      </c>
      <c r="D723" s="6026" t="s">
        <v>2885</v>
      </c>
      <c r="E723" s="6026" t="s">
        <v>2886</v>
      </c>
      <c r="F723" s="6026" t="s">
        <v>2216</v>
      </c>
      <c r="G723" s="6026" t="s">
        <v>24</v>
      </c>
      <c r="H723" s="6026" t="s">
        <v>24</v>
      </c>
      <c r="I723" s="6026" t="s">
        <v>804</v>
      </c>
    </row>
    <row customHeight="1" ht="11.25">
      <c r="A724" s="6026" t="s">
        <v>2185</v>
      </c>
      <c r="B724" s="6026" t="s">
        <v>14</v>
      </c>
      <c r="C724" s="6026" t="s">
        <v>2887</v>
      </c>
      <c r="D724" s="6026" t="s">
        <v>2888</v>
      </c>
      <c r="E724" s="6026" t="s">
        <v>2889</v>
      </c>
      <c r="F724" s="6026" t="s">
        <v>2247</v>
      </c>
      <c r="G724" s="6026" t="s">
        <v>24</v>
      </c>
      <c r="H724" s="6026" t="s">
        <v>24</v>
      </c>
      <c r="I724" s="6026" t="s">
        <v>804</v>
      </c>
    </row>
    <row customHeight="1" ht="11.25">
      <c r="A725" s="6026" t="s">
        <v>2185</v>
      </c>
      <c r="B725" s="6026" t="s">
        <v>14</v>
      </c>
      <c r="C725" s="6026" t="s">
        <v>3312</v>
      </c>
      <c r="D725" s="6026" t="s">
        <v>2888</v>
      </c>
      <c r="E725" s="6026" t="s">
        <v>3313</v>
      </c>
      <c r="F725" s="6026" t="s">
        <v>2380</v>
      </c>
      <c r="G725" s="6026" t="s">
        <v>3314</v>
      </c>
      <c r="H725" s="6026" t="s">
        <v>24</v>
      </c>
      <c r="I725" s="6026" t="s">
        <v>804</v>
      </c>
    </row>
    <row customHeight="1" ht="11.25">
      <c r="A726" s="6026" t="s">
        <v>2185</v>
      </c>
      <c r="B726" s="6026" t="s">
        <v>14</v>
      </c>
      <c r="C726" s="6026" t="s">
        <v>2914</v>
      </c>
      <c r="D726" s="6026" t="s">
        <v>2915</v>
      </c>
      <c r="E726" s="6026" t="s">
        <v>2916</v>
      </c>
      <c r="F726" s="6026" t="s">
        <v>2208</v>
      </c>
      <c r="G726" s="6026" t="s">
        <v>24</v>
      </c>
      <c r="H726" s="6026" t="s">
        <v>24</v>
      </c>
      <c r="I726" s="6026" t="s">
        <v>804</v>
      </c>
    </row>
    <row customHeight="1" ht="11.25">
      <c r="A727" s="6026" t="s">
        <v>2185</v>
      </c>
      <c r="B727" s="6026" t="s">
        <v>14</v>
      </c>
      <c r="C727" s="6026" t="s">
        <v>3465</v>
      </c>
      <c r="D727" s="6026" t="s">
        <v>3466</v>
      </c>
      <c r="E727" s="6026" t="s">
        <v>3467</v>
      </c>
      <c r="F727" s="6026" t="s">
        <v>2247</v>
      </c>
      <c r="G727" s="6026" t="s">
        <v>24</v>
      </c>
      <c r="H727" s="6026" t="s">
        <v>24</v>
      </c>
      <c r="I727" s="6026" t="s">
        <v>804</v>
      </c>
    </row>
    <row customHeight="1" ht="11.25">
      <c r="A728" s="6026" t="s">
        <v>2185</v>
      </c>
      <c r="B728" s="6026" t="s">
        <v>14</v>
      </c>
      <c r="C728" s="6026" t="s">
        <v>2949</v>
      </c>
      <c r="D728" s="6026" t="s">
        <v>2950</v>
      </c>
      <c r="E728" s="6026" t="s">
        <v>2772</v>
      </c>
      <c r="F728" s="6026" t="s">
        <v>2425</v>
      </c>
      <c r="G728" s="6026" t="s">
        <v>24</v>
      </c>
      <c r="H728" s="6026" t="s">
        <v>24</v>
      </c>
      <c r="I728" s="6026" t="s">
        <v>804</v>
      </c>
    </row>
    <row customHeight="1" ht="11.25">
      <c r="A729" s="6026" t="s">
        <v>2185</v>
      </c>
      <c r="B729" s="6026" t="s">
        <v>14</v>
      </c>
      <c r="C729" s="6026" t="s">
        <v>2954</v>
      </c>
      <c r="D729" s="6026" t="s">
        <v>2955</v>
      </c>
      <c r="E729" s="6026" t="s">
        <v>2956</v>
      </c>
      <c r="F729" s="6026" t="s">
        <v>2204</v>
      </c>
      <c r="G729" s="6026" t="s">
        <v>24</v>
      </c>
      <c r="H729" s="6026" t="s">
        <v>24</v>
      </c>
      <c r="I729" s="6026" t="s">
        <v>804</v>
      </c>
    </row>
    <row customHeight="1" ht="11.25">
      <c r="A730" s="6026" t="s">
        <v>2185</v>
      </c>
      <c r="B730" s="6026" t="s">
        <v>14</v>
      </c>
      <c r="C730" s="6026" t="s">
        <v>2979</v>
      </c>
      <c r="D730" s="6026" t="s">
        <v>2980</v>
      </c>
      <c r="E730" s="6026" t="s">
        <v>2981</v>
      </c>
      <c r="F730" s="6026" t="s">
        <v>2216</v>
      </c>
      <c r="G730" s="6026" t="s">
        <v>24</v>
      </c>
      <c r="H730" s="6026" t="s">
        <v>24</v>
      </c>
      <c r="I730" s="6026" t="s">
        <v>804</v>
      </c>
    </row>
    <row customHeight="1" ht="11.25">
      <c r="A731" s="6026" t="s">
        <v>2185</v>
      </c>
      <c r="B731" s="6026" t="s">
        <v>14</v>
      </c>
      <c r="C731" s="6026" t="s">
        <v>3315</v>
      </c>
      <c r="D731" s="6026" t="s">
        <v>3316</v>
      </c>
      <c r="E731" s="6026" t="s">
        <v>3317</v>
      </c>
      <c r="F731" s="6026" t="s">
        <v>2189</v>
      </c>
      <c r="G731" s="6026" t="s">
        <v>24</v>
      </c>
      <c r="H731" s="6026" t="s">
        <v>24</v>
      </c>
      <c r="I731" s="6026" t="s">
        <v>804</v>
      </c>
    </row>
    <row customHeight="1" ht="11.25">
      <c r="A732" s="6026" t="s">
        <v>2185</v>
      </c>
      <c r="B732" s="6026" t="s">
        <v>14</v>
      </c>
      <c r="C732" s="6026" t="s">
        <v>3318</v>
      </c>
      <c r="D732" s="6026" t="s">
        <v>3319</v>
      </c>
      <c r="E732" s="6026" t="s">
        <v>3320</v>
      </c>
      <c r="F732" s="6026" t="s">
        <v>3167</v>
      </c>
      <c r="G732" s="6026" t="s">
        <v>24</v>
      </c>
      <c r="H732" s="6026" t="s">
        <v>24</v>
      </c>
      <c r="I732" s="6026" t="s">
        <v>804</v>
      </c>
    </row>
    <row customHeight="1" ht="11.25">
      <c r="A733" s="6026" t="s">
        <v>2185</v>
      </c>
      <c r="B733" s="6026" t="s">
        <v>14</v>
      </c>
      <c r="C733" s="6026" t="s">
        <v>2989</v>
      </c>
      <c r="D733" s="6026" t="s">
        <v>2990</v>
      </c>
      <c r="E733" s="6026" t="s">
        <v>2991</v>
      </c>
      <c r="F733" s="6026" t="s">
        <v>2380</v>
      </c>
      <c r="G733" s="6026" t="s">
        <v>24</v>
      </c>
      <c r="H733" s="6026" t="s">
        <v>24</v>
      </c>
      <c r="I733" s="6026" t="s">
        <v>804</v>
      </c>
    </row>
    <row customHeight="1" ht="11.25">
      <c r="A734" s="6026" t="s">
        <v>2185</v>
      </c>
      <c r="B734" s="6026" t="s">
        <v>14</v>
      </c>
      <c r="C734" s="6026" t="s">
        <v>2992</v>
      </c>
      <c r="D734" s="6026" t="s">
        <v>2993</v>
      </c>
      <c r="E734" s="6026" t="s">
        <v>2994</v>
      </c>
      <c r="F734" s="6026" t="s">
        <v>2189</v>
      </c>
      <c r="G734" s="6026" t="s">
        <v>24</v>
      </c>
      <c r="H734" s="6026" t="s">
        <v>24</v>
      </c>
      <c r="I734" s="6026" t="s">
        <v>804</v>
      </c>
    </row>
    <row customHeight="1" ht="11.25">
      <c r="A735" s="6026" t="s">
        <v>2185</v>
      </c>
      <c r="B735" s="6026" t="s">
        <v>14</v>
      </c>
      <c r="C735" s="6026" t="s">
        <v>3020</v>
      </c>
      <c r="D735" s="6026" t="s">
        <v>3021</v>
      </c>
      <c r="E735" s="6026" t="s">
        <v>3022</v>
      </c>
      <c r="F735" s="6026" t="s">
        <v>3023</v>
      </c>
      <c r="G735" s="6026" t="s">
        <v>24</v>
      </c>
      <c r="H735" s="6026" t="s">
        <v>24</v>
      </c>
      <c r="I735" s="6026" t="s">
        <v>804</v>
      </c>
    </row>
    <row customHeight="1" ht="11.25">
      <c r="A736" s="6026" t="s">
        <v>2185</v>
      </c>
      <c r="B736" s="6026" t="s">
        <v>14</v>
      </c>
      <c r="C736" s="6026" t="s">
        <v>3024</v>
      </c>
      <c r="D736" s="6026" t="s">
        <v>3025</v>
      </c>
      <c r="E736" s="6026" t="s">
        <v>3026</v>
      </c>
      <c r="F736" s="6026" t="s">
        <v>3027</v>
      </c>
      <c r="G736" s="6026" t="s">
        <v>24</v>
      </c>
      <c r="H736" s="6026" t="s">
        <v>24</v>
      </c>
      <c r="I736" s="6026" t="s">
        <v>804</v>
      </c>
    </row>
    <row customHeight="1" ht="11.25">
      <c r="A737" s="6026" t="s">
        <v>2185</v>
      </c>
      <c r="B737" s="6026" t="s">
        <v>14</v>
      </c>
      <c r="C737" s="6026" t="s">
        <v>3031</v>
      </c>
      <c r="D737" s="6026" t="s">
        <v>3032</v>
      </c>
      <c r="E737" s="6026" t="s">
        <v>3033</v>
      </c>
      <c r="F737" s="6026" t="s">
        <v>3034</v>
      </c>
      <c r="G737" s="6026" t="s">
        <v>24</v>
      </c>
      <c r="H737" s="6026" t="s">
        <v>24</v>
      </c>
      <c r="I737" s="6026" t="s">
        <v>804</v>
      </c>
    </row>
    <row customHeight="1" ht="11.25">
      <c r="A738" s="6026" t="s">
        <v>2185</v>
      </c>
      <c r="B738" s="6026" t="s">
        <v>14</v>
      </c>
      <c r="C738" s="6026" t="s">
        <v>3468</v>
      </c>
      <c r="D738" s="6026" t="s">
        <v>3469</v>
      </c>
      <c r="E738" s="6026" t="s">
        <v>3470</v>
      </c>
      <c r="F738" s="6026" t="s">
        <v>2216</v>
      </c>
      <c r="G738" s="6026" t="s">
        <v>3471</v>
      </c>
      <c r="H738" s="6026" t="s">
        <v>24</v>
      </c>
      <c r="I738" s="6026" t="s">
        <v>804</v>
      </c>
    </row>
    <row customHeight="1" ht="11.25">
      <c r="A739" s="6026" t="s">
        <v>2185</v>
      </c>
      <c r="B739" s="6026" t="s">
        <v>14</v>
      </c>
      <c r="C739" s="6026" t="s">
        <v>3472</v>
      </c>
      <c r="D739" s="6026" t="s">
        <v>3473</v>
      </c>
      <c r="E739" s="6026" t="s">
        <v>3474</v>
      </c>
      <c r="F739" s="6026" t="s">
        <v>2342</v>
      </c>
      <c r="G739" s="6026" t="s">
        <v>3475</v>
      </c>
      <c r="H739" s="6026" t="s">
        <v>24</v>
      </c>
      <c r="I739" s="6026" t="s">
        <v>804</v>
      </c>
    </row>
    <row customHeight="1" ht="11.25">
      <c r="A740" s="6026" t="s">
        <v>2185</v>
      </c>
      <c r="B740" s="6026" t="s">
        <v>14</v>
      </c>
      <c r="C740" s="6026" t="s">
        <v>3052</v>
      </c>
      <c r="D740" s="6026" t="s">
        <v>3053</v>
      </c>
      <c r="E740" s="6026" t="s">
        <v>3026</v>
      </c>
      <c r="F740" s="6026" t="s">
        <v>3054</v>
      </c>
      <c r="G740" s="6026" t="s">
        <v>24</v>
      </c>
      <c r="H740" s="6026" t="s">
        <v>24</v>
      </c>
      <c r="I740" s="6026" t="s">
        <v>804</v>
      </c>
    </row>
    <row customHeight="1" ht="11.25">
      <c r="A741" s="6026" t="s">
        <v>2185</v>
      </c>
      <c r="B741" s="6026" t="s">
        <v>14</v>
      </c>
      <c r="C741" s="6026" t="s">
        <v>3055</v>
      </c>
      <c r="D741" s="6026" t="s">
        <v>3056</v>
      </c>
      <c r="E741" s="6026" t="s">
        <v>3050</v>
      </c>
      <c r="F741" s="6026" t="s">
        <v>3057</v>
      </c>
      <c r="G741" s="6026" t="s">
        <v>24</v>
      </c>
      <c r="H741" s="6026" t="s">
        <v>24</v>
      </c>
      <c r="I741" s="6026" t="s">
        <v>804</v>
      </c>
    </row>
    <row customHeight="1" ht="11.25">
      <c r="A742" s="6026" t="s">
        <v>2185</v>
      </c>
      <c r="B742" s="6026" t="s">
        <v>14</v>
      </c>
      <c r="C742" s="6026" t="s">
        <v>24</v>
      </c>
      <c r="D742" s="6026" t="s">
        <v>2350</v>
      </c>
      <c r="E742" s="6026" t="s">
        <v>2351</v>
      </c>
      <c r="F742" s="6026" t="s">
        <v>2204</v>
      </c>
      <c r="G742" s="6026" t="s">
        <v>24</v>
      </c>
      <c r="H742" s="6026" t="s">
        <v>24</v>
      </c>
      <c r="I742" s="6026" t="s">
        <v>1626</v>
      </c>
    </row>
    <row customHeight="1" ht="11.25">
      <c r="A743" s="6026" t="s">
        <v>2185</v>
      </c>
      <c r="B743" s="6026" t="s">
        <v>14</v>
      </c>
      <c r="C743" s="6026" t="s">
        <v>2414</v>
      </c>
      <c r="D743" s="6026" t="s">
        <v>2415</v>
      </c>
      <c r="E743" s="6026" t="s">
        <v>2416</v>
      </c>
      <c r="F743" s="6026" t="s">
        <v>2288</v>
      </c>
      <c r="G743" s="6026" t="s">
        <v>24</v>
      </c>
      <c r="H743" s="6026" t="s">
        <v>24</v>
      </c>
      <c r="I743" s="6026" t="s">
        <v>1626</v>
      </c>
    </row>
    <row customHeight="1" ht="11.25">
      <c r="A744" s="6026" t="s">
        <v>2185</v>
      </c>
      <c r="B744" s="6026" t="s">
        <v>14</v>
      </c>
      <c r="C744" s="6026" t="s">
        <v>2484</v>
      </c>
      <c r="D744" s="6026" t="s">
        <v>2485</v>
      </c>
      <c r="E744" s="6026" t="s">
        <v>2486</v>
      </c>
      <c r="F744" s="6026" t="s">
        <v>2342</v>
      </c>
      <c r="G744" s="6026" t="s">
        <v>24</v>
      </c>
      <c r="H744" s="6026" t="s">
        <v>24</v>
      </c>
      <c r="I744" s="6026" t="s">
        <v>1626</v>
      </c>
    </row>
    <row customHeight="1" ht="11.25">
      <c r="A745" s="6026" t="s">
        <v>2185</v>
      </c>
      <c r="B745" s="6026" t="s">
        <v>14</v>
      </c>
      <c r="C745" s="6026" t="s">
        <v>3476</v>
      </c>
      <c r="D745" s="6026" t="s">
        <v>3477</v>
      </c>
      <c r="E745" s="6026" t="s">
        <v>3478</v>
      </c>
      <c r="F745" s="6026" t="s">
        <v>2216</v>
      </c>
      <c r="G745" s="6026" t="s">
        <v>24</v>
      </c>
      <c r="H745" s="6026" t="s">
        <v>24</v>
      </c>
      <c r="I745" s="6026" t="s">
        <v>1626</v>
      </c>
    </row>
    <row customHeight="1" ht="11.25">
      <c r="A746" s="6026" t="s">
        <v>2185</v>
      </c>
      <c r="B746" s="6026" t="s">
        <v>14</v>
      </c>
      <c r="C746" s="6026" t="s">
        <v>3479</v>
      </c>
      <c r="D746" s="6026" t="s">
        <v>3480</v>
      </c>
      <c r="E746" s="6026" t="s">
        <v>3481</v>
      </c>
      <c r="F746" s="6026" t="s">
        <v>2292</v>
      </c>
      <c r="G746" s="6026" t="s">
        <v>3482</v>
      </c>
      <c r="H746" s="6026" t="s">
        <v>24</v>
      </c>
      <c r="I746" s="6026" t="s">
        <v>1626</v>
      </c>
    </row>
    <row customHeight="1" ht="11.25">
      <c r="A747" s="6026" t="s">
        <v>2185</v>
      </c>
      <c r="B747" s="6026" t="s">
        <v>14</v>
      </c>
      <c r="C747" s="6026" t="s">
        <v>3483</v>
      </c>
      <c r="D747" s="6026" t="s">
        <v>3484</v>
      </c>
      <c r="E747" s="6026" t="s">
        <v>3485</v>
      </c>
      <c r="F747" s="6026" t="s">
        <v>2216</v>
      </c>
      <c r="G747" s="6026" t="s">
        <v>24</v>
      </c>
      <c r="H747" s="6026" t="s">
        <v>24</v>
      </c>
      <c r="I747" s="6026" t="s">
        <v>1626</v>
      </c>
    </row>
    <row customHeight="1" ht="11.25">
      <c r="A748" s="6026" t="s">
        <v>2185</v>
      </c>
      <c r="B748" s="6026" t="s">
        <v>14</v>
      </c>
      <c r="C748" s="6026" t="s">
        <v>3486</v>
      </c>
      <c r="D748" s="6026" t="s">
        <v>3487</v>
      </c>
      <c r="E748" s="6026" t="s">
        <v>3488</v>
      </c>
      <c r="F748" s="6026" t="s">
        <v>2189</v>
      </c>
      <c r="G748" s="6026" t="s">
        <v>3489</v>
      </c>
      <c r="H748" s="6026" t="s">
        <v>24</v>
      </c>
      <c r="I748" s="6026" t="s">
        <v>1626</v>
      </c>
    </row>
    <row customHeight="1" ht="11.25">
      <c r="A749" s="6026" t="s">
        <v>2185</v>
      </c>
      <c r="B749" s="6026" t="s">
        <v>14</v>
      </c>
      <c r="C749" s="6026" t="s">
        <v>3490</v>
      </c>
      <c r="D749" s="6026" t="s">
        <v>3491</v>
      </c>
      <c r="E749" s="6026" t="s">
        <v>3492</v>
      </c>
      <c r="F749" s="6026" t="s">
        <v>2380</v>
      </c>
      <c r="G749" s="6026" t="s">
        <v>3493</v>
      </c>
      <c r="H749" s="6026" t="s">
        <v>24</v>
      </c>
      <c r="I749" s="6026" t="s">
        <v>1626</v>
      </c>
    </row>
    <row customHeight="1" ht="11.25">
      <c r="A750" s="6026" t="s">
        <v>2185</v>
      </c>
      <c r="B750" s="6026" t="s">
        <v>14</v>
      </c>
      <c r="C750" s="6026" t="s">
        <v>3494</v>
      </c>
      <c r="D750" s="6026" t="s">
        <v>3495</v>
      </c>
      <c r="E750" s="6026" t="s">
        <v>3496</v>
      </c>
      <c r="F750" s="6026" t="s">
        <v>2204</v>
      </c>
      <c r="G750" s="6026" t="s">
        <v>24</v>
      </c>
      <c r="H750" s="6026" t="s">
        <v>24</v>
      </c>
      <c r="I750" s="6026" t="s">
        <v>1626</v>
      </c>
    </row>
    <row customHeight="1" ht="11.25">
      <c r="A751" s="6026" t="s">
        <v>2185</v>
      </c>
      <c r="B751" s="6026" t="s">
        <v>14</v>
      </c>
      <c r="C751" s="6026" t="s">
        <v>3497</v>
      </c>
      <c r="D751" s="6026" t="s">
        <v>3498</v>
      </c>
      <c r="E751" s="6026" t="s">
        <v>3499</v>
      </c>
      <c r="F751" s="6026" t="s">
        <v>2216</v>
      </c>
      <c r="G751" s="6026" t="s">
        <v>3500</v>
      </c>
      <c r="H751" s="6026" t="s">
        <v>24</v>
      </c>
      <c r="I751" s="6026" t="s">
        <v>1626</v>
      </c>
    </row>
    <row customHeight="1" ht="11.25">
      <c r="A752" s="6026" t="s">
        <v>2185</v>
      </c>
      <c r="B752" s="6026" t="s">
        <v>14</v>
      </c>
      <c r="C752" s="6026" t="s">
        <v>3501</v>
      </c>
      <c r="D752" s="6026" t="s">
        <v>3502</v>
      </c>
      <c r="E752" s="6026" t="s">
        <v>3503</v>
      </c>
      <c r="F752" s="6026" t="s">
        <v>2292</v>
      </c>
      <c r="G752" s="6026" t="s">
        <v>24</v>
      </c>
      <c r="H752" s="6026" t="s">
        <v>24</v>
      </c>
      <c r="I752" s="6026" t="s">
        <v>1626</v>
      </c>
    </row>
    <row customHeight="1" ht="11.25">
      <c r="A753" s="6026" t="s">
        <v>2185</v>
      </c>
      <c r="B753" s="6026" t="s">
        <v>14</v>
      </c>
      <c r="C753" s="6026" t="s">
        <v>3504</v>
      </c>
      <c r="D753" s="6026" t="s">
        <v>3505</v>
      </c>
      <c r="E753" s="6026" t="s">
        <v>3506</v>
      </c>
      <c r="F753" s="6026" t="s">
        <v>2247</v>
      </c>
      <c r="G753" s="6026" t="s">
        <v>24</v>
      </c>
      <c r="H753" s="6026" t="s">
        <v>24</v>
      </c>
      <c r="I753" s="6026" t="s">
        <v>1626</v>
      </c>
    </row>
    <row customHeight="1" ht="11.25">
      <c r="A754" s="6026" t="s">
        <v>2185</v>
      </c>
      <c r="B754" s="6026" t="s">
        <v>14</v>
      </c>
      <c r="C754" s="6026" t="s">
        <v>3507</v>
      </c>
      <c r="D754" s="6026" t="s">
        <v>3508</v>
      </c>
      <c r="E754" s="6026" t="s">
        <v>3509</v>
      </c>
      <c r="F754" s="6026" t="s">
        <v>2204</v>
      </c>
      <c r="G754" s="6026" t="s">
        <v>24</v>
      </c>
      <c r="H754" s="6026" t="s">
        <v>24</v>
      </c>
      <c r="I754" s="6026" t="s">
        <v>1626</v>
      </c>
    </row>
    <row customHeight="1" ht="11.25">
      <c r="A755" s="6026" t="s">
        <v>2185</v>
      </c>
      <c r="B755" s="6026" t="s">
        <v>14</v>
      </c>
      <c r="C755" s="6026" t="s">
        <v>3280</v>
      </c>
      <c r="D755" s="6026" t="s">
        <v>3281</v>
      </c>
      <c r="E755" s="6026" t="s">
        <v>3282</v>
      </c>
      <c r="F755" s="6026" t="s">
        <v>2288</v>
      </c>
      <c r="G755" s="6026" t="s">
        <v>24</v>
      </c>
      <c r="H755" s="6026" t="s">
        <v>24</v>
      </c>
      <c r="I755" s="6026" t="s">
        <v>1626</v>
      </c>
    </row>
    <row customHeight="1" ht="11.25">
      <c r="A756" s="6026" t="s">
        <v>2185</v>
      </c>
      <c r="B756" s="6026" t="s">
        <v>14</v>
      </c>
      <c r="C756" s="6026" t="s">
        <v>3510</v>
      </c>
      <c r="D756" s="6026" t="s">
        <v>3511</v>
      </c>
      <c r="E756" s="6026" t="s">
        <v>3512</v>
      </c>
      <c r="F756" s="6026" t="s">
        <v>2342</v>
      </c>
      <c r="G756" s="6026" t="s">
        <v>24</v>
      </c>
      <c r="H756" s="6026" t="s">
        <v>24</v>
      </c>
      <c r="I756" s="6026" t="s">
        <v>1626</v>
      </c>
    </row>
    <row customHeight="1" ht="11.25">
      <c r="A757" s="6026" t="s">
        <v>2185</v>
      </c>
      <c r="B757" s="6026" t="s">
        <v>14</v>
      </c>
      <c r="C757" s="6026" t="s">
        <v>3513</v>
      </c>
      <c r="D757" s="6026" t="s">
        <v>3514</v>
      </c>
      <c r="E757" s="6026" t="s">
        <v>3515</v>
      </c>
      <c r="F757" s="6026" t="s">
        <v>2247</v>
      </c>
      <c r="G757" s="6026" t="s">
        <v>3516</v>
      </c>
      <c r="H757" s="6026" t="s">
        <v>24</v>
      </c>
      <c r="I757" s="6026" t="s">
        <v>1626</v>
      </c>
    </row>
    <row customHeight="1" ht="11.25">
      <c r="A758" s="6026" t="s">
        <v>2185</v>
      </c>
      <c r="B758" s="6026" t="s">
        <v>14</v>
      </c>
      <c r="C758" s="6026" t="s">
        <v>3517</v>
      </c>
      <c r="D758" s="6026" t="s">
        <v>3518</v>
      </c>
      <c r="E758" s="6026" t="s">
        <v>3519</v>
      </c>
      <c r="F758" s="6026" t="s">
        <v>2216</v>
      </c>
      <c r="G758" s="6026" t="s">
        <v>24</v>
      </c>
      <c r="H758" s="6026" t="s">
        <v>24</v>
      </c>
      <c r="I758" s="6026"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EC4603-5DC2-61DF-F679-4DE7B7C493D4}" mc:Ignorable="x14ac xr xr2 xr3">
  <sheetPr>
    <tabColor rgb="FFFFCC99"/>
  </sheetPr>
  <dimension ref="A1:G367"/>
  <sheetViews>
    <sheetView topLeftCell="A1" showGridLines="0" workbookViewId="0">
      <selection activeCell="A1" sqref="A1"/>
    </sheetView>
  </sheetViews>
  <sheetFormatPr customHeight="1" defaultRowHeight="11.25"/>
  <cols>
    <col min="1" max="1" style="5436" width="9.140625"/>
  </cols>
  <sheetData>
    <row customHeight="1" ht="11.25">
      <c r="A1" s="373" t="s">
        <v>3520</v>
      </c>
      <c r="B1" s="48" t="s">
        <v>3521</v>
      </c>
      <c r="C1" s="48" t="s">
        <v>3522</v>
      </c>
      <c r="D1" s="48" t="s">
        <v>3523</v>
      </c>
      <c r="E1" s="0" t="s">
        <v>3524</v>
      </c>
      <c r="F1" s="0" t="s">
        <v>3525</v>
      </c>
      <c r="G1" s="0" t="s">
        <v>3526</v>
      </c>
    </row>
    <row customHeight="1" ht="11.25">
      <c r="A2" s="373" t="s">
        <v>14</v>
      </c>
      <c r="B2" s="0" t="s">
        <v>3527</v>
      </c>
      <c r="C2" s="0" t="s">
        <v>3528</v>
      </c>
      <c r="D2" s="0" t="s">
        <v>3529</v>
      </c>
      <c r="E2" s="0" t="s">
        <v>3530</v>
      </c>
      <c r="F2" s="0" t="s">
        <v>3531</v>
      </c>
      <c r="G2" s="0" t="s">
        <v>107</v>
      </c>
    </row>
    <row customHeight="1" ht="11.25">
      <c r="A3" s="373" t="s">
        <v>14</v>
      </c>
      <c r="B3" s="0" t="s">
        <v>3527</v>
      </c>
      <c r="C3" s="0" t="s">
        <v>3528</v>
      </c>
      <c r="D3" s="0" t="s">
        <v>3527</v>
      </c>
      <c r="E3" s="0" t="s">
        <v>3528</v>
      </c>
      <c r="F3" s="0" t="s">
        <v>3532</v>
      </c>
      <c r="G3" s="0" t="s">
        <v>108</v>
      </c>
    </row>
    <row customHeight="1" ht="11.25">
      <c r="A4" s="373" t="s">
        <v>14</v>
      </c>
      <c r="B4" s="0" t="s">
        <v>3527</v>
      </c>
      <c r="C4" s="0" t="s">
        <v>3528</v>
      </c>
      <c r="D4" s="0" t="s">
        <v>3533</v>
      </c>
      <c r="E4" s="0" t="s">
        <v>3534</v>
      </c>
      <c r="F4" s="0" t="s">
        <v>3531</v>
      </c>
      <c r="G4" s="0" t="s">
        <v>88</v>
      </c>
    </row>
    <row customHeight="1" ht="11.25">
      <c r="A5" s="373" t="s">
        <v>14</v>
      </c>
      <c r="B5" s="0" t="s">
        <v>3527</v>
      </c>
      <c r="C5" s="0" t="s">
        <v>3528</v>
      </c>
      <c r="D5" s="0" t="s">
        <v>3535</v>
      </c>
      <c r="E5" s="0" t="s">
        <v>3536</v>
      </c>
      <c r="F5" s="0" t="s">
        <v>3531</v>
      </c>
      <c r="G5" s="0" t="s">
        <v>89</v>
      </c>
    </row>
    <row customHeight="1" ht="11.25">
      <c r="A6" s="373" t="s">
        <v>14</v>
      </c>
      <c r="B6" s="0" t="s">
        <v>3527</v>
      </c>
      <c r="C6" s="0" t="s">
        <v>3528</v>
      </c>
      <c r="D6" s="0" t="s">
        <v>3537</v>
      </c>
      <c r="E6" s="0" t="s">
        <v>3538</v>
      </c>
      <c r="F6" s="0" t="s">
        <v>3531</v>
      </c>
      <c r="G6" s="0" t="s">
        <v>109</v>
      </c>
    </row>
    <row customHeight="1" ht="11.25">
      <c r="A7" s="373" t="s">
        <v>14</v>
      </c>
      <c r="B7" s="0" t="s">
        <v>3527</v>
      </c>
      <c r="C7" s="0" t="s">
        <v>3528</v>
      </c>
      <c r="D7" s="0" t="s">
        <v>3539</v>
      </c>
      <c r="E7" s="0" t="s">
        <v>3540</v>
      </c>
      <c r="F7" s="0" t="s">
        <v>3531</v>
      </c>
      <c r="G7" s="0" t="s">
        <v>90</v>
      </c>
    </row>
    <row customHeight="1" ht="11.25">
      <c r="A8" s="373" t="s">
        <v>14</v>
      </c>
      <c r="B8" s="0" t="s">
        <v>3527</v>
      </c>
      <c r="C8" s="0" t="s">
        <v>3528</v>
      </c>
      <c r="D8" s="0" t="s">
        <v>3541</v>
      </c>
      <c r="E8" s="0" t="s">
        <v>3542</v>
      </c>
      <c r="F8" s="0" t="s">
        <v>3531</v>
      </c>
      <c r="G8" s="0" t="s">
        <v>91</v>
      </c>
    </row>
    <row customHeight="1" ht="11.25">
      <c r="A9" s="373" t="s">
        <v>14</v>
      </c>
      <c r="B9" s="0" t="s">
        <v>3527</v>
      </c>
      <c r="C9" s="0" t="s">
        <v>3528</v>
      </c>
      <c r="D9" s="0" t="s">
        <v>3543</v>
      </c>
      <c r="E9" s="0" t="s">
        <v>3544</v>
      </c>
      <c r="F9" s="0" t="s">
        <v>3531</v>
      </c>
      <c r="G9" s="0" t="s">
        <v>110</v>
      </c>
    </row>
    <row customHeight="1" ht="11.25">
      <c r="A10" s="373" t="s">
        <v>14</v>
      </c>
      <c r="B10" s="0" t="s">
        <v>3527</v>
      </c>
      <c r="C10" s="0" t="s">
        <v>3528</v>
      </c>
      <c r="D10" s="0" t="s">
        <v>3545</v>
      </c>
      <c r="E10" s="0" t="s">
        <v>3546</v>
      </c>
      <c r="F10" s="0" t="s">
        <v>3531</v>
      </c>
      <c r="G10" s="0" t="s">
        <v>146</v>
      </c>
    </row>
    <row customHeight="1" ht="11.25">
      <c r="A11" s="373" t="s">
        <v>14</v>
      </c>
      <c r="B11" s="0" t="s">
        <v>3527</v>
      </c>
      <c r="C11" s="0" t="s">
        <v>3528</v>
      </c>
      <c r="D11" s="0" t="s">
        <v>3547</v>
      </c>
      <c r="E11" s="0" t="s">
        <v>3548</v>
      </c>
      <c r="F11" s="0" t="s">
        <v>3531</v>
      </c>
      <c r="G11" s="0" t="s">
        <v>147</v>
      </c>
    </row>
    <row customHeight="1" ht="11.25">
      <c r="A12" s="373" t="s">
        <v>14</v>
      </c>
      <c r="B12" s="0" t="s">
        <v>3527</v>
      </c>
      <c r="C12" s="0" t="s">
        <v>3528</v>
      </c>
      <c r="D12" s="0" t="s">
        <v>3549</v>
      </c>
      <c r="E12" s="0" t="s">
        <v>3550</v>
      </c>
      <c r="F12" s="0" t="s">
        <v>3531</v>
      </c>
      <c r="G12" s="0" t="s">
        <v>148</v>
      </c>
    </row>
    <row customHeight="1" ht="11.25">
      <c r="A13" s="373" t="s">
        <v>14</v>
      </c>
      <c r="B13" s="0" t="s">
        <v>3527</v>
      </c>
      <c r="C13" s="0" t="s">
        <v>3528</v>
      </c>
      <c r="D13" s="0" t="s">
        <v>3551</v>
      </c>
      <c r="E13" s="0" t="s">
        <v>3552</v>
      </c>
      <c r="F13" s="0" t="s">
        <v>3531</v>
      </c>
      <c r="G13" s="0" t="s">
        <v>149</v>
      </c>
    </row>
    <row customHeight="1" ht="11.25">
      <c r="A14" s="373" t="s">
        <v>14</v>
      </c>
      <c r="B14" s="0" t="s">
        <v>3527</v>
      </c>
      <c r="C14" s="0" t="s">
        <v>3528</v>
      </c>
      <c r="D14" s="0" t="s">
        <v>3553</v>
      </c>
      <c r="E14" s="0" t="s">
        <v>3554</v>
      </c>
      <c r="F14" s="0" t="s">
        <v>3531</v>
      </c>
      <c r="G14" s="0" t="s">
        <v>150</v>
      </c>
    </row>
    <row customHeight="1" ht="11.25">
      <c r="A15" s="373" t="s">
        <v>14</v>
      </c>
      <c r="B15" s="0" t="s">
        <v>3555</v>
      </c>
      <c r="C15" s="0" t="s">
        <v>3556</v>
      </c>
      <c r="D15" s="0" t="s">
        <v>3557</v>
      </c>
      <c r="E15" s="0" t="s">
        <v>3558</v>
      </c>
      <c r="F15" s="0" t="s">
        <v>3531</v>
      </c>
      <c r="G15" s="0" t="s">
        <v>151</v>
      </c>
    </row>
    <row customHeight="1" ht="11.25">
      <c r="A16" s="373" t="s">
        <v>14</v>
      </c>
      <c r="B16" s="0" t="s">
        <v>3555</v>
      </c>
      <c r="C16" s="0" t="s">
        <v>3556</v>
      </c>
      <c r="D16" s="0" t="s">
        <v>3555</v>
      </c>
      <c r="E16" s="0" t="s">
        <v>3556</v>
      </c>
      <c r="F16" s="0" t="s">
        <v>3532</v>
      </c>
      <c r="G16" s="0" t="s">
        <v>1471</v>
      </c>
    </row>
    <row customHeight="1" ht="11.25">
      <c r="A17" s="373" t="s">
        <v>14</v>
      </c>
      <c r="B17" s="0" t="s">
        <v>3555</v>
      </c>
      <c r="C17" s="0" t="s">
        <v>3556</v>
      </c>
      <c r="D17" s="0" t="s">
        <v>3559</v>
      </c>
      <c r="E17" s="0" t="s">
        <v>3560</v>
      </c>
      <c r="F17" s="0" t="s">
        <v>3531</v>
      </c>
      <c r="G17" s="0" t="s">
        <v>1477</v>
      </c>
    </row>
    <row customHeight="1" ht="11.25">
      <c r="A18" s="373" t="s">
        <v>14</v>
      </c>
      <c r="B18" s="0" t="s">
        <v>3555</v>
      </c>
      <c r="C18" s="0" t="s">
        <v>3556</v>
      </c>
      <c r="D18" s="0" t="s">
        <v>3561</v>
      </c>
      <c r="E18" s="0" t="s">
        <v>3562</v>
      </c>
      <c r="F18" s="0" t="s">
        <v>3531</v>
      </c>
      <c r="G18" s="0" t="s">
        <v>1488</v>
      </c>
    </row>
    <row customHeight="1" ht="11.25">
      <c r="A19" s="373" t="s">
        <v>14</v>
      </c>
      <c r="B19" s="0" t="s">
        <v>3555</v>
      </c>
      <c r="C19" s="0" t="s">
        <v>3556</v>
      </c>
      <c r="D19" s="0" t="s">
        <v>3563</v>
      </c>
      <c r="E19" s="0" t="s">
        <v>3564</v>
      </c>
      <c r="F19" s="0" t="s">
        <v>3531</v>
      </c>
      <c r="G19" s="0" t="s">
        <v>1502</v>
      </c>
    </row>
    <row customHeight="1" ht="11.25">
      <c r="A20" s="373" t="s">
        <v>14</v>
      </c>
      <c r="B20" s="0" t="s">
        <v>3555</v>
      </c>
      <c r="C20" s="0" t="s">
        <v>3556</v>
      </c>
      <c r="D20" s="0" t="s">
        <v>3565</v>
      </c>
      <c r="E20" s="0" t="s">
        <v>3566</v>
      </c>
      <c r="F20" s="0" t="s">
        <v>3531</v>
      </c>
      <c r="G20" s="0" t="s">
        <v>1514</v>
      </c>
    </row>
    <row customHeight="1" ht="11.25">
      <c r="A21" s="373" t="s">
        <v>14</v>
      </c>
      <c r="B21" s="0" t="s">
        <v>3555</v>
      </c>
      <c r="C21" s="0" t="s">
        <v>3556</v>
      </c>
      <c r="D21" s="0" t="s">
        <v>3567</v>
      </c>
      <c r="E21" s="0" t="s">
        <v>3568</v>
      </c>
      <c r="F21" s="0" t="s">
        <v>3531</v>
      </c>
      <c r="G21" s="0" t="s">
        <v>1523</v>
      </c>
    </row>
    <row customHeight="1" ht="11.25">
      <c r="A22" s="373" t="s">
        <v>14</v>
      </c>
      <c r="B22" s="0" t="s">
        <v>3555</v>
      </c>
      <c r="C22" s="0" t="s">
        <v>3556</v>
      </c>
      <c r="D22" s="0" t="s">
        <v>3569</v>
      </c>
      <c r="E22" s="0" t="s">
        <v>3570</v>
      </c>
      <c r="F22" s="0" t="s">
        <v>3531</v>
      </c>
      <c r="G22" s="0" t="s">
        <v>1539</v>
      </c>
    </row>
    <row customHeight="1" ht="11.25">
      <c r="A23" s="373" t="s">
        <v>14</v>
      </c>
      <c r="B23" s="0" t="s">
        <v>3555</v>
      </c>
      <c r="C23" s="0" t="s">
        <v>3556</v>
      </c>
      <c r="D23" s="0" t="s">
        <v>3571</v>
      </c>
      <c r="E23" s="0" t="s">
        <v>3572</v>
      </c>
      <c r="F23" s="0" t="s">
        <v>3531</v>
      </c>
      <c r="G23" s="0" t="s">
        <v>1546</v>
      </c>
    </row>
    <row customHeight="1" ht="11.25">
      <c r="A24" s="373" t="s">
        <v>14</v>
      </c>
      <c r="B24" s="0" t="s">
        <v>3555</v>
      </c>
      <c r="C24" s="0" t="s">
        <v>3556</v>
      </c>
      <c r="D24" s="0" t="s">
        <v>3573</v>
      </c>
      <c r="E24" s="0" t="s">
        <v>3574</v>
      </c>
      <c r="F24" s="0" t="s">
        <v>3531</v>
      </c>
      <c r="G24" s="0" t="s">
        <v>1554</v>
      </c>
    </row>
    <row customHeight="1" ht="11.25">
      <c r="A25" s="373" t="s">
        <v>14</v>
      </c>
      <c r="B25" s="0" t="s">
        <v>3555</v>
      </c>
      <c r="C25" s="0" t="s">
        <v>3556</v>
      </c>
      <c r="D25" s="0" t="s">
        <v>3575</v>
      </c>
      <c r="E25" s="0" t="s">
        <v>3576</v>
      </c>
      <c r="F25" s="0" t="s">
        <v>3531</v>
      </c>
      <c r="G25" s="0" t="s">
        <v>1561</v>
      </c>
    </row>
    <row customHeight="1" ht="11.25">
      <c r="A26" s="373" t="s">
        <v>14</v>
      </c>
      <c r="B26" s="0" t="s">
        <v>3555</v>
      </c>
      <c r="C26" s="0" t="s">
        <v>3556</v>
      </c>
      <c r="D26" s="0" t="s">
        <v>3577</v>
      </c>
      <c r="E26" s="0" t="s">
        <v>3578</v>
      </c>
      <c r="F26" s="0" t="s">
        <v>3531</v>
      </c>
      <c r="G26" s="0" t="s">
        <v>1565</v>
      </c>
    </row>
    <row customHeight="1" ht="11.25">
      <c r="A27" s="373" t="s">
        <v>14</v>
      </c>
      <c r="B27" s="0" t="s">
        <v>3555</v>
      </c>
      <c r="C27" s="0" t="s">
        <v>3556</v>
      </c>
      <c r="D27" s="0" t="s">
        <v>3579</v>
      </c>
      <c r="E27" s="0" t="s">
        <v>3580</v>
      </c>
      <c r="F27" s="0" t="s">
        <v>3531</v>
      </c>
      <c r="G27" s="0" t="s">
        <v>1570</v>
      </c>
    </row>
    <row customHeight="1" ht="11.25">
      <c r="A28" s="373" t="s">
        <v>14</v>
      </c>
      <c r="B28" s="0" t="s">
        <v>3555</v>
      </c>
      <c r="C28" s="0" t="s">
        <v>3556</v>
      </c>
      <c r="D28" s="0" t="s">
        <v>3581</v>
      </c>
      <c r="E28" s="0" t="s">
        <v>3582</v>
      </c>
      <c r="F28" s="0" t="s">
        <v>3531</v>
      </c>
      <c r="G28" s="0" t="s">
        <v>1578</v>
      </c>
    </row>
    <row customHeight="1" ht="11.25">
      <c r="A29" s="373" t="s">
        <v>14</v>
      </c>
      <c r="B29" s="0" t="s">
        <v>3555</v>
      </c>
      <c r="C29" s="0" t="s">
        <v>3556</v>
      </c>
      <c r="D29" s="0" t="s">
        <v>3583</v>
      </c>
      <c r="E29" s="0" t="s">
        <v>3584</v>
      </c>
      <c r="F29" s="0" t="s">
        <v>3531</v>
      </c>
      <c r="G29" s="0" t="s">
        <v>1580</v>
      </c>
    </row>
    <row customHeight="1" ht="11.25">
      <c r="A30" s="373" t="s">
        <v>14</v>
      </c>
      <c r="B30" s="0" t="s">
        <v>3555</v>
      </c>
      <c r="C30" s="0" t="s">
        <v>3556</v>
      </c>
      <c r="D30" s="0" t="s">
        <v>3585</v>
      </c>
      <c r="E30" s="0" t="s">
        <v>3586</v>
      </c>
      <c r="F30" s="0" t="s">
        <v>3531</v>
      </c>
      <c r="G30" s="0" t="s">
        <v>1583</v>
      </c>
    </row>
    <row customHeight="1" ht="11.25">
      <c r="A31" s="373" t="s">
        <v>14</v>
      </c>
      <c r="B31" s="0" t="s">
        <v>3555</v>
      </c>
      <c r="C31" s="0" t="s">
        <v>3556</v>
      </c>
      <c r="D31" s="0" t="s">
        <v>3587</v>
      </c>
      <c r="E31" s="0" t="s">
        <v>3588</v>
      </c>
      <c r="F31" s="0" t="s">
        <v>3531</v>
      </c>
      <c r="G31" s="0" t="s">
        <v>1588</v>
      </c>
    </row>
    <row customHeight="1" ht="11.25">
      <c r="A32" s="373" t="s">
        <v>14</v>
      </c>
      <c r="B32" s="0" t="s">
        <v>3555</v>
      </c>
      <c r="C32" s="0" t="s">
        <v>3556</v>
      </c>
      <c r="D32" s="0" t="s">
        <v>3589</v>
      </c>
      <c r="E32" s="0" t="s">
        <v>3590</v>
      </c>
      <c r="F32" s="0" t="s">
        <v>3531</v>
      </c>
      <c r="G32" s="0" t="s">
        <v>1590</v>
      </c>
    </row>
    <row customHeight="1" ht="11.25">
      <c r="A33" s="373" t="s">
        <v>14</v>
      </c>
      <c r="B33" s="0" t="s">
        <v>3591</v>
      </c>
      <c r="C33" s="0" t="s">
        <v>3592</v>
      </c>
      <c r="D33" s="0" t="s">
        <v>3593</v>
      </c>
      <c r="E33" s="0" t="s">
        <v>3594</v>
      </c>
      <c r="F33" s="0" t="s">
        <v>3531</v>
      </c>
      <c r="G33" s="0" t="s">
        <v>1592</v>
      </c>
    </row>
    <row customHeight="1" ht="11.25">
      <c r="A34" s="373" t="s">
        <v>14</v>
      </c>
      <c r="B34" s="0" t="s">
        <v>3591</v>
      </c>
      <c r="C34" s="0" t="s">
        <v>3592</v>
      </c>
      <c r="D34" s="0" t="s">
        <v>3595</v>
      </c>
      <c r="E34" s="0" t="s">
        <v>3596</v>
      </c>
      <c r="F34" s="0" t="s">
        <v>3531</v>
      </c>
      <c r="G34" s="0" t="s">
        <v>1594</v>
      </c>
    </row>
    <row customHeight="1" ht="11.25">
      <c r="A35" s="373" t="s">
        <v>14</v>
      </c>
      <c r="B35" s="0" t="s">
        <v>3591</v>
      </c>
      <c r="C35" s="0" t="s">
        <v>3592</v>
      </c>
      <c r="D35" s="0" t="s">
        <v>3591</v>
      </c>
      <c r="E35" s="0" t="s">
        <v>3592</v>
      </c>
      <c r="F35" s="0" t="s">
        <v>3532</v>
      </c>
      <c r="G35" s="0" t="s">
        <v>1599</v>
      </c>
    </row>
    <row customHeight="1" ht="11.25">
      <c r="A36" s="373" t="s">
        <v>14</v>
      </c>
      <c r="B36" s="0" t="s">
        <v>3591</v>
      </c>
      <c r="C36" s="0" t="s">
        <v>3592</v>
      </c>
      <c r="D36" s="0" t="s">
        <v>3597</v>
      </c>
      <c r="E36" s="0" t="s">
        <v>3598</v>
      </c>
      <c r="F36" s="0" t="s">
        <v>3531</v>
      </c>
      <c r="G36" s="0" t="s">
        <v>1604</v>
      </c>
    </row>
    <row customHeight="1" ht="11.25">
      <c r="A37" s="373" t="s">
        <v>14</v>
      </c>
      <c r="B37" s="0" t="s">
        <v>3591</v>
      </c>
      <c r="C37" s="0" t="s">
        <v>3592</v>
      </c>
      <c r="D37" s="0" t="s">
        <v>3599</v>
      </c>
      <c r="E37" s="0" t="s">
        <v>3600</v>
      </c>
      <c r="F37" s="0" t="s">
        <v>3531</v>
      </c>
      <c r="G37" s="0" t="s">
        <v>1608</v>
      </c>
    </row>
    <row customHeight="1" ht="11.25">
      <c r="A38" s="373" t="s">
        <v>14</v>
      </c>
      <c r="B38" s="0" t="s">
        <v>3591</v>
      </c>
      <c r="C38" s="0" t="s">
        <v>3592</v>
      </c>
      <c r="D38" s="0" t="s">
        <v>3601</v>
      </c>
      <c r="E38" s="0" t="s">
        <v>3602</v>
      </c>
      <c r="F38" s="0" t="s">
        <v>3531</v>
      </c>
      <c r="G38" s="0" t="s">
        <v>1616</v>
      </c>
    </row>
    <row customHeight="1" ht="11.25">
      <c r="A39" s="373" t="s">
        <v>14</v>
      </c>
      <c r="B39" s="0" t="s">
        <v>3591</v>
      </c>
      <c r="C39" s="0" t="s">
        <v>3592</v>
      </c>
      <c r="D39" s="0" t="s">
        <v>3603</v>
      </c>
      <c r="E39" s="0" t="s">
        <v>3604</v>
      </c>
      <c r="F39" s="0" t="s">
        <v>3531</v>
      </c>
      <c r="G39" s="0" t="s">
        <v>1622</v>
      </c>
    </row>
    <row customHeight="1" ht="11.25">
      <c r="A40" s="373" t="s">
        <v>14</v>
      </c>
      <c r="B40" s="0" t="s">
        <v>3591</v>
      </c>
      <c r="C40" s="0" t="s">
        <v>3592</v>
      </c>
      <c r="D40" s="0" t="s">
        <v>3605</v>
      </c>
      <c r="E40" s="0" t="s">
        <v>3606</v>
      </c>
      <c r="F40" s="0" t="s">
        <v>3531</v>
      </c>
      <c r="G40" s="0" t="s">
        <v>1627</v>
      </c>
    </row>
    <row customHeight="1" ht="11.25">
      <c r="A41" s="373" t="s">
        <v>14</v>
      </c>
      <c r="B41" s="0" t="s">
        <v>3591</v>
      </c>
      <c r="C41" s="0" t="s">
        <v>3592</v>
      </c>
      <c r="D41" s="0" t="s">
        <v>3607</v>
      </c>
      <c r="E41" s="0" t="s">
        <v>3608</v>
      </c>
      <c r="F41" s="0" t="s">
        <v>3531</v>
      </c>
      <c r="G41" s="0" t="s">
        <v>1631</v>
      </c>
    </row>
    <row customHeight="1" ht="11.25">
      <c r="A42" s="373" t="s">
        <v>14</v>
      </c>
      <c r="B42" s="0" t="s">
        <v>3591</v>
      </c>
      <c r="C42" s="0" t="s">
        <v>3592</v>
      </c>
      <c r="D42" s="0" t="s">
        <v>3609</v>
      </c>
      <c r="E42" s="0" t="s">
        <v>3610</v>
      </c>
      <c r="F42" s="0" t="s">
        <v>3531</v>
      </c>
      <c r="G42" s="0" t="s">
        <v>1634</v>
      </c>
    </row>
    <row customHeight="1" ht="11.25">
      <c r="A43" s="373" t="s">
        <v>14</v>
      </c>
      <c r="B43" s="0" t="s">
        <v>3591</v>
      </c>
      <c r="C43" s="0" t="s">
        <v>3592</v>
      </c>
      <c r="D43" s="0" t="s">
        <v>3611</v>
      </c>
      <c r="E43" s="0" t="s">
        <v>3612</v>
      </c>
      <c r="F43" s="0" t="s">
        <v>3531</v>
      </c>
      <c r="G43" s="0" t="s">
        <v>1641</v>
      </c>
    </row>
    <row customHeight="1" ht="11.25">
      <c r="A44" s="373" t="s">
        <v>14</v>
      </c>
      <c r="B44" s="0" t="s">
        <v>3613</v>
      </c>
      <c r="C44" s="0" t="s">
        <v>3614</v>
      </c>
      <c r="D44" s="0" t="s">
        <v>3615</v>
      </c>
      <c r="E44" s="0" t="s">
        <v>3616</v>
      </c>
      <c r="F44" s="0" t="s">
        <v>3531</v>
      </c>
      <c r="G44" s="0" t="s">
        <v>1650</v>
      </c>
    </row>
    <row customHeight="1" ht="11.25">
      <c r="A45" s="373" t="s">
        <v>14</v>
      </c>
      <c r="B45" s="0" t="s">
        <v>3613</v>
      </c>
      <c r="C45" s="0" t="s">
        <v>3614</v>
      </c>
      <c r="D45" s="0" t="s">
        <v>3617</v>
      </c>
      <c r="E45" s="0" t="s">
        <v>3618</v>
      </c>
      <c r="F45" s="0" t="s">
        <v>3531</v>
      </c>
      <c r="G45" s="0" t="s">
        <v>1655</v>
      </c>
    </row>
    <row customHeight="1" ht="11.25">
      <c r="A46" s="373" t="s">
        <v>14</v>
      </c>
      <c r="B46" s="0" t="s">
        <v>3613</v>
      </c>
      <c r="C46" s="0" t="s">
        <v>3614</v>
      </c>
      <c r="D46" s="0" t="s">
        <v>3619</v>
      </c>
      <c r="E46" s="0" t="s">
        <v>3620</v>
      </c>
      <c r="F46" s="0" t="s">
        <v>3531</v>
      </c>
      <c r="G46" s="0" t="s">
        <v>1659</v>
      </c>
    </row>
    <row customHeight="1" ht="11.25">
      <c r="A47" s="373" t="s">
        <v>14</v>
      </c>
      <c r="B47" s="0" t="s">
        <v>3613</v>
      </c>
      <c r="C47" s="0" t="s">
        <v>3614</v>
      </c>
      <c r="D47" s="0" t="s">
        <v>3613</v>
      </c>
      <c r="E47" s="0" t="s">
        <v>3614</v>
      </c>
      <c r="F47" s="0" t="s">
        <v>3532</v>
      </c>
      <c r="G47" s="0" t="s">
        <v>1665</v>
      </c>
    </row>
    <row customHeight="1" ht="11.25">
      <c r="A48" s="373" t="s">
        <v>14</v>
      </c>
      <c r="B48" s="0" t="s">
        <v>3613</v>
      </c>
      <c r="C48" s="0" t="s">
        <v>3614</v>
      </c>
      <c r="D48" s="0" t="s">
        <v>3621</v>
      </c>
      <c r="E48" s="0" t="s">
        <v>3622</v>
      </c>
      <c r="F48" s="0" t="s">
        <v>3531</v>
      </c>
      <c r="G48" s="0" t="s">
        <v>1670</v>
      </c>
    </row>
    <row customHeight="1" ht="11.25">
      <c r="A49" s="373" t="s">
        <v>14</v>
      </c>
      <c r="B49" s="0" t="s">
        <v>3613</v>
      </c>
      <c r="C49" s="0" t="s">
        <v>3614</v>
      </c>
      <c r="D49" s="0" t="s">
        <v>3623</v>
      </c>
      <c r="E49" s="0" t="s">
        <v>3624</v>
      </c>
      <c r="F49" s="0" t="s">
        <v>3531</v>
      </c>
      <c r="G49" s="0" t="s">
        <v>1673</v>
      </c>
    </row>
    <row customHeight="1" ht="11.25">
      <c r="A50" s="373" t="s">
        <v>14</v>
      </c>
      <c r="B50" s="0" t="s">
        <v>3613</v>
      </c>
      <c r="C50" s="0" t="s">
        <v>3614</v>
      </c>
      <c r="D50" s="0" t="s">
        <v>3625</v>
      </c>
      <c r="E50" s="0" t="s">
        <v>3626</v>
      </c>
      <c r="F50" s="0" t="s">
        <v>3531</v>
      </c>
      <c r="G50" s="0" t="s">
        <v>1677</v>
      </c>
    </row>
    <row customHeight="1" ht="11.25">
      <c r="A51" s="373" t="s">
        <v>14</v>
      </c>
      <c r="B51" s="0" t="s">
        <v>3613</v>
      </c>
      <c r="C51" s="0" t="s">
        <v>3614</v>
      </c>
      <c r="D51" s="0" t="s">
        <v>3627</v>
      </c>
      <c r="E51" s="0" t="s">
        <v>3628</v>
      </c>
      <c r="F51" s="0" t="s">
        <v>3531</v>
      </c>
      <c r="G51" s="0" t="s">
        <v>1681</v>
      </c>
    </row>
    <row customHeight="1" ht="11.25">
      <c r="A52" s="373" t="s">
        <v>14</v>
      </c>
      <c r="B52" s="0" t="s">
        <v>3613</v>
      </c>
      <c r="C52" s="0" t="s">
        <v>3614</v>
      </c>
      <c r="D52" s="0" t="s">
        <v>3629</v>
      </c>
      <c r="E52" s="0" t="s">
        <v>3630</v>
      </c>
      <c r="F52" s="0" t="s">
        <v>3531</v>
      </c>
      <c r="G52" s="0" t="s">
        <v>1685</v>
      </c>
    </row>
    <row customHeight="1" ht="11.25">
      <c r="A53" s="373" t="s">
        <v>14</v>
      </c>
      <c r="B53" s="0" t="s">
        <v>3613</v>
      </c>
      <c r="C53" s="0" t="s">
        <v>3614</v>
      </c>
      <c r="D53" s="0" t="s">
        <v>3631</v>
      </c>
      <c r="E53" s="0" t="s">
        <v>3632</v>
      </c>
      <c r="F53" s="0" t="s">
        <v>3531</v>
      </c>
      <c r="G53" s="0" t="s">
        <v>1687</v>
      </c>
    </row>
    <row customHeight="1" ht="11.25">
      <c r="A54" s="373" t="s">
        <v>14</v>
      </c>
      <c r="B54" s="0" t="s">
        <v>3613</v>
      </c>
      <c r="C54" s="0" t="s">
        <v>3614</v>
      </c>
      <c r="D54" s="0" t="s">
        <v>3633</v>
      </c>
      <c r="E54" s="0" t="s">
        <v>3634</v>
      </c>
      <c r="F54" s="0" t="s">
        <v>3531</v>
      </c>
      <c r="G54" s="0" t="s">
        <v>1690</v>
      </c>
    </row>
    <row customHeight="1" ht="11.25">
      <c r="A55" s="373" t="s">
        <v>14</v>
      </c>
      <c r="B55" s="0" t="s">
        <v>3613</v>
      </c>
      <c r="C55" s="0" t="s">
        <v>3614</v>
      </c>
      <c r="D55" s="0" t="s">
        <v>3635</v>
      </c>
      <c r="E55" s="0" t="s">
        <v>3636</v>
      </c>
      <c r="F55" s="0" t="s">
        <v>3531</v>
      </c>
      <c r="G55" s="0" t="s">
        <v>1694</v>
      </c>
    </row>
    <row customHeight="1" ht="11.25">
      <c r="A56" s="373" t="s">
        <v>14</v>
      </c>
      <c r="B56" s="0" t="s">
        <v>3613</v>
      </c>
      <c r="C56" s="0" t="s">
        <v>3614</v>
      </c>
      <c r="D56" s="0" t="s">
        <v>3637</v>
      </c>
      <c r="E56" s="0" t="s">
        <v>3638</v>
      </c>
      <c r="F56" s="0" t="s">
        <v>3531</v>
      </c>
      <c r="G56" s="0" t="s">
        <v>1697</v>
      </c>
    </row>
    <row customHeight="1" ht="11.25">
      <c r="A57" s="373" t="s">
        <v>14</v>
      </c>
      <c r="B57" s="0" t="s">
        <v>3639</v>
      </c>
      <c r="C57" s="0" t="s">
        <v>3640</v>
      </c>
      <c r="D57" s="0" t="s">
        <v>3641</v>
      </c>
      <c r="E57" s="0" t="s">
        <v>3642</v>
      </c>
      <c r="F57" s="0" t="s">
        <v>3531</v>
      </c>
      <c r="G57" s="0" t="s">
        <v>1700</v>
      </c>
    </row>
    <row customHeight="1" ht="11.25">
      <c r="A58" s="373" t="s">
        <v>14</v>
      </c>
      <c r="B58" s="0" t="s">
        <v>3639</v>
      </c>
      <c r="C58" s="0" t="s">
        <v>3640</v>
      </c>
      <c r="D58" s="0" t="s">
        <v>3643</v>
      </c>
      <c r="E58" s="0" t="s">
        <v>3644</v>
      </c>
      <c r="F58" s="0" t="s">
        <v>3531</v>
      </c>
      <c r="G58" s="0" t="s">
        <v>1703</v>
      </c>
    </row>
    <row customHeight="1" ht="11.25">
      <c r="A59" s="373" t="s">
        <v>14</v>
      </c>
      <c r="B59" s="0" t="s">
        <v>3639</v>
      </c>
      <c r="C59" s="0" t="s">
        <v>3640</v>
      </c>
      <c r="D59" s="0" t="s">
        <v>3639</v>
      </c>
      <c r="E59" s="0" t="s">
        <v>3640</v>
      </c>
      <c r="F59" s="0" t="s">
        <v>3532</v>
      </c>
      <c r="G59" s="0" t="s">
        <v>1707</v>
      </c>
    </row>
    <row customHeight="1" ht="11.25">
      <c r="A60" s="373" t="s">
        <v>14</v>
      </c>
      <c r="B60" s="0" t="s">
        <v>3639</v>
      </c>
      <c r="C60" s="0" t="s">
        <v>3640</v>
      </c>
      <c r="D60" s="0" t="s">
        <v>3645</v>
      </c>
      <c r="E60" s="0" t="s">
        <v>3646</v>
      </c>
      <c r="F60" s="0" t="s">
        <v>3531</v>
      </c>
      <c r="G60" s="0" t="s">
        <v>1710</v>
      </c>
    </row>
    <row customHeight="1" ht="11.25">
      <c r="A61" s="373" t="s">
        <v>14</v>
      </c>
      <c r="B61" s="0" t="s">
        <v>3639</v>
      </c>
      <c r="C61" s="0" t="s">
        <v>3640</v>
      </c>
      <c r="D61" s="0" t="s">
        <v>3647</v>
      </c>
      <c r="E61" s="0" t="s">
        <v>3648</v>
      </c>
      <c r="F61" s="0" t="s">
        <v>3531</v>
      </c>
      <c r="G61" s="0" t="s">
        <v>3649</v>
      </c>
    </row>
    <row customHeight="1" ht="11.25">
      <c r="A62" s="373" t="s">
        <v>14</v>
      </c>
      <c r="B62" s="0" t="s">
        <v>3639</v>
      </c>
      <c r="C62" s="0" t="s">
        <v>3640</v>
      </c>
      <c r="D62" s="0" t="s">
        <v>3577</v>
      </c>
      <c r="E62" s="0" t="s">
        <v>3650</v>
      </c>
      <c r="F62" s="0" t="s">
        <v>3531</v>
      </c>
      <c r="G62" s="0" t="s">
        <v>3651</v>
      </c>
    </row>
    <row customHeight="1" ht="11.25">
      <c r="A63" s="373" t="s">
        <v>14</v>
      </c>
      <c r="B63" s="0" t="s">
        <v>3639</v>
      </c>
      <c r="C63" s="0" t="s">
        <v>3640</v>
      </c>
      <c r="D63" s="0" t="s">
        <v>3652</v>
      </c>
      <c r="E63" s="0" t="s">
        <v>3653</v>
      </c>
      <c r="F63" s="0" t="s">
        <v>3531</v>
      </c>
      <c r="G63" s="0" t="s">
        <v>3654</v>
      </c>
    </row>
    <row customHeight="1" ht="11.25">
      <c r="A64" s="373" t="s">
        <v>14</v>
      </c>
      <c r="B64" s="0" t="s">
        <v>3639</v>
      </c>
      <c r="C64" s="0" t="s">
        <v>3640</v>
      </c>
      <c r="D64" s="0" t="s">
        <v>3655</v>
      </c>
      <c r="E64" s="0" t="s">
        <v>3656</v>
      </c>
      <c r="F64" s="0" t="s">
        <v>3531</v>
      </c>
      <c r="G64" s="0" t="s">
        <v>3657</v>
      </c>
    </row>
    <row customHeight="1" ht="11.25">
      <c r="A65" s="373" t="s">
        <v>14</v>
      </c>
      <c r="B65" s="0" t="s">
        <v>3639</v>
      </c>
      <c r="C65" s="0" t="s">
        <v>3640</v>
      </c>
      <c r="D65" s="0" t="s">
        <v>3658</v>
      </c>
      <c r="E65" s="0" t="s">
        <v>3659</v>
      </c>
      <c r="F65" s="0" t="s">
        <v>3531</v>
      </c>
      <c r="G65" s="0" t="s">
        <v>3660</v>
      </c>
    </row>
    <row customHeight="1" ht="11.25">
      <c r="A66" s="373" t="s">
        <v>14</v>
      </c>
      <c r="B66" s="0" t="s">
        <v>3639</v>
      </c>
      <c r="C66" s="0" t="s">
        <v>3640</v>
      </c>
      <c r="D66" s="0" t="s">
        <v>3661</v>
      </c>
      <c r="E66" s="0" t="s">
        <v>3662</v>
      </c>
      <c r="F66" s="0" t="s">
        <v>3531</v>
      </c>
      <c r="G66" s="0" t="s">
        <v>3663</v>
      </c>
    </row>
    <row customHeight="1" ht="11.25">
      <c r="A67" s="373" t="s">
        <v>14</v>
      </c>
      <c r="B67" s="0" t="s">
        <v>3639</v>
      </c>
      <c r="C67" s="0" t="s">
        <v>3640</v>
      </c>
      <c r="D67" s="0" t="s">
        <v>3664</v>
      </c>
      <c r="E67" s="0" t="s">
        <v>3665</v>
      </c>
      <c r="F67" s="0" t="s">
        <v>3531</v>
      </c>
      <c r="G67" s="0" t="s">
        <v>1931</v>
      </c>
    </row>
    <row customHeight="1" ht="11.25">
      <c r="A68" s="373" t="s">
        <v>14</v>
      </c>
      <c r="B68" s="0" t="s">
        <v>3639</v>
      </c>
      <c r="C68" s="0" t="s">
        <v>3640</v>
      </c>
      <c r="D68" s="0" t="s">
        <v>3666</v>
      </c>
      <c r="E68" s="0" t="s">
        <v>3667</v>
      </c>
      <c r="F68" s="0" t="s">
        <v>3531</v>
      </c>
      <c r="G68" s="0" t="s">
        <v>3668</v>
      </c>
    </row>
    <row customHeight="1" ht="11.25">
      <c r="A69" s="373" t="s">
        <v>14</v>
      </c>
      <c r="B69" s="0" t="s">
        <v>3669</v>
      </c>
      <c r="C69" s="0" t="s">
        <v>3670</v>
      </c>
      <c r="D69" s="0" t="s">
        <v>3669</v>
      </c>
      <c r="E69" s="0" t="s">
        <v>3670</v>
      </c>
      <c r="F69" s="0" t="s">
        <v>3671</v>
      </c>
      <c r="G69" s="0" t="s">
        <v>2142</v>
      </c>
    </row>
    <row customHeight="1" ht="11.25">
      <c r="A70" s="373" t="s">
        <v>14</v>
      </c>
      <c r="B70" s="0" t="s">
        <v>98</v>
      </c>
      <c r="C70" s="0" t="s">
        <v>99</v>
      </c>
      <c r="D70" s="0" t="s">
        <v>98</v>
      </c>
      <c r="E70" s="0" t="s">
        <v>99</v>
      </c>
      <c r="F70" s="0" t="s">
        <v>3671</v>
      </c>
      <c r="G70" s="0" t="s">
        <v>97</v>
      </c>
    </row>
    <row customHeight="1" ht="11.25">
      <c r="A71" s="373" t="s">
        <v>14</v>
      </c>
      <c r="B71" s="0" t="s">
        <v>3672</v>
      </c>
      <c r="C71" s="0" t="s">
        <v>3673</v>
      </c>
      <c r="D71" s="0" t="s">
        <v>3672</v>
      </c>
      <c r="E71" s="0" t="s">
        <v>3673</v>
      </c>
      <c r="F71" s="0" t="s">
        <v>3671</v>
      </c>
      <c r="G71" s="0" t="s">
        <v>3674</v>
      </c>
    </row>
    <row customHeight="1" ht="11.25">
      <c r="A72" s="373" t="s">
        <v>14</v>
      </c>
      <c r="B72" s="0" t="s">
        <v>3675</v>
      </c>
      <c r="C72" s="0" t="s">
        <v>3676</v>
      </c>
      <c r="D72" s="0" t="s">
        <v>3675</v>
      </c>
      <c r="E72" s="0" t="s">
        <v>3676</v>
      </c>
      <c r="F72" s="0" t="s">
        <v>3671</v>
      </c>
      <c r="G72" s="0" t="s">
        <v>3677</v>
      </c>
    </row>
    <row customHeight="1" ht="11.25">
      <c r="A73" s="373" t="s">
        <v>14</v>
      </c>
      <c r="B73" s="0" t="s">
        <v>3678</v>
      </c>
      <c r="C73" s="0" t="s">
        <v>3679</v>
      </c>
      <c r="D73" s="0" t="s">
        <v>3678</v>
      </c>
      <c r="E73" s="0" t="s">
        <v>3679</v>
      </c>
      <c r="F73" s="0" t="s">
        <v>3671</v>
      </c>
      <c r="G73" s="0" t="s">
        <v>3680</v>
      </c>
    </row>
    <row customHeight="1" ht="11.25">
      <c r="A74" s="373" t="s">
        <v>14</v>
      </c>
      <c r="B74" s="0" t="s">
        <v>3681</v>
      </c>
      <c r="C74" s="0" t="s">
        <v>3682</v>
      </c>
      <c r="D74" s="0" t="s">
        <v>3683</v>
      </c>
      <c r="E74" s="0" t="s">
        <v>3684</v>
      </c>
      <c r="F74" s="0" t="s">
        <v>3531</v>
      </c>
      <c r="G74" s="0" t="s">
        <v>3685</v>
      </c>
    </row>
    <row customHeight="1" ht="11.25">
      <c r="A75" s="373" t="s">
        <v>14</v>
      </c>
      <c r="B75" s="0" t="s">
        <v>3681</v>
      </c>
      <c r="C75" s="0" t="s">
        <v>3682</v>
      </c>
      <c r="D75" s="0" t="s">
        <v>3681</v>
      </c>
      <c r="E75" s="0" t="s">
        <v>3682</v>
      </c>
      <c r="F75" s="0" t="s">
        <v>3532</v>
      </c>
      <c r="G75" s="0" t="s">
        <v>3686</v>
      </c>
    </row>
    <row customHeight="1" ht="11.25">
      <c r="A76" s="373" t="s">
        <v>14</v>
      </c>
      <c r="B76" s="0" t="s">
        <v>3681</v>
      </c>
      <c r="C76" s="0" t="s">
        <v>3682</v>
      </c>
      <c r="D76" s="0" t="s">
        <v>3687</v>
      </c>
      <c r="E76" s="0" t="s">
        <v>3688</v>
      </c>
      <c r="F76" s="0" t="s">
        <v>3531</v>
      </c>
      <c r="G76" s="0" t="s">
        <v>3689</v>
      </c>
    </row>
    <row customHeight="1" ht="11.25">
      <c r="A77" s="373" t="s">
        <v>14</v>
      </c>
      <c r="B77" s="0" t="s">
        <v>3681</v>
      </c>
      <c r="C77" s="0" t="s">
        <v>3682</v>
      </c>
      <c r="D77" s="0" t="s">
        <v>3690</v>
      </c>
      <c r="E77" s="0" t="s">
        <v>3691</v>
      </c>
      <c r="F77" s="0" t="s">
        <v>3531</v>
      </c>
      <c r="G77" s="0" t="s">
        <v>3692</v>
      </c>
    </row>
    <row customHeight="1" ht="11.25">
      <c r="A78" s="373" t="s">
        <v>14</v>
      </c>
      <c r="B78" s="0" t="s">
        <v>3681</v>
      </c>
      <c r="C78" s="0" t="s">
        <v>3682</v>
      </c>
      <c r="D78" s="0" t="s">
        <v>3693</v>
      </c>
      <c r="E78" s="0" t="s">
        <v>3694</v>
      </c>
      <c r="F78" s="0" t="s">
        <v>3531</v>
      </c>
      <c r="G78" s="0" t="s">
        <v>3695</v>
      </c>
    </row>
    <row customHeight="1" ht="11.25">
      <c r="A79" s="373" t="s">
        <v>14</v>
      </c>
      <c r="B79" s="0" t="s">
        <v>3681</v>
      </c>
      <c r="C79" s="0" t="s">
        <v>3682</v>
      </c>
      <c r="D79" s="0" t="s">
        <v>3696</v>
      </c>
      <c r="E79" s="0" t="s">
        <v>3697</v>
      </c>
      <c r="F79" s="0" t="s">
        <v>3531</v>
      </c>
      <c r="G79" s="0" t="s">
        <v>3698</v>
      </c>
    </row>
    <row customHeight="1" ht="11.25">
      <c r="A80" s="373" t="s">
        <v>14</v>
      </c>
      <c r="B80" s="0" t="s">
        <v>3681</v>
      </c>
      <c r="C80" s="0" t="s">
        <v>3682</v>
      </c>
      <c r="D80" s="0" t="s">
        <v>3699</v>
      </c>
      <c r="E80" s="0" t="s">
        <v>3700</v>
      </c>
      <c r="F80" s="0" t="s">
        <v>3531</v>
      </c>
      <c r="G80" s="0" t="s">
        <v>3701</v>
      </c>
    </row>
    <row customHeight="1" ht="11.25">
      <c r="A81" s="373" t="s">
        <v>14</v>
      </c>
      <c r="B81" s="0" t="s">
        <v>3681</v>
      </c>
      <c r="C81" s="0" t="s">
        <v>3682</v>
      </c>
      <c r="D81" s="0" t="s">
        <v>3702</v>
      </c>
      <c r="E81" s="0" t="s">
        <v>3703</v>
      </c>
      <c r="F81" s="0" t="s">
        <v>3531</v>
      </c>
      <c r="G81" s="0" t="s">
        <v>3704</v>
      </c>
    </row>
    <row customHeight="1" ht="11.25">
      <c r="A82" s="373" t="s">
        <v>14</v>
      </c>
      <c r="B82" s="0" t="s">
        <v>3681</v>
      </c>
      <c r="C82" s="0" t="s">
        <v>3682</v>
      </c>
      <c r="D82" s="0" t="s">
        <v>3705</v>
      </c>
      <c r="E82" s="0" t="s">
        <v>3706</v>
      </c>
      <c r="F82" s="0" t="s">
        <v>3531</v>
      </c>
      <c r="G82" s="0" t="s">
        <v>3707</v>
      </c>
    </row>
    <row customHeight="1" ht="11.25">
      <c r="A83" s="373" t="s">
        <v>14</v>
      </c>
      <c r="B83" s="0" t="s">
        <v>3708</v>
      </c>
      <c r="C83" s="0" t="s">
        <v>3709</v>
      </c>
      <c r="D83" s="0" t="s">
        <v>3710</v>
      </c>
      <c r="E83" s="0" t="s">
        <v>3711</v>
      </c>
      <c r="F83" s="0" t="s">
        <v>3531</v>
      </c>
      <c r="G83" s="0" t="s">
        <v>3712</v>
      </c>
    </row>
    <row customHeight="1" ht="11.25">
      <c r="A84" s="373" t="s">
        <v>14</v>
      </c>
      <c r="B84" s="0" t="s">
        <v>3708</v>
      </c>
      <c r="C84" s="0" t="s">
        <v>3709</v>
      </c>
      <c r="D84" s="0" t="s">
        <v>3708</v>
      </c>
      <c r="E84" s="0" t="s">
        <v>3709</v>
      </c>
      <c r="F84" s="0" t="s">
        <v>3532</v>
      </c>
      <c r="G84" s="0" t="s">
        <v>3713</v>
      </c>
    </row>
    <row customHeight="1" ht="11.25">
      <c r="A85" s="373" t="s">
        <v>14</v>
      </c>
      <c r="B85" s="0" t="s">
        <v>3708</v>
      </c>
      <c r="C85" s="0" t="s">
        <v>3709</v>
      </c>
      <c r="D85" s="0" t="s">
        <v>3714</v>
      </c>
      <c r="E85" s="0" t="s">
        <v>3715</v>
      </c>
      <c r="F85" s="0" t="s">
        <v>3531</v>
      </c>
      <c r="G85" s="0" t="s">
        <v>3716</v>
      </c>
    </row>
    <row customHeight="1" ht="11.25">
      <c r="A86" s="373" t="s">
        <v>14</v>
      </c>
      <c r="B86" s="0" t="s">
        <v>3708</v>
      </c>
      <c r="C86" s="0" t="s">
        <v>3709</v>
      </c>
      <c r="D86" s="0" t="s">
        <v>3717</v>
      </c>
      <c r="E86" s="0" t="s">
        <v>3718</v>
      </c>
      <c r="F86" s="0" t="s">
        <v>3531</v>
      </c>
      <c r="G86" s="0" t="s">
        <v>3719</v>
      </c>
    </row>
    <row customHeight="1" ht="11.25">
      <c r="A87" s="373" t="s">
        <v>14</v>
      </c>
      <c r="B87" s="0" t="s">
        <v>3708</v>
      </c>
      <c r="C87" s="0" t="s">
        <v>3709</v>
      </c>
      <c r="D87" s="0" t="s">
        <v>3720</v>
      </c>
      <c r="E87" s="0" t="s">
        <v>3721</v>
      </c>
      <c r="F87" s="0" t="s">
        <v>3531</v>
      </c>
      <c r="G87" s="0" t="s">
        <v>3722</v>
      </c>
    </row>
    <row customHeight="1" ht="11.25">
      <c r="A88" s="373" t="s">
        <v>14</v>
      </c>
      <c r="B88" s="0" t="s">
        <v>3708</v>
      </c>
      <c r="C88" s="0" t="s">
        <v>3709</v>
      </c>
      <c r="D88" s="0" t="s">
        <v>3723</v>
      </c>
      <c r="E88" s="0" t="s">
        <v>3724</v>
      </c>
      <c r="F88" s="0" t="s">
        <v>3531</v>
      </c>
      <c r="G88" s="0" t="s">
        <v>3725</v>
      </c>
    </row>
    <row customHeight="1" ht="11.25">
      <c r="A89" s="373" t="s">
        <v>14</v>
      </c>
      <c r="B89" s="0" t="s">
        <v>3708</v>
      </c>
      <c r="C89" s="0" t="s">
        <v>3709</v>
      </c>
      <c r="D89" s="0" t="s">
        <v>3726</v>
      </c>
      <c r="E89" s="0" t="s">
        <v>3727</v>
      </c>
      <c r="F89" s="0" t="s">
        <v>3531</v>
      </c>
      <c r="G89" s="0" t="s">
        <v>3728</v>
      </c>
    </row>
    <row customHeight="1" ht="11.25">
      <c r="A90" s="373" t="s">
        <v>14</v>
      </c>
      <c r="B90" s="0" t="s">
        <v>3708</v>
      </c>
      <c r="C90" s="0" t="s">
        <v>3709</v>
      </c>
      <c r="D90" s="0" t="s">
        <v>3729</v>
      </c>
      <c r="E90" s="0" t="s">
        <v>3730</v>
      </c>
      <c r="F90" s="0" t="s">
        <v>3531</v>
      </c>
      <c r="G90" s="0" t="s">
        <v>3731</v>
      </c>
    </row>
    <row customHeight="1" ht="11.25">
      <c r="A91" s="373" t="s">
        <v>14</v>
      </c>
      <c r="B91" s="0" t="s">
        <v>3708</v>
      </c>
      <c r="C91" s="0" t="s">
        <v>3709</v>
      </c>
      <c r="D91" s="0" t="s">
        <v>3732</v>
      </c>
      <c r="E91" s="0" t="s">
        <v>3733</v>
      </c>
      <c r="F91" s="0" t="s">
        <v>3531</v>
      </c>
      <c r="G91" s="0" t="s">
        <v>3734</v>
      </c>
    </row>
    <row customHeight="1" ht="11.25">
      <c r="A92" s="373" t="s">
        <v>14</v>
      </c>
      <c r="B92" s="0" t="s">
        <v>3708</v>
      </c>
      <c r="C92" s="0" t="s">
        <v>3709</v>
      </c>
      <c r="D92" s="0" t="s">
        <v>3735</v>
      </c>
      <c r="E92" s="0" t="s">
        <v>3736</v>
      </c>
      <c r="F92" s="0" t="s">
        <v>3531</v>
      </c>
      <c r="G92" s="0" t="s">
        <v>3737</v>
      </c>
    </row>
    <row customHeight="1" ht="11.25">
      <c r="A93" s="373" t="s">
        <v>14</v>
      </c>
      <c r="B93" s="0" t="s">
        <v>3708</v>
      </c>
      <c r="C93" s="0" t="s">
        <v>3709</v>
      </c>
      <c r="D93" s="0" t="s">
        <v>3738</v>
      </c>
      <c r="E93" s="0" t="s">
        <v>3739</v>
      </c>
      <c r="F93" s="0" t="s">
        <v>3531</v>
      </c>
      <c r="G93" s="0" t="s">
        <v>3740</v>
      </c>
    </row>
    <row customHeight="1" ht="11.25">
      <c r="A94" s="373" t="s">
        <v>14</v>
      </c>
      <c r="B94" s="0" t="s">
        <v>3741</v>
      </c>
      <c r="C94" s="0" t="s">
        <v>3742</v>
      </c>
      <c r="D94" s="0" t="s">
        <v>3743</v>
      </c>
      <c r="E94" s="0" t="s">
        <v>3744</v>
      </c>
      <c r="F94" s="0" t="s">
        <v>3531</v>
      </c>
      <c r="G94" s="0" t="s">
        <v>3745</v>
      </c>
    </row>
    <row customHeight="1" ht="11.25">
      <c r="A95" s="373" t="s">
        <v>14</v>
      </c>
      <c r="B95" s="0" t="s">
        <v>3741</v>
      </c>
      <c r="C95" s="0" t="s">
        <v>3742</v>
      </c>
      <c r="D95" s="0" t="s">
        <v>3746</v>
      </c>
      <c r="E95" s="0" t="s">
        <v>3747</v>
      </c>
      <c r="F95" s="0" t="s">
        <v>3531</v>
      </c>
      <c r="G95" s="0" t="s">
        <v>3748</v>
      </c>
    </row>
    <row customHeight="1" ht="11.25">
      <c r="A96" s="373" t="s">
        <v>14</v>
      </c>
      <c r="B96" s="0" t="s">
        <v>3741</v>
      </c>
      <c r="C96" s="0" t="s">
        <v>3742</v>
      </c>
      <c r="D96" s="0" t="s">
        <v>3749</v>
      </c>
      <c r="E96" s="0" t="s">
        <v>3750</v>
      </c>
      <c r="F96" s="0" t="s">
        <v>3531</v>
      </c>
      <c r="G96" s="0" t="s">
        <v>3751</v>
      </c>
    </row>
    <row customHeight="1" ht="11.25">
      <c r="A97" s="373" t="s">
        <v>14</v>
      </c>
      <c r="B97" s="0" t="s">
        <v>3741</v>
      </c>
      <c r="C97" s="0" t="s">
        <v>3742</v>
      </c>
      <c r="D97" s="0" t="s">
        <v>3741</v>
      </c>
      <c r="E97" s="0" t="s">
        <v>3742</v>
      </c>
      <c r="F97" s="0" t="s">
        <v>3532</v>
      </c>
      <c r="G97" s="0" t="s">
        <v>3752</v>
      </c>
    </row>
    <row customHeight="1" ht="11.25">
      <c r="A98" s="373" t="s">
        <v>14</v>
      </c>
      <c r="B98" s="0" t="s">
        <v>3741</v>
      </c>
      <c r="C98" s="0" t="s">
        <v>3742</v>
      </c>
      <c r="D98" s="0" t="s">
        <v>3753</v>
      </c>
      <c r="E98" s="0" t="s">
        <v>3754</v>
      </c>
      <c r="F98" s="0" t="s">
        <v>3531</v>
      </c>
      <c r="G98" s="0" t="s">
        <v>3755</v>
      </c>
    </row>
    <row customHeight="1" ht="11.25">
      <c r="A99" s="373" t="s">
        <v>14</v>
      </c>
      <c r="B99" s="0" t="s">
        <v>3741</v>
      </c>
      <c r="C99" s="0" t="s">
        <v>3742</v>
      </c>
      <c r="D99" s="0" t="s">
        <v>3756</v>
      </c>
      <c r="E99" s="0" t="s">
        <v>3757</v>
      </c>
      <c r="F99" s="0" t="s">
        <v>3531</v>
      </c>
      <c r="G99" s="0" t="s">
        <v>3758</v>
      </c>
    </row>
    <row customHeight="1" ht="11.25">
      <c r="A100" s="373" t="s">
        <v>14</v>
      </c>
      <c r="B100" s="0" t="s">
        <v>3741</v>
      </c>
      <c r="C100" s="0" t="s">
        <v>3742</v>
      </c>
      <c r="D100" s="0" t="s">
        <v>3759</v>
      </c>
      <c r="E100" s="0" t="s">
        <v>3760</v>
      </c>
      <c r="F100" s="0" t="s">
        <v>3531</v>
      </c>
      <c r="G100" s="0" t="s">
        <v>3761</v>
      </c>
    </row>
    <row customHeight="1" ht="11.25">
      <c r="A101" s="373" t="s">
        <v>14</v>
      </c>
      <c r="B101" s="0" t="s">
        <v>3741</v>
      </c>
      <c r="C101" s="0" t="s">
        <v>3742</v>
      </c>
      <c r="D101" s="0" t="s">
        <v>3690</v>
      </c>
      <c r="E101" s="0" t="s">
        <v>3762</v>
      </c>
      <c r="F101" s="0" t="s">
        <v>3531</v>
      </c>
      <c r="G101" s="0" t="s">
        <v>3763</v>
      </c>
    </row>
    <row customHeight="1" ht="11.25">
      <c r="A102" s="373" t="s">
        <v>14</v>
      </c>
      <c r="B102" s="0" t="s">
        <v>3741</v>
      </c>
      <c r="C102" s="0" t="s">
        <v>3742</v>
      </c>
      <c r="D102" s="0" t="s">
        <v>3764</v>
      </c>
      <c r="E102" s="0" t="s">
        <v>3765</v>
      </c>
      <c r="F102" s="0" t="s">
        <v>3531</v>
      </c>
      <c r="G102" s="0" t="s">
        <v>3766</v>
      </c>
    </row>
    <row customHeight="1" ht="11.25">
      <c r="A103" s="373" t="s">
        <v>14</v>
      </c>
      <c r="B103" s="0" t="s">
        <v>3741</v>
      </c>
      <c r="C103" s="0" t="s">
        <v>3742</v>
      </c>
      <c r="D103" s="0" t="s">
        <v>3579</v>
      </c>
      <c r="E103" s="0" t="s">
        <v>3767</v>
      </c>
      <c r="F103" s="0" t="s">
        <v>3531</v>
      </c>
      <c r="G103" s="0" t="s">
        <v>3768</v>
      </c>
    </row>
    <row customHeight="1" ht="11.25">
      <c r="A104" s="373" t="s">
        <v>14</v>
      </c>
      <c r="B104" s="0" t="s">
        <v>3741</v>
      </c>
      <c r="C104" s="0" t="s">
        <v>3742</v>
      </c>
      <c r="D104" s="0" t="s">
        <v>3655</v>
      </c>
      <c r="E104" s="0" t="s">
        <v>3769</v>
      </c>
      <c r="F104" s="0" t="s">
        <v>3531</v>
      </c>
      <c r="G104" s="0" t="s">
        <v>3770</v>
      </c>
    </row>
    <row customHeight="1" ht="11.25">
      <c r="A105" s="373" t="s">
        <v>14</v>
      </c>
      <c r="B105" s="0" t="s">
        <v>3741</v>
      </c>
      <c r="C105" s="0" t="s">
        <v>3742</v>
      </c>
      <c r="D105" s="0" t="s">
        <v>3633</v>
      </c>
      <c r="E105" s="0" t="s">
        <v>3771</v>
      </c>
      <c r="F105" s="0" t="s">
        <v>3531</v>
      </c>
      <c r="G105" s="0" t="s">
        <v>3772</v>
      </c>
    </row>
    <row customHeight="1" ht="11.25">
      <c r="A106" s="373" t="s">
        <v>14</v>
      </c>
      <c r="B106" s="0" t="s">
        <v>3741</v>
      </c>
      <c r="C106" s="0" t="s">
        <v>3742</v>
      </c>
      <c r="D106" s="0" t="s">
        <v>3773</v>
      </c>
      <c r="E106" s="0" t="s">
        <v>3774</v>
      </c>
      <c r="F106" s="0" t="s">
        <v>3531</v>
      </c>
      <c r="G106" s="0" t="s">
        <v>3775</v>
      </c>
    </row>
    <row customHeight="1" ht="11.25">
      <c r="A107" s="373" t="s">
        <v>14</v>
      </c>
      <c r="B107" s="0" t="s">
        <v>3741</v>
      </c>
      <c r="C107" s="0" t="s">
        <v>3742</v>
      </c>
      <c r="D107" s="0" t="s">
        <v>3776</v>
      </c>
      <c r="E107" s="0" t="s">
        <v>3777</v>
      </c>
      <c r="F107" s="0" t="s">
        <v>3531</v>
      </c>
      <c r="G107" s="0" t="s">
        <v>3778</v>
      </c>
    </row>
    <row customHeight="1" ht="11.25">
      <c r="A108" s="373" t="s">
        <v>14</v>
      </c>
      <c r="B108" s="0" t="s">
        <v>3741</v>
      </c>
      <c r="C108" s="0" t="s">
        <v>3742</v>
      </c>
      <c r="D108" s="0" t="s">
        <v>3779</v>
      </c>
      <c r="E108" s="0" t="s">
        <v>3780</v>
      </c>
      <c r="F108" s="0" t="s">
        <v>3531</v>
      </c>
      <c r="G108" s="0" t="s">
        <v>3781</v>
      </c>
    </row>
    <row customHeight="1" ht="11.25">
      <c r="A109" s="373" t="s">
        <v>14</v>
      </c>
      <c r="B109" s="0" t="s">
        <v>3741</v>
      </c>
      <c r="C109" s="0" t="s">
        <v>3742</v>
      </c>
      <c r="D109" s="0" t="s">
        <v>3782</v>
      </c>
      <c r="E109" s="0" t="s">
        <v>3783</v>
      </c>
      <c r="F109" s="0" t="s">
        <v>3531</v>
      </c>
      <c r="G109" s="0" t="s">
        <v>3784</v>
      </c>
    </row>
    <row customHeight="1" ht="11.25">
      <c r="A110" s="373" t="s">
        <v>14</v>
      </c>
      <c r="B110" s="0" t="s">
        <v>3741</v>
      </c>
      <c r="C110" s="0" t="s">
        <v>3742</v>
      </c>
      <c r="D110" s="0" t="s">
        <v>3785</v>
      </c>
      <c r="E110" s="0" t="s">
        <v>3786</v>
      </c>
      <c r="F110" s="0" t="s">
        <v>3531</v>
      </c>
      <c r="G110" s="0" t="s">
        <v>3787</v>
      </c>
    </row>
    <row customHeight="1" ht="11.25">
      <c r="A111" s="373" t="s">
        <v>14</v>
      </c>
      <c r="B111" s="0" t="s">
        <v>3741</v>
      </c>
      <c r="C111" s="0" t="s">
        <v>3742</v>
      </c>
      <c r="D111" s="0" t="s">
        <v>3788</v>
      </c>
      <c r="E111" s="0" t="s">
        <v>3789</v>
      </c>
      <c r="F111" s="0" t="s">
        <v>3531</v>
      </c>
      <c r="G111" s="0" t="s">
        <v>3790</v>
      </c>
    </row>
    <row customHeight="1" ht="11.25">
      <c r="A112" s="373" t="s">
        <v>14</v>
      </c>
      <c r="B112" s="0" t="s">
        <v>3741</v>
      </c>
      <c r="C112" s="0" t="s">
        <v>3742</v>
      </c>
      <c r="D112" s="0" t="s">
        <v>3791</v>
      </c>
      <c r="E112" s="0" t="s">
        <v>3792</v>
      </c>
      <c r="F112" s="0" t="s">
        <v>3531</v>
      </c>
      <c r="G112" s="0" t="s">
        <v>3793</v>
      </c>
    </row>
    <row customHeight="1" ht="11.25">
      <c r="A113" s="373" t="s">
        <v>14</v>
      </c>
      <c r="B113" s="0" t="s">
        <v>3741</v>
      </c>
      <c r="C113" s="0" t="s">
        <v>3742</v>
      </c>
      <c r="D113" s="0" t="s">
        <v>3794</v>
      </c>
      <c r="E113" s="0" t="s">
        <v>3795</v>
      </c>
      <c r="F113" s="0" t="s">
        <v>3531</v>
      </c>
      <c r="G113" s="0" t="s">
        <v>3796</v>
      </c>
    </row>
    <row customHeight="1" ht="11.25">
      <c r="A114" s="373" t="s">
        <v>14</v>
      </c>
      <c r="B114" s="0" t="s">
        <v>3797</v>
      </c>
      <c r="C114" s="0" t="s">
        <v>3798</v>
      </c>
      <c r="D114" s="0" t="s">
        <v>3799</v>
      </c>
      <c r="E114" s="0" t="s">
        <v>3800</v>
      </c>
      <c r="F114" s="0" t="s">
        <v>3531</v>
      </c>
      <c r="G114" s="0" t="s">
        <v>3801</v>
      </c>
    </row>
    <row customHeight="1" ht="11.25">
      <c r="A115" s="373" t="s">
        <v>14</v>
      </c>
      <c r="B115" s="0" t="s">
        <v>3797</v>
      </c>
      <c r="C115" s="0" t="s">
        <v>3798</v>
      </c>
      <c r="D115" s="0" t="s">
        <v>3802</v>
      </c>
      <c r="E115" s="0" t="s">
        <v>3803</v>
      </c>
      <c r="F115" s="0" t="s">
        <v>3531</v>
      </c>
      <c r="G115" s="0" t="s">
        <v>3804</v>
      </c>
    </row>
    <row customHeight="1" ht="11.25">
      <c r="A116" s="373" t="s">
        <v>14</v>
      </c>
      <c r="B116" s="0" t="s">
        <v>3797</v>
      </c>
      <c r="C116" s="0" t="s">
        <v>3798</v>
      </c>
      <c r="D116" s="0" t="s">
        <v>3797</v>
      </c>
      <c r="E116" s="0" t="s">
        <v>3798</v>
      </c>
      <c r="F116" s="0" t="s">
        <v>3532</v>
      </c>
      <c r="G116" s="0" t="s">
        <v>3805</v>
      </c>
    </row>
    <row customHeight="1" ht="11.25">
      <c r="A117" s="373" t="s">
        <v>14</v>
      </c>
      <c r="B117" s="0" t="s">
        <v>3797</v>
      </c>
      <c r="C117" s="0" t="s">
        <v>3798</v>
      </c>
      <c r="D117" s="0" t="s">
        <v>3806</v>
      </c>
      <c r="E117" s="0" t="s">
        <v>3807</v>
      </c>
      <c r="F117" s="0" t="s">
        <v>3531</v>
      </c>
      <c r="G117" s="0" t="s">
        <v>3808</v>
      </c>
    </row>
    <row customHeight="1" ht="11.25">
      <c r="A118" s="373" t="s">
        <v>14</v>
      </c>
      <c r="B118" s="0" t="s">
        <v>3797</v>
      </c>
      <c r="C118" s="0" t="s">
        <v>3798</v>
      </c>
      <c r="D118" s="0" t="s">
        <v>3809</v>
      </c>
      <c r="E118" s="0" t="s">
        <v>3810</v>
      </c>
      <c r="F118" s="0" t="s">
        <v>3531</v>
      </c>
      <c r="G118" s="0" t="s">
        <v>3811</v>
      </c>
    </row>
    <row customHeight="1" ht="11.25">
      <c r="A119" s="373" t="s">
        <v>14</v>
      </c>
      <c r="B119" s="0" t="s">
        <v>3797</v>
      </c>
      <c r="C119" s="0" t="s">
        <v>3798</v>
      </c>
      <c r="D119" s="0" t="s">
        <v>3812</v>
      </c>
      <c r="E119" s="0" t="s">
        <v>3813</v>
      </c>
      <c r="F119" s="0" t="s">
        <v>3531</v>
      </c>
      <c r="G119" s="0" t="s">
        <v>3814</v>
      </c>
    </row>
    <row customHeight="1" ht="11.25">
      <c r="A120" s="373" t="s">
        <v>14</v>
      </c>
      <c r="B120" s="0" t="s">
        <v>3797</v>
      </c>
      <c r="C120" s="0" t="s">
        <v>3798</v>
      </c>
      <c r="D120" s="0" t="s">
        <v>3815</v>
      </c>
      <c r="E120" s="0" t="s">
        <v>3816</v>
      </c>
      <c r="F120" s="0" t="s">
        <v>3531</v>
      </c>
      <c r="G120" s="0" t="s">
        <v>3817</v>
      </c>
    </row>
    <row customHeight="1" ht="11.25">
      <c r="A121" s="373" t="s">
        <v>14</v>
      </c>
      <c r="B121" s="0" t="s">
        <v>3797</v>
      </c>
      <c r="C121" s="0" t="s">
        <v>3798</v>
      </c>
      <c r="D121" s="0" t="s">
        <v>3818</v>
      </c>
      <c r="E121" s="0" t="s">
        <v>3819</v>
      </c>
      <c r="F121" s="0" t="s">
        <v>3531</v>
      </c>
      <c r="G121" s="0" t="s">
        <v>3820</v>
      </c>
    </row>
    <row customHeight="1" ht="11.25">
      <c r="A122" s="373" t="s">
        <v>14</v>
      </c>
      <c r="B122" s="0" t="s">
        <v>3797</v>
      </c>
      <c r="C122" s="0" t="s">
        <v>3798</v>
      </c>
      <c r="D122" s="0" t="s">
        <v>3821</v>
      </c>
      <c r="E122" s="0" t="s">
        <v>3822</v>
      </c>
      <c r="F122" s="0" t="s">
        <v>3531</v>
      </c>
      <c r="G122" s="0" t="s">
        <v>3823</v>
      </c>
    </row>
    <row customHeight="1" ht="11.25">
      <c r="A123" s="373" t="s">
        <v>14</v>
      </c>
      <c r="B123" s="0" t="s">
        <v>3797</v>
      </c>
      <c r="C123" s="0" t="s">
        <v>3798</v>
      </c>
      <c r="D123" s="0" t="s">
        <v>3824</v>
      </c>
      <c r="E123" s="0" t="s">
        <v>3825</v>
      </c>
      <c r="F123" s="0" t="s">
        <v>3531</v>
      </c>
      <c r="G123" s="0" t="s">
        <v>3826</v>
      </c>
    </row>
    <row customHeight="1" ht="11.25">
      <c r="A124" s="373" t="s">
        <v>14</v>
      </c>
      <c r="B124" s="0" t="s">
        <v>3797</v>
      </c>
      <c r="C124" s="0" t="s">
        <v>3798</v>
      </c>
      <c r="D124" s="0" t="s">
        <v>3827</v>
      </c>
      <c r="E124" s="0" t="s">
        <v>3828</v>
      </c>
      <c r="F124" s="0" t="s">
        <v>3531</v>
      </c>
      <c r="G124" s="0" t="s">
        <v>3829</v>
      </c>
    </row>
    <row customHeight="1" ht="11.25">
      <c r="A125" s="373" t="s">
        <v>14</v>
      </c>
      <c r="B125" s="0" t="s">
        <v>3797</v>
      </c>
      <c r="C125" s="0" t="s">
        <v>3798</v>
      </c>
      <c r="D125" s="0" t="s">
        <v>3830</v>
      </c>
      <c r="E125" s="0" t="s">
        <v>3831</v>
      </c>
      <c r="F125" s="0" t="s">
        <v>3531</v>
      </c>
      <c r="G125" s="0" t="s">
        <v>3832</v>
      </c>
    </row>
    <row customHeight="1" ht="11.25">
      <c r="A126" s="373" t="s">
        <v>14</v>
      </c>
      <c r="B126" s="0" t="s">
        <v>3797</v>
      </c>
      <c r="C126" s="0" t="s">
        <v>3798</v>
      </c>
      <c r="D126" s="0" t="s">
        <v>3833</v>
      </c>
      <c r="E126" s="0" t="s">
        <v>3834</v>
      </c>
      <c r="F126" s="0" t="s">
        <v>3531</v>
      </c>
      <c r="G126" s="0" t="s">
        <v>3835</v>
      </c>
    </row>
    <row customHeight="1" ht="11.25">
      <c r="A127" s="373" t="s">
        <v>14</v>
      </c>
      <c r="B127" s="0" t="s">
        <v>3797</v>
      </c>
      <c r="C127" s="0" t="s">
        <v>3798</v>
      </c>
      <c r="D127" s="0" t="s">
        <v>3836</v>
      </c>
      <c r="E127" s="0" t="s">
        <v>3837</v>
      </c>
      <c r="F127" s="0" t="s">
        <v>3531</v>
      </c>
      <c r="G127" s="0" t="s">
        <v>3838</v>
      </c>
    </row>
    <row customHeight="1" ht="11.25">
      <c r="A128" s="373" t="s">
        <v>14</v>
      </c>
      <c r="B128" s="0" t="s">
        <v>3797</v>
      </c>
      <c r="C128" s="0" t="s">
        <v>3798</v>
      </c>
      <c r="D128" s="0" t="s">
        <v>3839</v>
      </c>
      <c r="E128" s="0" t="s">
        <v>3840</v>
      </c>
      <c r="F128" s="0" t="s">
        <v>3531</v>
      </c>
      <c r="G128" s="0" t="s">
        <v>3841</v>
      </c>
    </row>
    <row customHeight="1" ht="11.25">
      <c r="A129" s="373" t="s">
        <v>14</v>
      </c>
      <c r="B129" s="0" t="s">
        <v>3797</v>
      </c>
      <c r="C129" s="0" t="s">
        <v>3798</v>
      </c>
      <c r="D129" s="0" t="s">
        <v>3842</v>
      </c>
      <c r="E129" s="0" t="s">
        <v>3843</v>
      </c>
      <c r="F129" s="0" t="s">
        <v>3531</v>
      </c>
      <c r="G129" s="0" t="s">
        <v>3844</v>
      </c>
    </row>
    <row customHeight="1" ht="11.25">
      <c r="A130" s="373" t="s">
        <v>14</v>
      </c>
      <c r="B130" s="0" t="s">
        <v>3845</v>
      </c>
      <c r="C130" s="0" t="s">
        <v>3846</v>
      </c>
      <c r="D130" s="0" t="s">
        <v>3847</v>
      </c>
      <c r="E130" s="0" t="s">
        <v>3848</v>
      </c>
      <c r="F130" s="0" t="s">
        <v>3531</v>
      </c>
      <c r="G130" s="0" t="s">
        <v>3849</v>
      </c>
    </row>
    <row customHeight="1" ht="11.25">
      <c r="A131" s="373" t="s">
        <v>14</v>
      </c>
      <c r="B131" s="0" t="s">
        <v>3845</v>
      </c>
      <c r="C131" s="0" t="s">
        <v>3846</v>
      </c>
      <c r="D131" s="0" t="s">
        <v>3850</v>
      </c>
      <c r="E131" s="0" t="s">
        <v>3851</v>
      </c>
      <c r="F131" s="0" t="s">
        <v>3531</v>
      </c>
      <c r="G131" s="0" t="s">
        <v>3852</v>
      </c>
    </row>
    <row customHeight="1" ht="11.25">
      <c r="A132" s="373" t="s">
        <v>14</v>
      </c>
      <c r="B132" s="0" t="s">
        <v>3845</v>
      </c>
      <c r="C132" s="0" t="s">
        <v>3846</v>
      </c>
      <c r="D132" s="0" t="s">
        <v>3853</v>
      </c>
      <c r="E132" s="0" t="s">
        <v>3854</v>
      </c>
      <c r="F132" s="0" t="s">
        <v>3531</v>
      </c>
      <c r="G132" s="0" t="s">
        <v>3855</v>
      </c>
    </row>
    <row customHeight="1" ht="11.25">
      <c r="A133" s="373" t="s">
        <v>14</v>
      </c>
      <c r="B133" s="0" t="s">
        <v>3845</v>
      </c>
      <c r="C133" s="0" t="s">
        <v>3846</v>
      </c>
      <c r="D133" s="0" t="s">
        <v>3845</v>
      </c>
      <c r="E133" s="0" t="s">
        <v>3846</v>
      </c>
      <c r="F133" s="0" t="s">
        <v>3532</v>
      </c>
      <c r="G133" s="0" t="s">
        <v>3856</v>
      </c>
    </row>
    <row customHeight="1" ht="11.25">
      <c r="A134" s="373" t="s">
        <v>14</v>
      </c>
      <c r="B134" s="0" t="s">
        <v>3845</v>
      </c>
      <c r="C134" s="0" t="s">
        <v>3846</v>
      </c>
      <c r="D134" s="0" t="s">
        <v>3857</v>
      </c>
      <c r="E134" s="0" t="s">
        <v>3858</v>
      </c>
      <c r="F134" s="0" t="s">
        <v>3859</v>
      </c>
      <c r="G134" s="0" t="s">
        <v>3860</v>
      </c>
    </row>
    <row customHeight="1" ht="11.25">
      <c r="A135" s="373" t="s">
        <v>14</v>
      </c>
      <c r="B135" s="0" t="s">
        <v>3845</v>
      </c>
      <c r="C135" s="0" t="s">
        <v>3846</v>
      </c>
      <c r="D135" s="0" t="s">
        <v>3625</v>
      </c>
      <c r="E135" s="0" t="s">
        <v>3861</v>
      </c>
      <c r="F135" s="0" t="s">
        <v>3531</v>
      </c>
      <c r="G135" s="0" t="s">
        <v>3862</v>
      </c>
    </row>
    <row customHeight="1" ht="11.25">
      <c r="A136" s="373" t="s">
        <v>14</v>
      </c>
      <c r="B136" s="0" t="s">
        <v>3845</v>
      </c>
      <c r="C136" s="0" t="s">
        <v>3846</v>
      </c>
      <c r="D136" s="0" t="s">
        <v>3863</v>
      </c>
      <c r="E136" s="0" t="s">
        <v>3864</v>
      </c>
      <c r="F136" s="0" t="s">
        <v>3531</v>
      </c>
      <c r="G136" s="0" t="s">
        <v>3865</v>
      </c>
    </row>
    <row customHeight="1" ht="11.25">
      <c r="A137" s="373" t="s">
        <v>14</v>
      </c>
      <c r="B137" s="0" t="s">
        <v>3845</v>
      </c>
      <c r="C137" s="0" t="s">
        <v>3846</v>
      </c>
      <c r="D137" s="0" t="s">
        <v>3866</v>
      </c>
      <c r="E137" s="0" t="s">
        <v>3867</v>
      </c>
      <c r="F137" s="0" t="s">
        <v>3531</v>
      </c>
      <c r="G137" s="0" t="s">
        <v>3868</v>
      </c>
    </row>
    <row customHeight="1" ht="11.25">
      <c r="A138" s="373" t="s">
        <v>14</v>
      </c>
      <c r="B138" s="0" t="s">
        <v>3845</v>
      </c>
      <c r="C138" s="0" t="s">
        <v>3846</v>
      </c>
      <c r="D138" s="0" t="s">
        <v>3869</v>
      </c>
      <c r="E138" s="0" t="s">
        <v>3870</v>
      </c>
      <c r="F138" s="0" t="s">
        <v>3531</v>
      </c>
      <c r="G138" s="0" t="s">
        <v>3871</v>
      </c>
    </row>
    <row customHeight="1" ht="11.25">
      <c r="A139" s="373" t="s">
        <v>14</v>
      </c>
      <c r="B139" s="0" t="s">
        <v>3872</v>
      </c>
      <c r="C139" s="0" t="s">
        <v>3873</v>
      </c>
      <c r="D139" s="0" t="s">
        <v>3874</v>
      </c>
      <c r="E139" s="0" t="s">
        <v>3875</v>
      </c>
      <c r="F139" s="0" t="s">
        <v>3531</v>
      </c>
      <c r="G139" s="0" t="s">
        <v>3876</v>
      </c>
    </row>
    <row customHeight="1" ht="11.25">
      <c r="A140" s="373" t="s">
        <v>14</v>
      </c>
      <c r="B140" s="0" t="s">
        <v>3872</v>
      </c>
      <c r="C140" s="0" t="s">
        <v>3873</v>
      </c>
      <c r="D140" s="0" t="s">
        <v>3877</v>
      </c>
      <c r="E140" s="0" t="s">
        <v>3878</v>
      </c>
      <c r="F140" s="0" t="s">
        <v>3531</v>
      </c>
      <c r="G140" s="0" t="s">
        <v>3879</v>
      </c>
    </row>
    <row customHeight="1" ht="11.25">
      <c r="A141" s="373" t="s">
        <v>14</v>
      </c>
      <c r="B141" s="0" t="s">
        <v>3872</v>
      </c>
      <c r="C141" s="0" t="s">
        <v>3873</v>
      </c>
      <c r="D141" s="0" t="s">
        <v>3880</v>
      </c>
      <c r="E141" s="0" t="s">
        <v>3881</v>
      </c>
      <c r="F141" s="0" t="s">
        <v>3531</v>
      </c>
      <c r="G141" s="0" t="s">
        <v>3882</v>
      </c>
    </row>
    <row customHeight="1" ht="11.25">
      <c r="A142" s="373" t="s">
        <v>14</v>
      </c>
      <c r="B142" s="0" t="s">
        <v>3872</v>
      </c>
      <c r="C142" s="0" t="s">
        <v>3873</v>
      </c>
      <c r="D142" s="0" t="s">
        <v>3883</v>
      </c>
      <c r="E142" s="0" t="s">
        <v>3884</v>
      </c>
      <c r="F142" s="0" t="s">
        <v>3531</v>
      </c>
      <c r="G142" s="0" t="s">
        <v>3885</v>
      </c>
    </row>
    <row customHeight="1" ht="11.25">
      <c r="A143" s="373" t="s">
        <v>14</v>
      </c>
      <c r="B143" s="0" t="s">
        <v>3872</v>
      </c>
      <c r="C143" s="0" t="s">
        <v>3873</v>
      </c>
      <c r="D143" s="0" t="s">
        <v>3886</v>
      </c>
      <c r="E143" s="0" t="s">
        <v>3887</v>
      </c>
      <c r="F143" s="0" t="s">
        <v>3531</v>
      </c>
      <c r="G143" s="0" t="s">
        <v>3888</v>
      </c>
    </row>
    <row customHeight="1" ht="11.25">
      <c r="A144" s="373" t="s">
        <v>14</v>
      </c>
      <c r="B144" s="0" t="s">
        <v>3872</v>
      </c>
      <c r="C144" s="0" t="s">
        <v>3873</v>
      </c>
      <c r="D144" s="0" t="s">
        <v>3872</v>
      </c>
      <c r="E144" s="0" t="s">
        <v>3873</v>
      </c>
      <c r="F144" s="0" t="s">
        <v>3532</v>
      </c>
      <c r="G144" s="0" t="s">
        <v>3889</v>
      </c>
    </row>
    <row customHeight="1" ht="11.25">
      <c r="A145" s="373" t="s">
        <v>14</v>
      </c>
      <c r="B145" s="0" t="s">
        <v>3872</v>
      </c>
      <c r="C145" s="0" t="s">
        <v>3873</v>
      </c>
      <c r="D145" s="0" t="s">
        <v>3890</v>
      </c>
      <c r="E145" s="0" t="s">
        <v>3891</v>
      </c>
      <c r="F145" s="0" t="s">
        <v>3531</v>
      </c>
      <c r="G145" s="0" t="s">
        <v>3892</v>
      </c>
    </row>
    <row customHeight="1" ht="11.25">
      <c r="A146" s="373" t="s">
        <v>14</v>
      </c>
      <c r="B146" s="0" t="s">
        <v>3872</v>
      </c>
      <c r="C146" s="0" t="s">
        <v>3873</v>
      </c>
      <c r="D146" s="0" t="s">
        <v>3893</v>
      </c>
      <c r="E146" s="0" t="s">
        <v>3894</v>
      </c>
      <c r="F146" s="0" t="s">
        <v>3531</v>
      </c>
      <c r="G146" s="0" t="s">
        <v>3895</v>
      </c>
    </row>
    <row customHeight="1" ht="11.25">
      <c r="A147" s="373" t="s">
        <v>14</v>
      </c>
      <c r="B147" s="0" t="s">
        <v>3872</v>
      </c>
      <c r="C147" s="0" t="s">
        <v>3873</v>
      </c>
      <c r="D147" s="0" t="s">
        <v>3896</v>
      </c>
      <c r="E147" s="0" t="s">
        <v>3897</v>
      </c>
      <c r="F147" s="0" t="s">
        <v>3531</v>
      </c>
      <c r="G147" s="0" t="s">
        <v>3898</v>
      </c>
    </row>
    <row customHeight="1" ht="11.25">
      <c r="A148" s="373" t="s">
        <v>14</v>
      </c>
      <c r="B148" s="0" t="s">
        <v>3872</v>
      </c>
      <c r="C148" s="0" t="s">
        <v>3873</v>
      </c>
      <c r="D148" s="0" t="s">
        <v>3899</v>
      </c>
      <c r="E148" s="0" t="s">
        <v>3900</v>
      </c>
      <c r="F148" s="0" t="s">
        <v>3531</v>
      </c>
      <c r="G148" s="0" t="s">
        <v>3901</v>
      </c>
    </row>
    <row customHeight="1" ht="11.25">
      <c r="A149" s="373" t="s">
        <v>14</v>
      </c>
      <c r="B149" s="0" t="s">
        <v>3872</v>
      </c>
      <c r="C149" s="0" t="s">
        <v>3873</v>
      </c>
      <c r="D149" s="0" t="s">
        <v>3902</v>
      </c>
      <c r="E149" s="0" t="s">
        <v>3903</v>
      </c>
      <c r="F149" s="0" t="s">
        <v>3531</v>
      </c>
      <c r="G149" s="0" t="s">
        <v>3904</v>
      </c>
    </row>
    <row customHeight="1" ht="11.25">
      <c r="A150" s="373" t="s">
        <v>14</v>
      </c>
      <c r="B150" s="0" t="s">
        <v>3872</v>
      </c>
      <c r="C150" s="0" t="s">
        <v>3873</v>
      </c>
      <c r="D150" s="0" t="s">
        <v>3905</v>
      </c>
      <c r="E150" s="0" t="s">
        <v>3906</v>
      </c>
      <c r="F150" s="0" t="s">
        <v>3531</v>
      </c>
      <c r="G150" s="0" t="s">
        <v>3907</v>
      </c>
    </row>
    <row customHeight="1" ht="11.25">
      <c r="A151" s="373" t="s">
        <v>14</v>
      </c>
      <c r="B151" s="0" t="s">
        <v>3872</v>
      </c>
      <c r="C151" s="0" t="s">
        <v>3873</v>
      </c>
      <c r="D151" s="0" t="s">
        <v>3908</v>
      </c>
      <c r="E151" s="0" t="s">
        <v>3909</v>
      </c>
      <c r="F151" s="0" t="s">
        <v>3531</v>
      </c>
      <c r="G151" s="0" t="s">
        <v>3910</v>
      </c>
    </row>
    <row customHeight="1" ht="11.25">
      <c r="A152" s="373" t="s">
        <v>14</v>
      </c>
      <c r="B152" s="0" t="s">
        <v>3911</v>
      </c>
      <c r="C152" s="0" t="s">
        <v>3912</v>
      </c>
      <c r="D152" s="0" t="s">
        <v>3913</v>
      </c>
      <c r="E152" s="0" t="s">
        <v>3914</v>
      </c>
      <c r="F152" s="0" t="s">
        <v>3531</v>
      </c>
      <c r="G152" s="0" t="s">
        <v>3915</v>
      </c>
    </row>
    <row customHeight="1" ht="11.25">
      <c r="A153" s="373" t="s">
        <v>14</v>
      </c>
      <c r="B153" s="0" t="s">
        <v>3911</v>
      </c>
      <c r="C153" s="0" t="s">
        <v>3912</v>
      </c>
      <c r="D153" s="0" t="s">
        <v>3916</v>
      </c>
      <c r="E153" s="0" t="s">
        <v>3917</v>
      </c>
      <c r="F153" s="0" t="s">
        <v>3531</v>
      </c>
      <c r="G153" s="0" t="s">
        <v>3918</v>
      </c>
    </row>
    <row customHeight="1" ht="11.25">
      <c r="A154" s="373" t="s">
        <v>14</v>
      </c>
      <c r="B154" s="0" t="s">
        <v>3911</v>
      </c>
      <c r="C154" s="0" t="s">
        <v>3912</v>
      </c>
      <c r="D154" s="0" t="s">
        <v>3919</v>
      </c>
      <c r="E154" s="0" t="s">
        <v>3920</v>
      </c>
      <c r="F154" s="0" t="s">
        <v>3531</v>
      </c>
      <c r="G154" s="0" t="s">
        <v>3921</v>
      </c>
    </row>
    <row customHeight="1" ht="11.25">
      <c r="A155" s="373" t="s">
        <v>14</v>
      </c>
      <c r="B155" s="0" t="s">
        <v>3911</v>
      </c>
      <c r="C155" s="0" t="s">
        <v>3912</v>
      </c>
      <c r="D155" s="0" t="s">
        <v>3911</v>
      </c>
      <c r="E155" s="0" t="s">
        <v>3912</v>
      </c>
      <c r="F155" s="0" t="s">
        <v>3532</v>
      </c>
      <c r="G155" s="0" t="s">
        <v>3922</v>
      </c>
    </row>
    <row customHeight="1" ht="11.25">
      <c r="A156" s="373" t="s">
        <v>14</v>
      </c>
      <c r="B156" s="0" t="s">
        <v>3911</v>
      </c>
      <c r="C156" s="0" t="s">
        <v>3912</v>
      </c>
      <c r="D156" s="0" t="s">
        <v>3923</v>
      </c>
      <c r="E156" s="0" t="s">
        <v>3924</v>
      </c>
      <c r="F156" s="0" t="s">
        <v>3531</v>
      </c>
      <c r="G156" s="0" t="s">
        <v>3925</v>
      </c>
    </row>
    <row customHeight="1" ht="11.25">
      <c r="A157" s="373" t="s">
        <v>14</v>
      </c>
      <c r="B157" s="0" t="s">
        <v>3911</v>
      </c>
      <c r="C157" s="0" t="s">
        <v>3912</v>
      </c>
      <c r="D157" s="0" t="s">
        <v>3926</v>
      </c>
      <c r="E157" s="0" t="s">
        <v>3927</v>
      </c>
      <c r="F157" s="0" t="s">
        <v>3531</v>
      </c>
      <c r="G157" s="0" t="s">
        <v>3928</v>
      </c>
    </row>
    <row customHeight="1" ht="11.25">
      <c r="A158" s="373" t="s">
        <v>14</v>
      </c>
      <c r="B158" s="0" t="s">
        <v>3911</v>
      </c>
      <c r="C158" s="0" t="s">
        <v>3912</v>
      </c>
      <c r="D158" s="0" t="s">
        <v>3929</v>
      </c>
      <c r="E158" s="0" t="s">
        <v>3930</v>
      </c>
      <c r="F158" s="0" t="s">
        <v>3531</v>
      </c>
      <c r="G158" s="0" t="s">
        <v>3931</v>
      </c>
    </row>
    <row customHeight="1" ht="11.25">
      <c r="A159" s="373" t="s">
        <v>14</v>
      </c>
      <c r="B159" s="0" t="s">
        <v>3911</v>
      </c>
      <c r="C159" s="0" t="s">
        <v>3912</v>
      </c>
      <c r="D159" s="0" t="s">
        <v>3932</v>
      </c>
      <c r="E159" s="0" t="s">
        <v>3933</v>
      </c>
      <c r="F159" s="0" t="s">
        <v>3531</v>
      </c>
      <c r="G159" s="0" t="s">
        <v>3934</v>
      </c>
    </row>
    <row customHeight="1" ht="11.25">
      <c r="A160" s="373" t="s">
        <v>14</v>
      </c>
      <c r="B160" s="0" t="s">
        <v>3911</v>
      </c>
      <c r="C160" s="0" t="s">
        <v>3912</v>
      </c>
      <c r="D160" s="0" t="s">
        <v>3935</v>
      </c>
      <c r="E160" s="0" t="s">
        <v>3936</v>
      </c>
      <c r="F160" s="0" t="s">
        <v>3531</v>
      </c>
      <c r="G160" s="0" t="s">
        <v>3937</v>
      </c>
    </row>
    <row customHeight="1" ht="11.25">
      <c r="A161" s="373" t="s">
        <v>14</v>
      </c>
      <c r="B161" s="0" t="s">
        <v>3911</v>
      </c>
      <c r="C161" s="0" t="s">
        <v>3912</v>
      </c>
      <c r="D161" s="0" t="s">
        <v>3938</v>
      </c>
      <c r="E161" s="0" t="s">
        <v>3939</v>
      </c>
      <c r="F161" s="0" t="s">
        <v>3531</v>
      </c>
      <c r="G161" s="0" t="s">
        <v>3940</v>
      </c>
    </row>
    <row customHeight="1" ht="11.25">
      <c r="A162" s="373" t="s">
        <v>14</v>
      </c>
      <c r="B162" s="0" t="s">
        <v>3911</v>
      </c>
      <c r="C162" s="0" t="s">
        <v>3912</v>
      </c>
      <c r="D162" s="0" t="s">
        <v>3941</v>
      </c>
      <c r="E162" s="0" t="s">
        <v>3942</v>
      </c>
      <c r="F162" s="0" t="s">
        <v>3531</v>
      </c>
      <c r="G162" s="0" t="s">
        <v>3943</v>
      </c>
    </row>
    <row customHeight="1" ht="11.25">
      <c r="A163" s="373" t="s">
        <v>14</v>
      </c>
      <c r="B163" s="0" t="s">
        <v>3911</v>
      </c>
      <c r="C163" s="0" t="s">
        <v>3912</v>
      </c>
      <c r="D163" s="0" t="s">
        <v>3944</v>
      </c>
      <c r="E163" s="0" t="s">
        <v>3945</v>
      </c>
      <c r="F163" s="0" t="s">
        <v>3531</v>
      </c>
      <c r="G163" s="0" t="s">
        <v>3946</v>
      </c>
    </row>
    <row customHeight="1" ht="11.25">
      <c r="A164" s="373" t="s">
        <v>14</v>
      </c>
      <c r="B164" s="0" t="s">
        <v>3911</v>
      </c>
      <c r="C164" s="0" t="s">
        <v>3912</v>
      </c>
      <c r="D164" s="0" t="s">
        <v>3947</v>
      </c>
      <c r="E164" s="0" t="s">
        <v>3948</v>
      </c>
      <c r="F164" s="0" t="s">
        <v>3531</v>
      </c>
      <c r="G164" s="0" t="s">
        <v>3949</v>
      </c>
    </row>
    <row customHeight="1" ht="11.25">
      <c r="A165" s="373" t="s">
        <v>14</v>
      </c>
      <c r="B165" s="0" t="s">
        <v>3911</v>
      </c>
      <c r="C165" s="0" t="s">
        <v>3912</v>
      </c>
      <c r="D165" s="0" t="s">
        <v>3950</v>
      </c>
      <c r="E165" s="0" t="s">
        <v>3951</v>
      </c>
      <c r="F165" s="0" t="s">
        <v>3531</v>
      </c>
      <c r="G165" s="0" t="s">
        <v>3952</v>
      </c>
    </row>
    <row customHeight="1" ht="11.25">
      <c r="A166" s="373" t="s">
        <v>14</v>
      </c>
      <c r="B166" s="0" t="s">
        <v>3911</v>
      </c>
      <c r="C166" s="0" t="s">
        <v>3912</v>
      </c>
      <c r="D166" s="0" t="s">
        <v>3953</v>
      </c>
      <c r="E166" s="0" t="s">
        <v>3954</v>
      </c>
      <c r="F166" s="0" t="s">
        <v>3531</v>
      </c>
      <c r="G166" s="0" t="s">
        <v>3955</v>
      </c>
    </row>
    <row customHeight="1" ht="11.25">
      <c r="A167" s="373" t="s">
        <v>14</v>
      </c>
      <c r="B167" s="0" t="s">
        <v>3911</v>
      </c>
      <c r="C167" s="0" t="s">
        <v>3912</v>
      </c>
      <c r="D167" s="0" t="s">
        <v>3956</v>
      </c>
      <c r="E167" s="0" t="s">
        <v>3957</v>
      </c>
      <c r="F167" s="0" t="s">
        <v>3531</v>
      </c>
      <c r="G167" s="0" t="s">
        <v>3958</v>
      </c>
    </row>
    <row customHeight="1" ht="11.25">
      <c r="A168" s="373" t="s">
        <v>14</v>
      </c>
      <c r="B168" s="0" t="s">
        <v>3959</v>
      </c>
      <c r="C168" s="0" t="s">
        <v>3960</v>
      </c>
      <c r="D168" s="0" t="s">
        <v>3961</v>
      </c>
      <c r="E168" s="0" t="s">
        <v>3962</v>
      </c>
      <c r="F168" s="0" t="s">
        <v>3531</v>
      </c>
      <c r="G168" s="0" t="s">
        <v>3963</v>
      </c>
    </row>
    <row customHeight="1" ht="11.25">
      <c r="A169" s="373" t="s">
        <v>14</v>
      </c>
      <c r="B169" s="0" t="s">
        <v>3959</v>
      </c>
      <c r="C169" s="0" t="s">
        <v>3960</v>
      </c>
      <c r="D169" s="0" t="s">
        <v>3964</v>
      </c>
      <c r="E169" s="0" t="s">
        <v>3965</v>
      </c>
      <c r="F169" s="0" t="s">
        <v>3531</v>
      </c>
      <c r="G169" s="0" t="s">
        <v>3966</v>
      </c>
    </row>
    <row customHeight="1" ht="11.25">
      <c r="A170" s="373" t="s">
        <v>14</v>
      </c>
      <c r="B170" s="0" t="s">
        <v>3959</v>
      </c>
      <c r="C170" s="0" t="s">
        <v>3960</v>
      </c>
      <c r="D170" s="0" t="s">
        <v>3967</v>
      </c>
      <c r="E170" s="0" t="s">
        <v>3968</v>
      </c>
      <c r="F170" s="0" t="s">
        <v>3531</v>
      </c>
      <c r="G170" s="0" t="s">
        <v>3969</v>
      </c>
    </row>
    <row customHeight="1" ht="11.25">
      <c r="A171" s="373" t="s">
        <v>14</v>
      </c>
      <c r="B171" s="0" t="s">
        <v>3959</v>
      </c>
      <c r="C171" s="0" t="s">
        <v>3960</v>
      </c>
      <c r="D171" s="0" t="s">
        <v>3970</v>
      </c>
      <c r="E171" s="0" t="s">
        <v>3971</v>
      </c>
      <c r="F171" s="0" t="s">
        <v>3531</v>
      </c>
      <c r="G171" s="0" t="s">
        <v>3972</v>
      </c>
    </row>
    <row customHeight="1" ht="11.25">
      <c r="A172" s="373" t="s">
        <v>14</v>
      </c>
      <c r="B172" s="0" t="s">
        <v>3959</v>
      </c>
      <c r="C172" s="0" t="s">
        <v>3960</v>
      </c>
      <c r="D172" s="0" t="s">
        <v>3959</v>
      </c>
      <c r="E172" s="0" t="s">
        <v>3960</v>
      </c>
      <c r="F172" s="0" t="s">
        <v>3532</v>
      </c>
      <c r="G172" s="0" t="s">
        <v>3973</v>
      </c>
    </row>
    <row customHeight="1" ht="11.25">
      <c r="A173" s="373" t="s">
        <v>14</v>
      </c>
      <c r="B173" s="0" t="s">
        <v>3959</v>
      </c>
      <c r="C173" s="0" t="s">
        <v>3960</v>
      </c>
      <c r="D173" s="0" t="s">
        <v>3974</v>
      </c>
      <c r="E173" s="0" t="s">
        <v>3975</v>
      </c>
      <c r="F173" s="0" t="s">
        <v>3531</v>
      </c>
      <c r="G173" s="0" t="s">
        <v>3976</v>
      </c>
    </row>
    <row customHeight="1" ht="11.25">
      <c r="A174" s="373" t="s">
        <v>14</v>
      </c>
      <c r="B174" s="0" t="s">
        <v>3959</v>
      </c>
      <c r="C174" s="0" t="s">
        <v>3960</v>
      </c>
      <c r="D174" s="0" t="s">
        <v>3977</v>
      </c>
      <c r="E174" s="0" t="s">
        <v>3978</v>
      </c>
      <c r="F174" s="0" t="s">
        <v>3531</v>
      </c>
      <c r="G174" s="0" t="s">
        <v>3979</v>
      </c>
    </row>
    <row customHeight="1" ht="11.25">
      <c r="A175" s="373" t="s">
        <v>14</v>
      </c>
      <c r="B175" s="0" t="s">
        <v>3959</v>
      </c>
      <c r="C175" s="0" t="s">
        <v>3960</v>
      </c>
      <c r="D175" s="0" t="s">
        <v>3980</v>
      </c>
      <c r="E175" s="0" t="s">
        <v>3981</v>
      </c>
      <c r="F175" s="0" t="s">
        <v>3531</v>
      </c>
      <c r="G175" s="0" t="s">
        <v>3982</v>
      </c>
    </row>
    <row customHeight="1" ht="11.25">
      <c r="A176" s="373" t="s">
        <v>14</v>
      </c>
      <c r="B176" s="0" t="s">
        <v>3959</v>
      </c>
      <c r="C176" s="0" t="s">
        <v>3960</v>
      </c>
      <c r="D176" s="0" t="s">
        <v>3983</v>
      </c>
      <c r="E176" s="0" t="s">
        <v>3984</v>
      </c>
      <c r="F176" s="0" t="s">
        <v>3531</v>
      </c>
      <c r="G176" s="0" t="s">
        <v>3985</v>
      </c>
    </row>
    <row customHeight="1" ht="11.25">
      <c r="A177" s="373" t="s">
        <v>14</v>
      </c>
      <c r="B177" s="0" t="s">
        <v>3959</v>
      </c>
      <c r="C177" s="0" t="s">
        <v>3960</v>
      </c>
      <c r="D177" s="0" t="s">
        <v>3986</v>
      </c>
      <c r="E177" s="0" t="s">
        <v>3987</v>
      </c>
      <c r="F177" s="0" t="s">
        <v>3531</v>
      </c>
      <c r="G177" s="0" t="s">
        <v>3988</v>
      </c>
    </row>
    <row customHeight="1" ht="11.25">
      <c r="A178" s="373" t="s">
        <v>14</v>
      </c>
      <c r="B178" s="0" t="s">
        <v>3959</v>
      </c>
      <c r="C178" s="0" t="s">
        <v>3960</v>
      </c>
      <c r="D178" s="0" t="s">
        <v>3989</v>
      </c>
      <c r="E178" s="0" t="s">
        <v>3990</v>
      </c>
      <c r="F178" s="0" t="s">
        <v>3531</v>
      </c>
      <c r="G178" s="0" t="s">
        <v>3991</v>
      </c>
    </row>
    <row customHeight="1" ht="11.25">
      <c r="A179" s="373" t="s">
        <v>14</v>
      </c>
      <c r="B179" s="0" t="s">
        <v>3959</v>
      </c>
      <c r="C179" s="0" t="s">
        <v>3960</v>
      </c>
      <c r="D179" s="0" t="s">
        <v>3992</v>
      </c>
      <c r="E179" s="0" t="s">
        <v>3993</v>
      </c>
      <c r="F179" s="0" t="s">
        <v>3531</v>
      </c>
      <c r="G179" s="0" t="s">
        <v>3994</v>
      </c>
    </row>
    <row customHeight="1" ht="11.25">
      <c r="A180" s="373" t="s">
        <v>14</v>
      </c>
      <c r="B180" s="0" t="s">
        <v>3959</v>
      </c>
      <c r="C180" s="0" t="s">
        <v>3960</v>
      </c>
      <c r="D180" s="0" t="s">
        <v>3995</v>
      </c>
      <c r="E180" s="0" t="s">
        <v>3996</v>
      </c>
      <c r="F180" s="0" t="s">
        <v>3531</v>
      </c>
      <c r="G180" s="0" t="s">
        <v>3997</v>
      </c>
    </row>
    <row customHeight="1" ht="11.25">
      <c r="A181" s="373" t="s">
        <v>14</v>
      </c>
      <c r="B181" s="0" t="s">
        <v>3959</v>
      </c>
      <c r="C181" s="0" t="s">
        <v>3960</v>
      </c>
      <c r="D181" s="0" t="s">
        <v>3998</v>
      </c>
      <c r="E181" s="0" t="s">
        <v>3999</v>
      </c>
      <c r="F181" s="0" t="s">
        <v>3531</v>
      </c>
      <c r="G181" s="0" t="s">
        <v>4000</v>
      </c>
    </row>
    <row customHeight="1" ht="11.25">
      <c r="A182" s="373" t="s">
        <v>14</v>
      </c>
      <c r="B182" s="0" t="s">
        <v>3959</v>
      </c>
      <c r="C182" s="0" t="s">
        <v>3960</v>
      </c>
      <c r="D182" s="0" t="s">
        <v>3791</v>
      </c>
      <c r="E182" s="0" t="s">
        <v>4001</v>
      </c>
      <c r="F182" s="0" t="s">
        <v>3531</v>
      </c>
      <c r="G182" s="0" t="s">
        <v>4002</v>
      </c>
    </row>
    <row customHeight="1" ht="11.25">
      <c r="A183" s="373" t="s">
        <v>14</v>
      </c>
      <c r="B183" s="0" t="s">
        <v>4003</v>
      </c>
      <c r="C183" s="0" t="s">
        <v>4004</v>
      </c>
      <c r="D183" s="0" t="s">
        <v>4005</v>
      </c>
      <c r="E183" s="0" t="s">
        <v>4006</v>
      </c>
      <c r="F183" s="0" t="s">
        <v>3531</v>
      </c>
      <c r="G183" s="0" t="s">
        <v>4007</v>
      </c>
    </row>
    <row customHeight="1" ht="11.25">
      <c r="A184" s="373" t="s">
        <v>14</v>
      </c>
      <c r="B184" s="0" t="s">
        <v>4003</v>
      </c>
      <c r="C184" s="0" t="s">
        <v>4004</v>
      </c>
      <c r="D184" s="0" t="s">
        <v>4008</v>
      </c>
      <c r="E184" s="0" t="s">
        <v>4009</v>
      </c>
      <c r="F184" s="0" t="s">
        <v>3531</v>
      </c>
      <c r="G184" s="0" t="s">
        <v>4010</v>
      </c>
    </row>
    <row customHeight="1" ht="11.25">
      <c r="A185" s="373" t="s">
        <v>14</v>
      </c>
      <c r="B185" s="0" t="s">
        <v>4003</v>
      </c>
      <c r="C185" s="0" t="s">
        <v>4004</v>
      </c>
      <c r="D185" s="0" t="s">
        <v>4011</v>
      </c>
      <c r="E185" s="0" t="s">
        <v>4012</v>
      </c>
      <c r="F185" s="0" t="s">
        <v>3531</v>
      </c>
      <c r="G185" s="0" t="s">
        <v>4013</v>
      </c>
    </row>
    <row customHeight="1" ht="11.25">
      <c r="A186" s="373" t="s">
        <v>14</v>
      </c>
      <c r="B186" s="0" t="s">
        <v>4003</v>
      </c>
      <c r="C186" s="0" t="s">
        <v>4004</v>
      </c>
      <c r="D186" s="0" t="s">
        <v>4003</v>
      </c>
      <c r="E186" s="0" t="s">
        <v>4004</v>
      </c>
      <c r="F186" s="0" t="s">
        <v>3532</v>
      </c>
      <c r="G186" s="0" t="s">
        <v>4014</v>
      </c>
    </row>
    <row customHeight="1" ht="11.25">
      <c r="A187" s="373" t="s">
        <v>14</v>
      </c>
      <c r="B187" s="0" t="s">
        <v>4003</v>
      </c>
      <c r="C187" s="0" t="s">
        <v>4004</v>
      </c>
      <c r="D187" s="0" t="s">
        <v>4015</v>
      </c>
      <c r="E187" s="0" t="s">
        <v>4016</v>
      </c>
      <c r="F187" s="0" t="s">
        <v>3531</v>
      </c>
      <c r="G187" s="0" t="s">
        <v>4017</v>
      </c>
    </row>
    <row customHeight="1" ht="11.25">
      <c r="A188" s="373" t="s">
        <v>14</v>
      </c>
      <c r="B188" s="0" t="s">
        <v>4003</v>
      </c>
      <c r="C188" s="0" t="s">
        <v>4004</v>
      </c>
      <c r="D188" s="0" t="s">
        <v>4018</v>
      </c>
      <c r="E188" s="0" t="s">
        <v>4019</v>
      </c>
      <c r="F188" s="0" t="s">
        <v>3531</v>
      </c>
      <c r="G188" s="0" t="s">
        <v>4020</v>
      </c>
    </row>
    <row customHeight="1" ht="11.25">
      <c r="A189" s="373" t="s">
        <v>14</v>
      </c>
      <c r="B189" s="0" t="s">
        <v>4003</v>
      </c>
      <c r="C189" s="0" t="s">
        <v>4004</v>
      </c>
      <c r="D189" s="0" t="s">
        <v>4021</v>
      </c>
      <c r="E189" s="0" t="s">
        <v>4022</v>
      </c>
      <c r="F189" s="0" t="s">
        <v>3531</v>
      </c>
      <c r="G189" s="0" t="s">
        <v>4023</v>
      </c>
    </row>
    <row customHeight="1" ht="11.25">
      <c r="A190" s="373" t="s">
        <v>14</v>
      </c>
      <c r="B190" s="0" t="s">
        <v>4003</v>
      </c>
      <c r="C190" s="0" t="s">
        <v>4004</v>
      </c>
      <c r="D190" s="0" t="s">
        <v>3633</v>
      </c>
      <c r="E190" s="0" t="s">
        <v>4024</v>
      </c>
      <c r="F190" s="0" t="s">
        <v>3531</v>
      </c>
      <c r="G190" s="0" t="s">
        <v>4025</v>
      </c>
    </row>
    <row customHeight="1" ht="11.25">
      <c r="A191" s="373" t="s">
        <v>14</v>
      </c>
      <c r="B191" s="0" t="s">
        <v>4003</v>
      </c>
      <c r="C191" s="0" t="s">
        <v>4004</v>
      </c>
      <c r="D191" s="0" t="s">
        <v>4026</v>
      </c>
      <c r="E191" s="0" t="s">
        <v>4027</v>
      </c>
      <c r="F191" s="0" t="s">
        <v>3531</v>
      </c>
      <c r="G191" s="0" t="s">
        <v>4028</v>
      </c>
    </row>
    <row customHeight="1" ht="11.25">
      <c r="A192" s="373" t="s">
        <v>14</v>
      </c>
      <c r="B192" s="0" t="s">
        <v>4029</v>
      </c>
      <c r="C192" s="0" t="s">
        <v>4030</v>
      </c>
      <c r="D192" s="0" t="s">
        <v>4031</v>
      </c>
      <c r="E192" s="0" t="s">
        <v>4032</v>
      </c>
      <c r="F192" s="0" t="s">
        <v>3531</v>
      </c>
      <c r="G192" s="0" t="s">
        <v>4033</v>
      </c>
    </row>
    <row customHeight="1" ht="11.25">
      <c r="A193" s="373" t="s">
        <v>14</v>
      </c>
      <c r="B193" s="0" t="s">
        <v>4029</v>
      </c>
      <c r="C193" s="0" t="s">
        <v>4030</v>
      </c>
      <c r="D193" s="0" t="s">
        <v>4034</v>
      </c>
      <c r="E193" s="0" t="s">
        <v>4035</v>
      </c>
      <c r="F193" s="0" t="s">
        <v>3531</v>
      </c>
      <c r="G193" s="0" t="s">
        <v>4036</v>
      </c>
    </row>
    <row customHeight="1" ht="11.25">
      <c r="A194" s="373" t="s">
        <v>14</v>
      </c>
      <c r="B194" s="0" t="s">
        <v>4029</v>
      </c>
      <c r="C194" s="0" t="s">
        <v>4030</v>
      </c>
      <c r="D194" s="0" t="s">
        <v>4037</v>
      </c>
      <c r="E194" s="0" t="s">
        <v>4038</v>
      </c>
      <c r="F194" s="0" t="s">
        <v>3531</v>
      </c>
      <c r="G194" s="0" t="s">
        <v>4039</v>
      </c>
    </row>
    <row customHeight="1" ht="11.25">
      <c r="A195" s="373" t="s">
        <v>14</v>
      </c>
      <c r="B195" s="0" t="s">
        <v>4029</v>
      </c>
      <c r="C195" s="0" t="s">
        <v>4030</v>
      </c>
      <c r="D195" s="0" t="s">
        <v>4040</v>
      </c>
      <c r="E195" s="0" t="s">
        <v>4041</v>
      </c>
      <c r="F195" s="0" t="s">
        <v>3531</v>
      </c>
      <c r="G195" s="0" t="s">
        <v>4042</v>
      </c>
    </row>
    <row customHeight="1" ht="11.25">
      <c r="A196" s="373" t="s">
        <v>14</v>
      </c>
      <c r="B196" s="0" t="s">
        <v>4029</v>
      </c>
      <c r="C196" s="0" t="s">
        <v>4030</v>
      </c>
      <c r="D196" s="0" t="s">
        <v>4043</v>
      </c>
      <c r="E196" s="0" t="s">
        <v>4044</v>
      </c>
      <c r="F196" s="0" t="s">
        <v>3531</v>
      </c>
      <c r="G196" s="0" t="s">
        <v>4045</v>
      </c>
    </row>
    <row customHeight="1" ht="11.25">
      <c r="A197" s="373" t="s">
        <v>14</v>
      </c>
      <c r="B197" s="0" t="s">
        <v>4029</v>
      </c>
      <c r="C197" s="0" t="s">
        <v>4030</v>
      </c>
      <c r="D197" s="0" t="s">
        <v>4046</v>
      </c>
      <c r="E197" s="0" t="s">
        <v>4047</v>
      </c>
      <c r="F197" s="0" t="s">
        <v>3531</v>
      </c>
      <c r="G197" s="0" t="s">
        <v>4048</v>
      </c>
    </row>
    <row customHeight="1" ht="11.25">
      <c r="A198" s="373" t="s">
        <v>14</v>
      </c>
      <c r="B198" s="0" t="s">
        <v>4029</v>
      </c>
      <c r="C198" s="0" t="s">
        <v>4030</v>
      </c>
      <c r="D198" s="0" t="s">
        <v>4029</v>
      </c>
      <c r="E198" s="0" t="s">
        <v>4030</v>
      </c>
      <c r="F198" s="0" t="s">
        <v>3532</v>
      </c>
      <c r="G198" s="0" t="s">
        <v>4049</v>
      </c>
    </row>
    <row customHeight="1" ht="11.25">
      <c r="A199" s="373" t="s">
        <v>14</v>
      </c>
      <c r="B199" s="0" t="s">
        <v>4029</v>
      </c>
      <c r="C199" s="0" t="s">
        <v>4030</v>
      </c>
      <c r="D199" s="0" t="s">
        <v>4050</v>
      </c>
      <c r="E199" s="0" t="s">
        <v>4051</v>
      </c>
      <c r="F199" s="0" t="s">
        <v>3531</v>
      </c>
      <c r="G199" s="0" t="s">
        <v>4052</v>
      </c>
    </row>
    <row customHeight="1" ht="11.25">
      <c r="A200" s="373" t="s">
        <v>14</v>
      </c>
      <c r="B200" s="0" t="s">
        <v>4029</v>
      </c>
      <c r="C200" s="0" t="s">
        <v>4030</v>
      </c>
      <c r="D200" s="0" t="s">
        <v>4053</v>
      </c>
      <c r="E200" s="0" t="s">
        <v>4054</v>
      </c>
      <c r="F200" s="0" t="s">
        <v>3531</v>
      </c>
      <c r="G200" s="0" t="s">
        <v>4055</v>
      </c>
    </row>
    <row customHeight="1" ht="11.25">
      <c r="A201" s="373" t="s">
        <v>14</v>
      </c>
      <c r="B201" s="0" t="s">
        <v>4029</v>
      </c>
      <c r="C201" s="0" t="s">
        <v>4030</v>
      </c>
      <c r="D201" s="0" t="s">
        <v>4056</v>
      </c>
      <c r="E201" s="0" t="s">
        <v>4057</v>
      </c>
      <c r="F201" s="0" t="s">
        <v>3531</v>
      </c>
      <c r="G201" s="0" t="s">
        <v>4058</v>
      </c>
    </row>
    <row customHeight="1" ht="11.25">
      <c r="A202" s="373" t="s">
        <v>14</v>
      </c>
      <c r="B202" s="0" t="s">
        <v>4029</v>
      </c>
      <c r="C202" s="0" t="s">
        <v>4030</v>
      </c>
      <c r="D202" s="0" t="s">
        <v>4059</v>
      </c>
      <c r="E202" s="0" t="s">
        <v>4060</v>
      </c>
      <c r="F202" s="0" t="s">
        <v>3531</v>
      </c>
      <c r="G202" s="0" t="s">
        <v>4061</v>
      </c>
    </row>
    <row customHeight="1" ht="11.25">
      <c r="A203" s="373" t="s">
        <v>14</v>
      </c>
      <c r="B203" s="0" t="s">
        <v>4062</v>
      </c>
      <c r="C203" s="0" t="s">
        <v>4063</v>
      </c>
      <c r="D203" s="0" t="s">
        <v>4064</v>
      </c>
      <c r="E203" s="0" t="s">
        <v>4065</v>
      </c>
      <c r="F203" s="0" t="s">
        <v>3531</v>
      </c>
      <c r="G203" s="0" t="s">
        <v>4066</v>
      </c>
    </row>
    <row customHeight="1" ht="11.25">
      <c r="A204" s="373" t="s">
        <v>14</v>
      </c>
      <c r="B204" s="0" t="s">
        <v>4062</v>
      </c>
      <c r="C204" s="0" t="s">
        <v>4063</v>
      </c>
      <c r="D204" s="0" t="s">
        <v>4067</v>
      </c>
      <c r="E204" s="0" t="s">
        <v>4068</v>
      </c>
      <c r="F204" s="0" t="s">
        <v>3531</v>
      </c>
      <c r="G204" s="0" t="s">
        <v>4069</v>
      </c>
    </row>
    <row customHeight="1" ht="11.25">
      <c r="A205" s="373" t="s">
        <v>14</v>
      </c>
      <c r="B205" s="0" t="s">
        <v>4062</v>
      </c>
      <c r="C205" s="0" t="s">
        <v>4063</v>
      </c>
      <c r="D205" s="0" t="s">
        <v>4070</v>
      </c>
      <c r="E205" s="0" t="s">
        <v>4071</v>
      </c>
      <c r="F205" s="0" t="s">
        <v>3531</v>
      </c>
      <c r="G205" s="0" t="s">
        <v>4072</v>
      </c>
    </row>
    <row customHeight="1" ht="11.25">
      <c r="A206" s="373" t="s">
        <v>14</v>
      </c>
      <c r="B206" s="0" t="s">
        <v>4062</v>
      </c>
      <c r="C206" s="0" t="s">
        <v>4063</v>
      </c>
      <c r="D206" s="0" t="s">
        <v>4073</v>
      </c>
      <c r="E206" s="0" t="s">
        <v>4074</v>
      </c>
      <c r="F206" s="0" t="s">
        <v>3531</v>
      </c>
      <c r="G206" s="0" t="s">
        <v>4075</v>
      </c>
    </row>
    <row customHeight="1" ht="11.25">
      <c r="A207" s="373" t="s">
        <v>14</v>
      </c>
      <c r="B207" s="0" t="s">
        <v>4062</v>
      </c>
      <c r="C207" s="0" t="s">
        <v>4063</v>
      </c>
      <c r="D207" s="0" t="s">
        <v>4076</v>
      </c>
      <c r="E207" s="0" t="s">
        <v>4077</v>
      </c>
      <c r="F207" s="0" t="s">
        <v>3531</v>
      </c>
      <c r="G207" s="0" t="s">
        <v>4078</v>
      </c>
    </row>
    <row customHeight="1" ht="11.25">
      <c r="A208" s="373" t="s">
        <v>14</v>
      </c>
      <c r="B208" s="0" t="s">
        <v>4062</v>
      </c>
      <c r="C208" s="0" t="s">
        <v>4063</v>
      </c>
      <c r="D208" s="0" t="s">
        <v>4079</v>
      </c>
      <c r="E208" s="0" t="s">
        <v>4080</v>
      </c>
      <c r="F208" s="0" t="s">
        <v>3531</v>
      </c>
      <c r="G208" s="0" t="s">
        <v>4081</v>
      </c>
    </row>
    <row customHeight="1" ht="11.25">
      <c r="A209" s="373" t="s">
        <v>14</v>
      </c>
      <c r="B209" s="0" t="s">
        <v>4062</v>
      </c>
      <c r="C209" s="0" t="s">
        <v>4063</v>
      </c>
      <c r="D209" s="0" t="s">
        <v>4082</v>
      </c>
      <c r="E209" s="0" t="s">
        <v>4083</v>
      </c>
      <c r="F209" s="0" t="s">
        <v>3531</v>
      </c>
      <c r="G209" s="0" t="s">
        <v>4084</v>
      </c>
    </row>
    <row customHeight="1" ht="11.25">
      <c r="A210" s="373" t="s">
        <v>14</v>
      </c>
      <c r="B210" s="0" t="s">
        <v>4062</v>
      </c>
      <c r="C210" s="0" t="s">
        <v>4063</v>
      </c>
      <c r="D210" s="0" t="s">
        <v>4062</v>
      </c>
      <c r="E210" s="0" t="s">
        <v>4063</v>
      </c>
      <c r="F210" s="0" t="s">
        <v>3532</v>
      </c>
      <c r="G210" s="0" t="s">
        <v>4085</v>
      </c>
    </row>
    <row customHeight="1" ht="11.25">
      <c r="A211" s="373" t="s">
        <v>14</v>
      </c>
      <c r="B211" s="0" t="s">
        <v>4062</v>
      </c>
      <c r="C211" s="0" t="s">
        <v>4063</v>
      </c>
      <c r="D211" s="0" t="s">
        <v>4086</v>
      </c>
      <c r="E211" s="0" t="s">
        <v>4087</v>
      </c>
      <c r="F211" s="0" t="s">
        <v>3531</v>
      </c>
      <c r="G211" s="0" t="s">
        <v>4088</v>
      </c>
    </row>
    <row customHeight="1" ht="11.25">
      <c r="A212" s="373" t="s">
        <v>14</v>
      </c>
      <c r="B212" s="0" t="s">
        <v>4062</v>
      </c>
      <c r="C212" s="0" t="s">
        <v>4063</v>
      </c>
      <c r="D212" s="0" t="s">
        <v>4089</v>
      </c>
      <c r="E212" s="0" t="s">
        <v>4090</v>
      </c>
      <c r="F212" s="0" t="s">
        <v>3531</v>
      </c>
      <c r="G212" s="0" t="s">
        <v>4091</v>
      </c>
    </row>
    <row customHeight="1" ht="11.25">
      <c r="A213" s="373" t="s">
        <v>14</v>
      </c>
      <c r="B213" s="0" t="s">
        <v>4062</v>
      </c>
      <c r="C213" s="0" t="s">
        <v>4063</v>
      </c>
      <c r="D213" s="0" t="s">
        <v>4092</v>
      </c>
      <c r="E213" s="0" t="s">
        <v>4093</v>
      </c>
      <c r="F213" s="0" t="s">
        <v>3531</v>
      </c>
      <c r="G213" s="0" t="s">
        <v>4094</v>
      </c>
    </row>
    <row customHeight="1" ht="11.25">
      <c r="A214" s="373" t="s">
        <v>14</v>
      </c>
      <c r="B214" s="0" t="s">
        <v>4062</v>
      </c>
      <c r="C214" s="0" t="s">
        <v>4063</v>
      </c>
      <c r="D214" s="0" t="s">
        <v>4095</v>
      </c>
      <c r="E214" s="0" t="s">
        <v>4096</v>
      </c>
      <c r="F214" s="0" t="s">
        <v>3531</v>
      </c>
      <c r="G214" s="0" t="s">
        <v>4097</v>
      </c>
    </row>
    <row customHeight="1" ht="11.25">
      <c r="A215" s="373" t="s">
        <v>14</v>
      </c>
      <c r="B215" s="0" t="s">
        <v>4062</v>
      </c>
      <c r="C215" s="0" t="s">
        <v>4063</v>
      </c>
      <c r="D215" s="0" t="s">
        <v>4098</v>
      </c>
      <c r="E215" s="0" t="s">
        <v>4099</v>
      </c>
      <c r="F215" s="0" t="s">
        <v>3531</v>
      </c>
      <c r="G215" s="0" t="s">
        <v>4100</v>
      </c>
    </row>
    <row customHeight="1" ht="11.25">
      <c r="A216" s="373" t="s">
        <v>14</v>
      </c>
      <c r="B216" s="0" t="s">
        <v>4062</v>
      </c>
      <c r="C216" s="0" t="s">
        <v>4063</v>
      </c>
      <c r="D216" s="0" t="s">
        <v>4101</v>
      </c>
      <c r="E216" s="0" t="s">
        <v>4102</v>
      </c>
      <c r="F216" s="0" t="s">
        <v>3531</v>
      </c>
      <c r="G216" s="0" t="s">
        <v>4103</v>
      </c>
    </row>
    <row customHeight="1" ht="11.25">
      <c r="A217" s="373" t="s">
        <v>14</v>
      </c>
      <c r="B217" s="0" t="s">
        <v>4062</v>
      </c>
      <c r="C217" s="0" t="s">
        <v>4063</v>
      </c>
      <c r="D217" s="0" t="s">
        <v>4104</v>
      </c>
      <c r="E217" s="0" t="s">
        <v>4105</v>
      </c>
      <c r="F217" s="0" t="s">
        <v>3531</v>
      </c>
      <c r="G217" s="0" t="s">
        <v>4106</v>
      </c>
    </row>
    <row customHeight="1" ht="11.25">
      <c r="A218" s="373" t="s">
        <v>14</v>
      </c>
      <c r="B218" s="0" t="s">
        <v>4062</v>
      </c>
      <c r="C218" s="0" t="s">
        <v>4063</v>
      </c>
      <c r="D218" s="0" t="s">
        <v>4107</v>
      </c>
      <c r="E218" s="0" t="s">
        <v>4108</v>
      </c>
      <c r="F218" s="0" t="s">
        <v>3531</v>
      </c>
      <c r="G218" s="0" t="s">
        <v>4109</v>
      </c>
    </row>
    <row customHeight="1" ht="11.25">
      <c r="A219" s="373" t="s">
        <v>14</v>
      </c>
      <c r="B219" s="0" t="s">
        <v>4110</v>
      </c>
      <c r="C219" s="0" t="s">
        <v>4111</v>
      </c>
      <c r="D219" s="0" t="s">
        <v>4112</v>
      </c>
      <c r="E219" s="0" t="s">
        <v>4113</v>
      </c>
      <c r="F219" s="0" t="s">
        <v>3531</v>
      </c>
      <c r="G219" s="0" t="s">
        <v>4114</v>
      </c>
    </row>
    <row customHeight="1" ht="11.25">
      <c r="A220" s="373" t="s">
        <v>14</v>
      </c>
      <c r="B220" s="0" t="s">
        <v>4110</v>
      </c>
      <c r="C220" s="0" t="s">
        <v>4111</v>
      </c>
      <c r="D220" s="0" t="s">
        <v>4115</v>
      </c>
      <c r="E220" s="0" t="s">
        <v>4116</v>
      </c>
      <c r="F220" s="0" t="s">
        <v>3531</v>
      </c>
      <c r="G220" s="0" t="s">
        <v>4117</v>
      </c>
    </row>
    <row customHeight="1" ht="11.25">
      <c r="A221" s="373" t="s">
        <v>14</v>
      </c>
      <c r="B221" s="0" t="s">
        <v>4110</v>
      </c>
      <c r="C221" s="0" t="s">
        <v>4111</v>
      </c>
      <c r="D221" s="0" t="s">
        <v>4118</v>
      </c>
      <c r="E221" s="0" t="s">
        <v>4119</v>
      </c>
      <c r="F221" s="0" t="s">
        <v>3531</v>
      </c>
      <c r="G221" s="0" t="s">
        <v>4120</v>
      </c>
    </row>
    <row customHeight="1" ht="11.25">
      <c r="A222" s="373" t="s">
        <v>14</v>
      </c>
      <c r="B222" s="0" t="s">
        <v>4110</v>
      </c>
      <c r="C222" s="0" t="s">
        <v>4111</v>
      </c>
      <c r="D222" s="0" t="s">
        <v>4121</v>
      </c>
      <c r="E222" s="0" t="s">
        <v>4122</v>
      </c>
      <c r="F222" s="0" t="s">
        <v>3531</v>
      </c>
      <c r="G222" s="0" t="s">
        <v>4123</v>
      </c>
    </row>
    <row customHeight="1" ht="11.25">
      <c r="A223" s="373" t="s">
        <v>14</v>
      </c>
      <c r="B223" s="0" t="s">
        <v>4110</v>
      </c>
      <c r="C223" s="0" t="s">
        <v>4111</v>
      </c>
      <c r="D223" s="0" t="s">
        <v>4124</v>
      </c>
      <c r="E223" s="0" t="s">
        <v>4125</v>
      </c>
      <c r="F223" s="0" t="s">
        <v>3531</v>
      </c>
      <c r="G223" s="0" t="s">
        <v>4126</v>
      </c>
    </row>
    <row customHeight="1" ht="11.25">
      <c r="A224" s="373" t="s">
        <v>14</v>
      </c>
      <c r="B224" s="0" t="s">
        <v>4110</v>
      </c>
      <c r="C224" s="0" t="s">
        <v>4111</v>
      </c>
      <c r="D224" s="0" t="s">
        <v>4127</v>
      </c>
      <c r="E224" s="0" t="s">
        <v>4128</v>
      </c>
      <c r="F224" s="0" t="s">
        <v>3531</v>
      </c>
      <c r="G224" s="0" t="s">
        <v>4129</v>
      </c>
    </row>
    <row customHeight="1" ht="11.25">
      <c r="A225" s="373" t="s">
        <v>14</v>
      </c>
      <c r="B225" s="0" t="s">
        <v>4110</v>
      </c>
      <c r="C225" s="0" t="s">
        <v>4111</v>
      </c>
      <c r="D225" s="0" t="s">
        <v>4130</v>
      </c>
      <c r="E225" s="0" t="s">
        <v>4131</v>
      </c>
      <c r="F225" s="0" t="s">
        <v>3531</v>
      </c>
      <c r="G225" s="0" t="s">
        <v>4132</v>
      </c>
    </row>
    <row customHeight="1" ht="11.25">
      <c r="A226" s="373" t="s">
        <v>14</v>
      </c>
      <c r="B226" s="0" t="s">
        <v>4110</v>
      </c>
      <c r="C226" s="0" t="s">
        <v>4111</v>
      </c>
      <c r="D226" s="0" t="s">
        <v>4133</v>
      </c>
      <c r="E226" s="0" t="s">
        <v>4134</v>
      </c>
      <c r="F226" s="0" t="s">
        <v>3531</v>
      </c>
      <c r="G226" s="0" t="s">
        <v>4135</v>
      </c>
    </row>
    <row customHeight="1" ht="11.25">
      <c r="A227" s="373" t="s">
        <v>14</v>
      </c>
      <c r="B227" s="0" t="s">
        <v>4110</v>
      </c>
      <c r="C227" s="0" t="s">
        <v>4111</v>
      </c>
      <c r="D227" s="0" t="s">
        <v>4136</v>
      </c>
      <c r="E227" s="0" t="s">
        <v>4137</v>
      </c>
      <c r="F227" s="0" t="s">
        <v>3531</v>
      </c>
      <c r="G227" s="0" t="s">
        <v>4138</v>
      </c>
    </row>
    <row customHeight="1" ht="11.25">
      <c r="A228" s="373" t="s">
        <v>14</v>
      </c>
      <c r="B228" s="0" t="s">
        <v>4110</v>
      </c>
      <c r="C228" s="0" t="s">
        <v>4111</v>
      </c>
      <c r="D228" s="0" t="s">
        <v>4139</v>
      </c>
      <c r="E228" s="0" t="s">
        <v>4140</v>
      </c>
      <c r="F228" s="0" t="s">
        <v>3531</v>
      </c>
      <c r="G228" s="0" t="s">
        <v>4141</v>
      </c>
    </row>
    <row customHeight="1" ht="11.25">
      <c r="A229" s="373" t="s">
        <v>14</v>
      </c>
      <c r="B229" s="0" t="s">
        <v>4110</v>
      </c>
      <c r="C229" s="0" t="s">
        <v>4111</v>
      </c>
      <c r="D229" s="0" t="s">
        <v>4142</v>
      </c>
      <c r="E229" s="0" t="s">
        <v>4143</v>
      </c>
      <c r="F229" s="0" t="s">
        <v>3531</v>
      </c>
      <c r="G229" s="0" t="s">
        <v>4144</v>
      </c>
    </row>
    <row customHeight="1" ht="11.25">
      <c r="A230" s="373" t="s">
        <v>14</v>
      </c>
      <c r="B230" s="0" t="s">
        <v>4110</v>
      </c>
      <c r="C230" s="0" t="s">
        <v>4111</v>
      </c>
      <c r="D230" s="0" t="s">
        <v>4110</v>
      </c>
      <c r="E230" s="0" t="s">
        <v>4111</v>
      </c>
      <c r="F230" s="0" t="s">
        <v>3532</v>
      </c>
      <c r="G230" s="0" t="s">
        <v>4145</v>
      </c>
    </row>
    <row customHeight="1" ht="11.25">
      <c r="A231" s="373" t="s">
        <v>14</v>
      </c>
      <c r="B231" s="0" t="s">
        <v>4110</v>
      </c>
      <c r="C231" s="0" t="s">
        <v>4111</v>
      </c>
      <c r="D231" s="0" t="s">
        <v>4146</v>
      </c>
      <c r="E231" s="0" t="s">
        <v>4147</v>
      </c>
      <c r="F231" s="0" t="s">
        <v>3531</v>
      </c>
      <c r="G231" s="0" t="s">
        <v>4148</v>
      </c>
    </row>
    <row customHeight="1" ht="11.25">
      <c r="A232" s="373" t="s">
        <v>14</v>
      </c>
      <c r="B232" s="0" t="s">
        <v>4110</v>
      </c>
      <c r="C232" s="0" t="s">
        <v>4111</v>
      </c>
      <c r="D232" s="0" t="s">
        <v>4149</v>
      </c>
      <c r="E232" s="0" t="s">
        <v>4150</v>
      </c>
      <c r="F232" s="0" t="s">
        <v>3531</v>
      </c>
      <c r="G232" s="0" t="s">
        <v>4151</v>
      </c>
    </row>
    <row customHeight="1" ht="11.25">
      <c r="A233" s="373" t="s">
        <v>14</v>
      </c>
      <c r="B233" s="0" t="s">
        <v>4110</v>
      </c>
      <c r="C233" s="0" t="s">
        <v>4111</v>
      </c>
      <c r="D233" s="0" t="s">
        <v>4152</v>
      </c>
      <c r="E233" s="0" t="s">
        <v>4153</v>
      </c>
      <c r="F233" s="0" t="s">
        <v>3531</v>
      </c>
      <c r="G233" s="0" t="s">
        <v>4154</v>
      </c>
    </row>
    <row customHeight="1" ht="11.25">
      <c r="A234" s="373" t="s">
        <v>14</v>
      </c>
      <c r="B234" s="0" t="s">
        <v>4110</v>
      </c>
      <c r="C234" s="0" t="s">
        <v>4111</v>
      </c>
      <c r="D234" s="0" t="s">
        <v>4155</v>
      </c>
      <c r="E234" s="0" t="s">
        <v>4156</v>
      </c>
      <c r="F234" s="0" t="s">
        <v>3531</v>
      </c>
      <c r="G234" s="0" t="s">
        <v>4157</v>
      </c>
    </row>
    <row customHeight="1" ht="11.25">
      <c r="A235" s="373" t="s">
        <v>14</v>
      </c>
      <c r="B235" s="0" t="s">
        <v>4110</v>
      </c>
      <c r="C235" s="0" t="s">
        <v>4111</v>
      </c>
      <c r="D235" s="0" t="s">
        <v>4158</v>
      </c>
      <c r="E235" s="0" t="s">
        <v>4159</v>
      </c>
      <c r="F235" s="0" t="s">
        <v>3531</v>
      </c>
      <c r="G235" s="0" t="s">
        <v>4160</v>
      </c>
    </row>
    <row customHeight="1" ht="11.25">
      <c r="A236" s="373" t="s">
        <v>14</v>
      </c>
      <c r="B236" s="0" t="s">
        <v>4110</v>
      </c>
      <c r="C236" s="0" t="s">
        <v>4111</v>
      </c>
      <c r="D236" s="0" t="s">
        <v>4161</v>
      </c>
      <c r="E236" s="0" t="s">
        <v>4162</v>
      </c>
      <c r="F236" s="0" t="s">
        <v>3531</v>
      </c>
      <c r="G236" s="0" t="s">
        <v>4163</v>
      </c>
    </row>
    <row customHeight="1" ht="11.25">
      <c r="A237" s="373" t="s">
        <v>14</v>
      </c>
      <c r="B237" s="0" t="s">
        <v>4110</v>
      </c>
      <c r="C237" s="0" t="s">
        <v>4111</v>
      </c>
      <c r="D237" s="0" t="s">
        <v>4164</v>
      </c>
      <c r="E237" s="0" t="s">
        <v>4165</v>
      </c>
      <c r="F237" s="0" t="s">
        <v>3531</v>
      </c>
      <c r="G237" s="0" t="s">
        <v>4166</v>
      </c>
    </row>
    <row customHeight="1" ht="11.25">
      <c r="A238" s="373" t="s">
        <v>14</v>
      </c>
      <c r="B238" s="0" t="s">
        <v>4110</v>
      </c>
      <c r="C238" s="0" t="s">
        <v>4111</v>
      </c>
      <c r="D238" s="0" t="s">
        <v>4167</v>
      </c>
      <c r="E238" s="0" t="s">
        <v>4168</v>
      </c>
      <c r="F238" s="0" t="s">
        <v>3531</v>
      </c>
      <c r="G238" s="0" t="s">
        <v>4169</v>
      </c>
    </row>
    <row customHeight="1" ht="11.25">
      <c r="A239" s="373" t="s">
        <v>14</v>
      </c>
      <c r="B239" s="0" t="s">
        <v>4170</v>
      </c>
      <c r="C239" s="0" t="s">
        <v>4171</v>
      </c>
      <c r="D239" s="0" t="s">
        <v>4170</v>
      </c>
      <c r="E239" s="0" t="s">
        <v>4171</v>
      </c>
      <c r="F239" s="0" t="s">
        <v>4172</v>
      </c>
      <c r="G239" s="0" t="s">
        <v>4173</v>
      </c>
    </row>
    <row customHeight="1" ht="11.25">
      <c r="A240" s="373" t="s">
        <v>14</v>
      </c>
      <c r="B240" s="0" t="s">
        <v>4174</v>
      </c>
      <c r="C240" s="0" t="s">
        <v>4175</v>
      </c>
      <c r="D240" s="0" t="s">
        <v>4174</v>
      </c>
      <c r="E240" s="0" t="s">
        <v>4175</v>
      </c>
      <c r="F240" s="0" t="s">
        <v>4172</v>
      </c>
      <c r="G240" s="0" t="s">
        <v>4176</v>
      </c>
    </row>
    <row customHeight="1" ht="11.25">
      <c r="A241" s="373" t="s">
        <v>14</v>
      </c>
      <c r="B241" s="0" t="s">
        <v>4177</v>
      </c>
      <c r="C241" s="0" t="s">
        <v>4178</v>
      </c>
      <c r="D241" s="0" t="s">
        <v>4177</v>
      </c>
      <c r="E241" s="0" t="s">
        <v>4178</v>
      </c>
      <c r="F241" s="0" t="s">
        <v>4172</v>
      </c>
      <c r="G241" s="0" t="s">
        <v>4179</v>
      </c>
    </row>
    <row customHeight="1" ht="11.25">
      <c r="A242" s="373" t="s">
        <v>14</v>
      </c>
      <c r="B242" s="0" t="s">
        <v>4180</v>
      </c>
      <c r="C242" s="0" t="s">
        <v>4181</v>
      </c>
      <c r="D242" s="0" t="s">
        <v>4180</v>
      </c>
      <c r="E242" s="0" t="s">
        <v>4181</v>
      </c>
      <c r="F242" s="0" t="s">
        <v>4172</v>
      </c>
      <c r="G242" s="0" t="s">
        <v>4182</v>
      </c>
    </row>
    <row customHeight="1" ht="11.25">
      <c r="A243" s="373" t="s">
        <v>14</v>
      </c>
      <c r="B243" s="0" t="s">
        <v>4183</v>
      </c>
      <c r="C243" s="0" t="s">
        <v>4184</v>
      </c>
      <c r="D243" s="0" t="s">
        <v>4183</v>
      </c>
      <c r="E243" s="0" t="s">
        <v>4184</v>
      </c>
      <c r="F243" s="0" t="s">
        <v>4172</v>
      </c>
      <c r="G243" s="0" t="s">
        <v>4185</v>
      </c>
    </row>
    <row customHeight="1" ht="11.25">
      <c r="A244" s="373" t="s">
        <v>14</v>
      </c>
      <c r="B244" s="0" t="s">
        <v>4186</v>
      </c>
      <c r="C244" s="0" t="s">
        <v>4187</v>
      </c>
      <c r="D244" s="0" t="s">
        <v>4186</v>
      </c>
      <c r="E244" s="0" t="s">
        <v>4187</v>
      </c>
      <c r="F244" s="0" t="s">
        <v>4172</v>
      </c>
      <c r="G244" s="0" t="s">
        <v>4188</v>
      </c>
    </row>
    <row customHeight="1" ht="11.25">
      <c r="A245" s="373" t="s">
        <v>14</v>
      </c>
      <c r="B245" s="0" t="s">
        <v>4189</v>
      </c>
      <c r="C245" s="0" t="s">
        <v>4190</v>
      </c>
      <c r="D245" s="0" t="s">
        <v>4189</v>
      </c>
      <c r="E245" s="0" t="s">
        <v>4190</v>
      </c>
      <c r="F245" s="0" t="s">
        <v>4172</v>
      </c>
      <c r="G245" s="0" t="s">
        <v>4191</v>
      </c>
    </row>
    <row customHeight="1" ht="11.25">
      <c r="A246" s="373" t="s">
        <v>14</v>
      </c>
      <c r="B246" s="0" t="s">
        <v>4192</v>
      </c>
      <c r="C246" s="0" t="s">
        <v>4193</v>
      </c>
      <c r="D246" s="0" t="s">
        <v>4192</v>
      </c>
      <c r="E246" s="0" t="s">
        <v>4193</v>
      </c>
      <c r="F246" s="0" t="s">
        <v>4172</v>
      </c>
      <c r="G246" s="0" t="s">
        <v>4194</v>
      </c>
    </row>
    <row customHeight="1" ht="11.25">
      <c r="A247" s="373" t="s">
        <v>14</v>
      </c>
      <c r="B247" s="0" t="s">
        <v>4195</v>
      </c>
      <c r="C247" s="0" t="s">
        <v>4196</v>
      </c>
      <c r="D247" s="0" t="s">
        <v>4195</v>
      </c>
      <c r="E247" s="0" t="s">
        <v>4196</v>
      </c>
      <c r="F247" s="0" t="s">
        <v>4172</v>
      </c>
      <c r="G247" s="0" t="s">
        <v>4197</v>
      </c>
    </row>
    <row customHeight="1" ht="11.25">
      <c r="A248" s="373" t="s">
        <v>14</v>
      </c>
      <c r="B248" s="0" t="s">
        <v>4198</v>
      </c>
      <c r="C248" s="0" t="s">
        <v>4199</v>
      </c>
      <c r="D248" s="0" t="s">
        <v>4198</v>
      </c>
      <c r="E248" s="0" t="s">
        <v>4199</v>
      </c>
      <c r="F248" s="0" t="s">
        <v>4172</v>
      </c>
      <c r="G248" s="0" t="s">
        <v>4200</v>
      </c>
    </row>
    <row customHeight="1" ht="11.25">
      <c r="A249" s="373" t="s">
        <v>14</v>
      </c>
      <c r="B249" s="0" t="s">
        <v>4201</v>
      </c>
      <c r="C249" s="0" t="s">
        <v>4202</v>
      </c>
      <c r="D249" s="0" t="s">
        <v>4201</v>
      </c>
      <c r="E249" s="0" t="s">
        <v>4202</v>
      </c>
      <c r="F249" s="0" t="s">
        <v>4172</v>
      </c>
      <c r="G249" s="0" t="s">
        <v>4203</v>
      </c>
    </row>
    <row customHeight="1" ht="11.25">
      <c r="A250" s="373" t="s">
        <v>14</v>
      </c>
      <c r="B250" s="0" t="s">
        <v>4204</v>
      </c>
      <c r="C250" s="0" t="s">
        <v>4205</v>
      </c>
      <c r="D250" s="0" t="s">
        <v>4204</v>
      </c>
      <c r="E250" s="0" t="s">
        <v>4205</v>
      </c>
      <c r="F250" s="0" t="s">
        <v>4172</v>
      </c>
      <c r="G250" s="0" t="s">
        <v>4206</v>
      </c>
    </row>
    <row customHeight="1" ht="11.25">
      <c r="A251" s="373" t="s">
        <v>14</v>
      </c>
      <c r="B251" s="0" t="s">
        <v>4207</v>
      </c>
      <c r="C251" s="0" t="s">
        <v>4208</v>
      </c>
      <c r="D251" s="0" t="s">
        <v>4207</v>
      </c>
      <c r="E251" s="0" t="s">
        <v>4208</v>
      </c>
      <c r="F251" s="0" t="s">
        <v>4172</v>
      </c>
      <c r="G251" s="0" t="s">
        <v>4209</v>
      </c>
    </row>
    <row customHeight="1" ht="11.25">
      <c r="A252" s="373" t="s">
        <v>14</v>
      </c>
      <c r="B252" s="0" t="s">
        <v>4210</v>
      </c>
      <c r="C252" s="0" t="s">
        <v>4211</v>
      </c>
      <c r="D252" s="0" t="s">
        <v>4210</v>
      </c>
      <c r="E252" s="0" t="s">
        <v>4211</v>
      </c>
      <c r="F252" s="0" t="s">
        <v>4172</v>
      </c>
      <c r="G252" s="0" t="s">
        <v>4212</v>
      </c>
    </row>
    <row customHeight="1" ht="11.25">
      <c r="A253" s="373" t="s">
        <v>14</v>
      </c>
      <c r="B253" s="0" t="s">
        <v>4213</v>
      </c>
      <c r="C253" s="0" t="s">
        <v>4214</v>
      </c>
      <c r="D253" s="0" t="s">
        <v>4213</v>
      </c>
      <c r="E253" s="0" t="s">
        <v>4214</v>
      </c>
      <c r="F253" s="0" t="s">
        <v>4172</v>
      </c>
      <c r="G253" s="0" t="s">
        <v>4215</v>
      </c>
    </row>
    <row customHeight="1" ht="11.25">
      <c r="A254" s="373" t="s">
        <v>14</v>
      </c>
      <c r="B254" s="0" t="s">
        <v>4216</v>
      </c>
      <c r="C254" s="0" t="s">
        <v>4217</v>
      </c>
      <c r="D254" s="0" t="s">
        <v>4216</v>
      </c>
      <c r="E254" s="0" t="s">
        <v>4217</v>
      </c>
      <c r="F254" s="0" t="s">
        <v>4172</v>
      </c>
      <c r="G254" s="0" t="s">
        <v>4218</v>
      </c>
    </row>
    <row customHeight="1" ht="11.25">
      <c r="A255" s="373" t="s">
        <v>14</v>
      </c>
      <c r="B255" s="0" t="s">
        <v>4219</v>
      </c>
      <c r="C255" s="0" t="s">
        <v>4220</v>
      </c>
      <c r="D255" s="0" t="s">
        <v>4219</v>
      </c>
      <c r="E255" s="0" t="s">
        <v>4220</v>
      </c>
      <c r="F255" s="0" t="s">
        <v>4172</v>
      </c>
      <c r="G255" s="0" t="s">
        <v>4221</v>
      </c>
    </row>
    <row customHeight="1" ht="11.25">
      <c r="A256" s="373" t="s">
        <v>14</v>
      </c>
      <c r="B256" s="0" t="s">
        <v>4222</v>
      </c>
      <c r="C256" s="0" t="s">
        <v>4223</v>
      </c>
      <c r="D256" s="0" t="s">
        <v>4222</v>
      </c>
      <c r="E256" s="0" t="s">
        <v>4223</v>
      </c>
      <c r="F256" s="0" t="s">
        <v>4172</v>
      </c>
      <c r="G256" s="0" t="s">
        <v>4224</v>
      </c>
    </row>
    <row customHeight="1" ht="11.25">
      <c r="A257" s="373" t="s">
        <v>14</v>
      </c>
      <c r="B257" s="0" t="s">
        <v>4225</v>
      </c>
      <c r="C257" s="0" t="s">
        <v>4226</v>
      </c>
      <c r="D257" s="0" t="s">
        <v>4225</v>
      </c>
      <c r="E257" s="0" t="s">
        <v>4226</v>
      </c>
      <c r="F257" s="0" t="s">
        <v>4172</v>
      </c>
      <c r="G257" s="0" t="s">
        <v>4227</v>
      </c>
    </row>
    <row customHeight="1" ht="11.25">
      <c r="A258" s="373" t="s">
        <v>14</v>
      </c>
      <c r="B258" s="0" t="s">
        <v>4228</v>
      </c>
      <c r="C258" s="0" t="s">
        <v>4229</v>
      </c>
      <c r="D258" s="0" t="s">
        <v>4228</v>
      </c>
      <c r="E258" s="0" t="s">
        <v>4229</v>
      </c>
      <c r="F258" s="0" t="s">
        <v>4172</v>
      </c>
      <c r="G258" s="0" t="s">
        <v>4230</v>
      </c>
    </row>
    <row customHeight="1" ht="11.25">
      <c r="A259" s="373" t="s">
        <v>14</v>
      </c>
      <c r="B259" s="0" t="s">
        <v>4231</v>
      </c>
      <c r="C259" s="0" t="s">
        <v>4232</v>
      </c>
      <c r="D259" s="0" t="s">
        <v>4231</v>
      </c>
      <c r="E259" s="0" t="s">
        <v>4232</v>
      </c>
      <c r="F259" s="0" t="s">
        <v>4172</v>
      </c>
      <c r="G259" s="0" t="s">
        <v>4233</v>
      </c>
    </row>
    <row customHeight="1" ht="11.25">
      <c r="A260" s="373" t="s">
        <v>14</v>
      </c>
      <c r="B260" s="0" t="s">
        <v>4234</v>
      </c>
      <c r="C260" s="0" t="s">
        <v>4235</v>
      </c>
      <c r="D260" s="0" t="s">
        <v>4234</v>
      </c>
      <c r="E260" s="0" t="s">
        <v>4235</v>
      </c>
      <c r="F260" s="0" t="s">
        <v>4172</v>
      </c>
      <c r="G260" s="0" t="s">
        <v>4236</v>
      </c>
    </row>
    <row customHeight="1" ht="11.25">
      <c r="A261" s="373" t="s">
        <v>14</v>
      </c>
      <c r="B261" s="0" t="s">
        <v>4237</v>
      </c>
      <c r="C261" s="0" t="s">
        <v>4238</v>
      </c>
      <c r="D261" s="0" t="s">
        <v>4237</v>
      </c>
      <c r="E261" s="0" t="s">
        <v>4238</v>
      </c>
      <c r="F261" s="0" t="s">
        <v>4172</v>
      </c>
      <c r="G261" s="0" t="s">
        <v>4239</v>
      </c>
    </row>
    <row customHeight="1" ht="11.25">
      <c r="A262" s="373" t="s">
        <v>14</v>
      </c>
      <c r="B262" s="0" t="s">
        <v>4240</v>
      </c>
      <c r="C262" s="0" t="s">
        <v>4241</v>
      </c>
      <c r="D262" s="0" t="s">
        <v>4240</v>
      </c>
      <c r="E262" s="0" t="s">
        <v>4241</v>
      </c>
      <c r="F262" s="0" t="s">
        <v>4172</v>
      </c>
      <c r="G262" s="0" t="s">
        <v>4242</v>
      </c>
    </row>
    <row customHeight="1" ht="11.25">
      <c r="A263" s="373" t="s">
        <v>14</v>
      </c>
      <c r="B263" s="0" t="s">
        <v>4243</v>
      </c>
      <c r="C263" s="0" t="s">
        <v>4244</v>
      </c>
      <c r="D263" s="0" t="s">
        <v>4243</v>
      </c>
      <c r="E263" s="0" t="s">
        <v>4244</v>
      </c>
      <c r="F263" s="0" t="s">
        <v>4172</v>
      </c>
      <c r="G263" s="0" t="s">
        <v>4245</v>
      </c>
    </row>
    <row customHeight="1" ht="11.25">
      <c r="A264" s="373" t="s">
        <v>14</v>
      </c>
      <c r="B264" s="0" t="s">
        <v>4246</v>
      </c>
      <c r="C264" s="0" t="s">
        <v>4247</v>
      </c>
      <c r="D264" s="0" t="s">
        <v>4248</v>
      </c>
      <c r="E264" s="0" t="s">
        <v>4249</v>
      </c>
      <c r="F264" s="0" t="s">
        <v>3531</v>
      </c>
      <c r="G264" s="0" t="s">
        <v>4250</v>
      </c>
    </row>
    <row customHeight="1" ht="11.25">
      <c r="A265" s="373" t="s">
        <v>14</v>
      </c>
      <c r="B265" s="0" t="s">
        <v>4246</v>
      </c>
      <c r="C265" s="0" t="s">
        <v>4247</v>
      </c>
      <c r="D265" s="0" t="s">
        <v>4251</v>
      </c>
      <c r="E265" s="0" t="s">
        <v>4252</v>
      </c>
      <c r="F265" s="0" t="s">
        <v>3531</v>
      </c>
      <c r="G265" s="0" t="s">
        <v>4253</v>
      </c>
    </row>
    <row customHeight="1" ht="11.25">
      <c r="A266" s="373" t="s">
        <v>14</v>
      </c>
      <c r="B266" s="0" t="s">
        <v>4246</v>
      </c>
      <c r="C266" s="0" t="s">
        <v>4247</v>
      </c>
      <c r="D266" s="0" t="s">
        <v>4254</v>
      </c>
      <c r="E266" s="0" t="s">
        <v>4255</v>
      </c>
      <c r="F266" s="0" t="s">
        <v>3531</v>
      </c>
      <c r="G266" s="0" t="s">
        <v>4256</v>
      </c>
    </row>
    <row customHeight="1" ht="11.25">
      <c r="A267" s="373" t="s">
        <v>14</v>
      </c>
      <c r="B267" s="0" t="s">
        <v>4246</v>
      </c>
      <c r="C267" s="0" t="s">
        <v>4247</v>
      </c>
      <c r="D267" s="0" t="s">
        <v>4257</v>
      </c>
      <c r="E267" s="0" t="s">
        <v>4258</v>
      </c>
      <c r="F267" s="0" t="s">
        <v>3531</v>
      </c>
      <c r="G267" s="0" t="s">
        <v>4259</v>
      </c>
    </row>
    <row customHeight="1" ht="11.25">
      <c r="A268" s="373" t="s">
        <v>14</v>
      </c>
      <c r="B268" s="0" t="s">
        <v>4246</v>
      </c>
      <c r="C268" s="0" t="s">
        <v>4247</v>
      </c>
      <c r="D268" s="0" t="s">
        <v>4260</v>
      </c>
      <c r="E268" s="0" t="s">
        <v>4261</v>
      </c>
      <c r="F268" s="0" t="s">
        <v>3531</v>
      </c>
      <c r="G268" s="0" t="s">
        <v>4262</v>
      </c>
    </row>
    <row customHeight="1" ht="11.25">
      <c r="A269" s="373" t="s">
        <v>14</v>
      </c>
      <c r="B269" s="0" t="s">
        <v>4246</v>
      </c>
      <c r="C269" s="0" t="s">
        <v>4247</v>
      </c>
      <c r="D269" s="0" t="s">
        <v>4263</v>
      </c>
      <c r="E269" s="0" t="s">
        <v>4264</v>
      </c>
      <c r="F269" s="0" t="s">
        <v>3531</v>
      </c>
      <c r="G269" s="0" t="s">
        <v>4265</v>
      </c>
    </row>
    <row customHeight="1" ht="11.25">
      <c r="A270" s="373" t="s">
        <v>14</v>
      </c>
      <c r="B270" s="0" t="s">
        <v>4246</v>
      </c>
      <c r="C270" s="0" t="s">
        <v>4247</v>
      </c>
      <c r="D270" s="0" t="s">
        <v>3655</v>
      </c>
      <c r="E270" s="0" t="s">
        <v>4266</v>
      </c>
      <c r="F270" s="0" t="s">
        <v>3531</v>
      </c>
      <c r="G270" s="0" t="s">
        <v>4267</v>
      </c>
    </row>
    <row customHeight="1" ht="11.25">
      <c r="A271" s="373" t="s">
        <v>14</v>
      </c>
      <c r="B271" s="0" t="s">
        <v>4246</v>
      </c>
      <c r="C271" s="0" t="s">
        <v>4247</v>
      </c>
      <c r="D271" s="0" t="s">
        <v>4268</v>
      </c>
      <c r="E271" s="0" t="s">
        <v>4269</v>
      </c>
      <c r="F271" s="0" t="s">
        <v>3531</v>
      </c>
      <c r="G271" s="0" t="s">
        <v>4270</v>
      </c>
    </row>
    <row customHeight="1" ht="11.25">
      <c r="A272" s="373" t="s">
        <v>14</v>
      </c>
      <c r="B272" s="0" t="s">
        <v>4246</v>
      </c>
      <c r="C272" s="0" t="s">
        <v>4247</v>
      </c>
      <c r="D272" s="0" t="s">
        <v>4246</v>
      </c>
      <c r="E272" s="0" t="s">
        <v>4247</v>
      </c>
      <c r="F272" s="0" t="s">
        <v>3532</v>
      </c>
      <c r="G272" s="0" t="s">
        <v>4271</v>
      </c>
    </row>
    <row customHeight="1" ht="11.25">
      <c r="A273" s="373" t="s">
        <v>14</v>
      </c>
      <c r="B273" s="0" t="s">
        <v>4246</v>
      </c>
      <c r="C273" s="0" t="s">
        <v>4247</v>
      </c>
      <c r="D273" s="0" t="s">
        <v>4272</v>
      </c>
      <c r="E273" s="0" t="s">
        <v>4273</v>
      </c>
      <c r="F273" s="0" t="s">
        <v>3531</v>
      </c>
      <c r="G273" s="0" t="s">
        <v>4274</v>
      </c>
    </row>
    <row customHeight="1" ht="11.25">
      <c r="A274" s="373" t="s">
        <v>14</v>
      </c>
      <c r="B274" s="0" t="s">
        <v>4246</v>
      </c>
      <c r="C274" s="0" t="s">
        <v>4247</v>
      </c>
      <c r="D274" s="0" t="s">
        <v>4275</v>
      </c>
      <c r="E274" s="0" t="s">
        <v>4276</v>
      </c>
      <c r="F274" s="0" t="s">
        <v>3531</v>
      </c>
      <c r="G274" s="0" t="s">
        <v>4277</v>
      </c>
    </row>
    <row customHeight="1" ht="11.25">
      <c r="A275" s="373" t="s">
        <v>14</v>
      </c>
      <c r="B275" s="0" t="s">
        <v>4246</v>
      </c>
      <c r="C275" s="0" t="s">
        <v>4247</v>
      </c>
      <c r="D275" s="0" t="s">
        <v>4278</v>
      </c>
      <c r="E275" s="0" t="s">
        <v>4279</v>
      </c>
      <c r="F275" s="0" t="s">
        <v>3531</v>
      </c>
      <c r="G275" s="0" t="s">
        <v>4280</v>
      </c>
    </row>
    <row customHeight="1" ht="11.25">
      <c r="A276" s="373" t="s">
        <v>14</v>
      </c>
      <c r="B276" s="0" t="s">
        <v>4246</v>
      </c>
      <c r="C276" s="0" t="s">
        <v>4247</v>
      </c>
      <c r="D276" s="0" t="s">
        <v>4281</v>
      </c>
      <c r="E276" s="0" t="s">
        <v>4282</v>
      </c>
      <c r="F276" s="0" t="s">
        <v>3531</v>
      </c>
      <c r="G276" s="0" t="s">
        <v>4283</v>
      </c>
    </row>
    <row customHeight="1" ht="11.25">
      <c r="A277" s="373" t="s">
        <v>14</v>
      </c>
      <c r="B277" s="0" t="s">
        <v>4246</v>
      </c>
      <c r="C277" s="0" t="s">
        <v>4247</v>
      </c>
      <c r="D277" s="0" t="s">
        <v>4284</v>
      </c>
      <c r="E277" s="0" t="s">
        <v>4285</v>
      </c>
      <c r="F277" s="0" t="s">
        <v>3531</v>
      </c>
      <c r="G277" s="0" t="s">
        <v>4286</v>
      </c>
    </row>
    <row customHeight="1" ht="11.25">
      <c r="A278" s="373" t="s">
        <v>14</v>
      </c>
      <c r="B278" s="0" t="s">
        <v>4246</v>
      </c>
      <c r="C278" s="0" t="s">
        <v>4247</v>
      </c>
      <c r="D278" s="0" t="s">
        <v>4287</v>
      </c>
      <c r="E278" s="0" t="s">
        <v>4288</v>
      </c>
      <c r="F278" s="0" t="s">
        <v>3531</v>
      </c>
      <c r="G278" s="0" t="s">
        <v>4289</v>
      </c>
    </row>
    <row customHeight="1" ht="11.25">
      <c r="A279" s="373" t="s">
        <v>14</v>
      </c>
      <c r="B279" s="0" t="s">
        <v>4246</v>
      </c>
      <c r="C279" s="0" t="s">
        <v>4247</v>
      </c>
      <c r="D279" s="0" t="s">
        <v>4290</v>
      </c>
      <c r="E279" s="0" t="s">
        <v>4291</v>
      </c>
      <c r="F279" s="0" t="s">
        <v>3531</v>
      </c>
      <c r="G279" s="0" t="s">
        <v>4292</v>
      </c>
    </row>
    <row customHeight="1" ht="11.25">
      <c r="A280" s="373" t="s">
        <v>14</v>
      </c>
      <c r="B280" s="0" t="s">
        <v>4246</v>
      </c>
      <c r="C280" s="0" t="s">
        <v>4247</v>
      </c>
      <c r="D280" s="0" t="s">
        <v>4293</v>
      </c>
      <c r="E280" s="0" t="s">
        <v>4294</v>
      </c>
      <c r="F280" s="0" t="s">
        <v>3531</v>
      </c>
      <c r="G280" s="0" t="s">
        <v>4295</v>
      </c>
    </row>
    <row customHeight="1" ht="11.25">
      <c r="A281" s="373" t="s">
        <v>14</v>
      </c>
      <c r="B281" s="0" t="s">
        <v>4246</v>
      </c>
      <c r="C281" s="0" t="s">
        <v>4247</v>
      </c>
      <c r="D281" s="0" t="s">
        <v>4296</v>
      </c>
      <c r="E281" s="0" t="s">
        <v>4297</v>
      </c>
      <c r="F281" s="0" t="s">
        <v>3531</v>
      </c>
      <c r="G281" s="0" t="s">
        <v>4298</v>
      </c>
    </row>
    <row customHeight="1" ht="11.25">
      <c r="A282" s="373" t="s">
        <v>14</v>
      </c>
      <c r="B282" s="0" t="s">
        <v>4299</v>
      </c>
      <c r="C282" s="0" t="s">
        <v>4300</v>
      </c>
      <c r="D282" s="0" t="s">
        <v>4301</v>
      </c>
      <c r="E282" s="0" t="s">
        <v>4302</v>
      </c>
      <c r="F282" s="0" t="s">
        <v>3531</v>
      </c>
      <c r="G282" s="0" t="s">
        <v>4303</v>
      </c>
    </row>
    <row customHeight="1" ht="11.25">
      <c r="A283" s="373" t="s">
        <v>14</v>
      </c>
      <c r="B283" s="0" t="s">
        <v>4299</v>
      </c>
      <c r="C283" s="0" t="s">
        <v>4300</v>
      </c>
      <c r="D283" s="0" t="s">
        <v>4304</v>
      </c>
      <c r="E283" s="0" t="s">
        <v>4305</v>
      </c>
      <c r="F283" s="0" t="s">
        <v>3531</v>
      </c>
      <c r="G283" s="0" t="s">
        <v>4306</v>
      </c>
    </row>
    <row customHeight="1" ht="11.25">
      <c r="A284" s="373" t="s">
        <v>14</v>
      </c>
      <c r="B284" s="0" t="s">
        <v>4299</v>
      </c>
      <c r="C284" s="0" t="s">
        <v>4300</v>
      </c>
      <c r="D284" s="0" t="s">
        <v>4307</v>
      </c>
      <c r="E284" s="0" t="s">
        <v>4308</v>
      </c>
      <c r="F284" s="0" t="s">
        <v>3531</v>
      </c>
      <c r="G284" s="0" t="s">
        <v>4309</v>
      </c>
    </row>
    <row customHeight="1" ht="11.25">
      <c r="A285" s="373" t="s">
        <v>14</v>
      </c>
      <c r="B285" s="0" t="s">
        <v>4299</v>
      </c>
      <c r="C285" s="0" t="s">
        <v>4300</v>
      </c>
      <c r="D285" s="0" t="s">
        <v>4310</v>
      </c>
      <c r="E285" s="0" t="s">
        <v>4311</v>
      </c>
      <c r="F285" s="0" t="s">
        <v>3531</v>
      </c>
      <c r="G285" s="0" t="s">
        <v>4312</v>
      </c>
    </row>
    <row customHeight="1" ht="11.25">
      <c r="A286" s="373" t="s">
        <v>14</v>
      </c>
      <c r="B286" s="0" t="s">
        <v>4299</v>
      </c>
      <c r="C286" s="0" t="s">
        <v>4300</v>
      </c>
      <c r="D286" s="0" t="s">
        <v>4313</v>
      </c>
      <c r="E286" s="0" t="s">
        <v>4314</v>
      </c>
      <c r="F286" s="0" t="s">
        <v>3531</v>
      </c>
      <c r="G286" s="0" t="s">
        <v>4315</v>
      </c>
    </row>
    <row customHeight="1" ht="11.25">
      <c r="A287" s="373" t="s">
        <v>14</v>
      </c>
      <c r="B287" s="0" t="s">
        <v>4299</v>
      </c>
      <c r="C287" s="0" t="s">
        <v>4300</v>
      </c>
      <c r="D287" s="0" t="s">
        <v>4299</v>
      </c>
      <c r="E287" s="0" t="s">
        <v>4300</v>
      </c>
      <c r="F287" s="0" t="s">
        <v>3532</v>
      </c>
      <c r="G287" s="0" t="s">
        <v>4316</v>
      </c>
    </row>
    <row customHeight="1" ht="11.25">
      <c r="A288" s="373" t="s">
        <v>14</v>
      </c>
      <c r="B288" s="0" t="s">
        <v>4299</v>
      </c>
      <c r="C288" s="0" t="s">
        <v>4300</v>
      </c>
      <c r="D288" s="0" t="s">
        <v>4317</v>
      </c>
      <c r="E288" s="0" t="s">
        <v>4318</v>
      </c>
      <c r="F288" s="0" t="s">
        <v>3531</v>
      </c>
      <c r="G288" s="0" t="s">
        <v>4319</v>
      </c>
    </row>
    <row customHeight="1" ht="11.25">
      <c r="A289" s="373" t="s">
        <v>14</v>
      </c>
      <c r="B289" s="0" t="s">
        <v>4299</v>
      </c>
      <c r="C289" s="0" t="s">
        <v>4300</v>
      </c>
      <c r="D289" s="0" t="s">
        <v>4320</v>
      </c>
      <c r="E289" s="0" t="s">
        <v>4321</v>
      </c>
      <c r="F289" s="0" t="s">
        <v>3531</v>
      </c>
      <c r="G289" s="0" t="s">
        <v>4322</v>
      </c>
    </row>
    <row customHeight="1" ht="11.25">
      <c r="A290" s="373" t="s">
        <v>14</v>
      </c>
      <c r="B290" s="0" t="s">
        <v>4299</v>
      </c>
      <c r="C290" s="0" t="s">
        <v>4300</v>
      </c>
      <c r="D290" s="0" t="s">
        <v>4323</v>
      </c>
      <c r="E290" s="0" t="s">
        <v>4324</v>
      </c>
      <c r="F290" s="0" t="s">
        <v>3531</v>
      </c>
      <c r="G290" s="0" t="s">
        <v>4325</v>
      </c>
    </row>
    <row customHeight="1" ht="11.25">
      <c r="A291" s="373" t="s">
        <v>14</v>
      </c>
      <c r="B291" s="0" t="s">
        <v>4299</v>
      </c>
      <c r="C291" s="0" t="s">
        <v>4300</v>
      </c>
      <c r="D291" s="0" t="s">
        <v>4326</v>
      </c>
      <c r="E291" s="0" t="s">
        <v>4327</v>
      </c>
      <c r="F291" s="0" t="s">
        <v>3531</v>
      </c>
      <c r="G291" s="0" t="s">
        <v>4328</v>
      </c>
    </row>
    <row customHeight="1" ht="11.25">
      <c r="A292" s="373" t="s">
        <v>14</v>
      </c>
      <c r="B292" s="0" t="s">
        <v>4329</v>
      </c>
      <c r="C292" s="0" t="s">
        <v>4330</v>
      </c>
      <c r="D292" s="0" t="s">
        <v>4331</v>
      </c>
      <c r="E292" s="0" t="s">
        <v>4332</v>
      </c>
      <c r="F292" s="0" t="s">
        <v>3531</v>
      </c>
      <c r="G292" s="0" t="s">
        <v>4333</v>
      </c>
    </row>
    <row customHeight="1" ht="11.25">
      <c r="A293" s="373" t="s">
        <v>14</v>
      </c>
      <c r="B293" s="0" t="s">
        <v>4329</v>
      </c>
      <c r="C293" s="0" t="s">
        <v>4330</v>
      </c>
      <c r="D293" s="0" t="s">
        <v>4334</v>
      </c>
      <c r="E293" s="0" t="s">
        <v>4335</v>
      </c>
      <c r="F293" s="0" t="s">
        <v>3531</v>
      </c>
      <c r="G293" s="0" t="s">
        <v>4336</v>
      </c>
    </row>
    <row customHeight="1" ht="11.25">
      <c r="A294" s="373" t="s">
        <v>14</v>
      </c>
      <c r="B294" s="0" t="s">
        <v>4329</v>
      </c>
      <c r="C294" s="0" t="s">
        <v>4330</v>
      </c>
      <c r="D294" s="0" t="s">
        <v>4337</v>
      </c>
      <c r="E294" s="0" t="s">
        <v>4338</v>
      </c>
      <c r="F294" s="0" t="s">
        <v>3531</v>
      </c>
      <c r="G294" s="0" t="s">
        <v>4339</v>
      </c>
    </row>
    <row customHeight="1" ht="11.25">
      <c r="A295" s="373" t="s">
        <v>14</v>
      </c>
      <c r="B295" s="0" t="s">
        <v>4329</v>
      </c>
      <c r="C295" s="0" t="s">
        <v>4330</v>
      </c>
      <c r="D295" s="0" t="s">
        <v>4340</v>
      </c>
      <c r="E295" s="0" t="s">
        <v>4341</v>
      </c>
      <c r="F295" s="0" t="s">
        <v>3531</v>
      </c>
      <c r="G295" s="0" t="s">
        <v>4342</v>
      </c>
    </row>
    <row customHeight="1" ht="11.25">
      <c r="A296" s="373" t="s">
        <v>14</v>
      </c>
      <c r="B296" s="0" t="s">
        <v>4329</v>
      </c>
      <c r="C296" s="0" t="s">
        <v>4330</v>
      </c>
      <c r="D296" s="0" t="s">
        <v>4304</v>
      </c>
      <c r="E296" s="0" t="s">
        <v>4343</v>
      </c>
      <c r="F296" s="0" t="s">
        <v>3531</v>
      </c>
      <c r="G296" s="0" t="s">
        <v>4344</v>
      </c>
    </row>
    <row customHeight="1" ht="11.25">
      <c r="A297" s="373" t="s">
        <v>14</v>
      </c>
      <c r="B297" s="0" t="s">
        <v>4329</v>
      </c>
      <c r="C297" s="0" t="s">
        <v>4330</v>
      </c>
      <c r="D297" s="0" t="s">
        <v>4345</v>
      </c>
      <c r="E297" s="0" t="s">
        <v>4346</v>
      </c>
      <c r="F297" s="0" t="s">
        <v>3531</v>
      </c>
      <c r="G297" s="0" t="s">
        <v>4347</v>
      </c>
    </row>
    <row customHeight="1" ht="11.25">
      <c r="A298" s="373" t="s">
        <v>14</v>
      </c>
      <c r="B298" s="0" t="s">
        <v>4329</v>
      </c>
      <c r="C298" s="0" t="s">
        <v>4330</v>
      </c>
      <c r="D298" s="0" t="s">
        <v>4348</v>
      </c>
      <c r="E298" s="0" t="s">
        <v>4349</v>
      </c>
      <c r="F298" s="0" t="s">
        <v>3531</v>
      </c>
      <c r="G298" s="0" t="s">
        <v>4350</v>
      </c>
    </row>
    <row customHeight="1" ht="11.25">
      <c r="A299" s="373" t="s">
        <v>14</v>
      </c>
      <c r="B299" s="0" t="s">
        <v>4329</v>
      </c>
      <c r="C299" s="0" t="s">
        <v>4330</v>
      </c>
      <c r="D299" s="0" t="s">
        <v>4329</v>
      </c>
      <c r="E299" s="0" t="s">
        <v>4330</v>
      </c>
      <c r="F299" s="0" t="s">
        <v>3532</v>
      </c>
      <c r="G299" s="0" t="s">
        <v>4351</v>
      </c>
    </row>
    <row customHeight="1" ht="11.25">
      <c r="A300" s="373" t="s">
        <v>14</v>
      </c>
      <c r="B300" s="0" t="s">
        <v>4329</v>
      </c>
      <c r="C300" s="0" t="s">
        <v>4330</v>
      </c>
      <c r="D300" s="0" t="s">
        <v>4352</v>
      </c>
      <c r="E300" s="0" t="s">
        <v>4353</v>
      </c>
      <c r="F300" s="0" t="s">
        <v>3531</v>
      </c>
      <c r="G300" s="0" t="s">
        <v>4354</v>
      </c>
    </row>
    <row customHeight="1" ht="11.25">
      <c r="A301" s="373" t="s">
        <v>14</v>
      </c>
      <c r="B301" s="0" t="s">
        <v>4355</v>
      </c>
      <c r="C301" s="0" t="s">
        <v>4356</v>
      </c>
      <c r="D301" s="0" t="s">
        <v>4357</v>
      </c>
      <c r="E301" s="0" t="s">
        <v>4358</v>
      </c>
      <c r="F301" s="0" t="s">
        <v>3531</v>
      </c>
      <c r="G301" s="0" t="s">
        <v>4359</v>
      </c>
    </row>
    <row customHeight="1" ht="11.25">
      <c r="A302" s="373" t="s">
        <v>14</v>
      </c>
      <c r="B302" s="0" t="s">
        <v>4355</v>
      </c>
      <c r="C302" s="0" t="s">
        <v>4356</v>
      </c>
      <c r="D302" s="0" t="s">
        <v>4360</v>
      </c>
      <c r="E302" s="0" t="s">
        <v>4361</v>
      </c>
      <c r="F302" s="0" t="s">
        <v>3531</v>
      </c>
      <c r="G302" s="0" t="s">
        <v>4362</v>
      </c>
    </row>
    <row customHeight="1" ht="11.25">
      <c r="A303" s="373" t="s">
        <v>14</v>
      </c>
      <c r="B303" s="0" t="s">
        <v>4355</v>
      </c>
      <c r="C303" s="0" t="s">
        <v>4356</v>
      </c>
      <c r="D303" s="0" t="s">
        <v>4363</v>
      </c>
      <c r="E303" s="0" t="s">
        <v>4364</v>
      </c>
      <c r="F303" s="0" t="s">
        <v>3531</v>
      </c>
      <c r="G303" s="0" t="s">
        <v>4365</v>
      </c>
    </row>
    <row customHeight="1" ht="11.25">
      <c r="A304" s="373" t="s">
        <v>14</v>
      </c>
      <c r="B304" s="0" t="s">
        <v>4355</v>
      </c>
      <c r="C304" s="0" t="s">
        <v>4356</v>
      </c>
      <c r="D304" s="0" t="s">
        <v>4366</v>
      </c>
      <c r="E304" s="0" t="s">
        <v>4367</v>
      </c>
      <c r="F304" s="0" t="s">
        <v>3531</v>
      </c>
      <c r="G304" s="0" t="s">
        <v>4368</v>
      </c>
    </row>
    <row customHeight="1" ht="11.25">
      <c r="A305" s="373" t="s">
        <v>14</v>
      </c>
      <c r="B305" s="0" t="s">
        <v>4355</v>
      </c>
      <c r="C305" s="0" t="s">
        <v>4356</v>
      </c>
      <c r="D305" s="0" t="s">
        <v>4369</v>
      </c>
      <c r="E305" s="0" t="s">
        <v>4370</v>
      </c>
      <c r="F305" s="0" t="s">
        <v>3531</v>
      </c>
      <c r="G305" s="0" t="s">
        <v>4371</v>
      </c>
    </row>
    <row customHeight="1" ht="11.25">
      <c r="A306" s="373" t="s">
        <v>14</v>
      </c>
      <c r="B306" s="0" t="s">
        <v>4355</v>
      </c>
      <c r="C306" s="0" t="s">
        <v>4356</v>
      </c>
      <c r="D306" s="0" t="s">
        <v>4372</v>
      </c>
      <c r="E306" s="0" t="s">
        <v>4373</v>
      </c>
      <c r="F306" s="0" t="s">
        <v>3531</v>
      </c>
      <c r="G306" s="0" t="s">
        <v>4374</v>
      </c>
    </row>
    <row customHeight="1" ht="11.25">
      <c r="A307" s="373" t="s">
        <v>14</v>
      </c>
      <c r="B307" s="0" t="s">
        <v>4355</v>
      </c>
      <c r="C307" s="0" t="s">
        <v>4356</v>
      </c>
      <c r="D307" s="0" t="s">
        <v>4375</v>
      </c>
      <c r="E307" s="0" t="s">
        <v>4376</v>
      </c>
      <c r="F307" s="0" t="s">
        <v>3531</v>
      </c>
      <c r="G307" s="0" t="s">
        <v>4377</v>
      </c>
    </row>
    <row customHeight="1" ht="11.25">
      <c r="A308" s="373" t="s">
        <v>14</v>
      </c>
      <c r="B308" s="0" t="s">
        <v>4355</v>
      </c>
      <c r="C308" s="0" t="s">
        <v>4356</v>
      </c>
      <c r="D308" s="0" t="s">
        <v>4378</v>
      </c>
      <c r="E308" s="0" t="s">
        <v>4379</v>
      </c>
      <c r="F308" s="0" t="s">
        <v>3531</v>
      </c>
      <c r="G308" s="0" t="s">
        <v>4380</v>
      </c>
    </row>
    <row customHeight="1" ht="11.25">
      <c r="A309" s="373" t="s">
        <v>14</v>
      </c>
      <c r="B309" s="0" t="s">
        <v>4355</v>
      </c>
      <c r="C309" s="0" t="s">
        <v>4356</v>
      </c>
      <c r="D309" s="0" t="s">
        <v>4381</v>
      </c>
      <c r="E309" s="0" t="s">
        <v>4382</v>
      </c>
      <c r="F309" s="0" t="s">
        <v>3531</v>
      </c>
      <c r="G309" s="0" t="s">
        <v>4383</v>
      </c>
    </row>
    <row customHeight="1" ht="11.25">
      <c r="A310" s="373" t="s">
        <v>14</v>
      </c>
      <c r="B310" s="0" t="s">
        <v>4355</v>
      </c>
      <c r="C310" s="0" t="s">
        <v>4356</v>
      </c>
      <c r="D310" s="0" t="s">
        <v>4384</v>
      </c>
      <c r="E310" s="0" t="s">
        <v>4385</v>
      </c>
      <c r="F310" s="0" t="s">
        <v>3531</v>
      </c>
      <c r="G310" s="0" t="s">
        <v>4386</v>
      </c>
    </row>
    <row customHeight="1" ht="11.25">
      <c r="A311" s="373" t="s">
        <v>14</v>
      </c>
      <c r="B311" s="0" t="s">
        <v>4355</v>
      </c>
      <c r="C311" s="0" t="s">
        <v>4356</v>
      </c>
      <c r="D311" s="0" t="s">
        <v>4387</v>
      </c>
      <c r="E311" s="0" t="s">
        <v>4388</v>
      </c>
      <c r="F311" s="0" t="s">
        <v>3531</v>
      </c>
      <c r="G311" s="0" t="s">
        <v>4389</v>
      </c>
    </row>
    <row customHeight="1" ht="11.25">
      <c r="A312" s="373" t="s">
        <v>14</v>
      </c>
      <c r="B312" s="0" t="s">
        <v>4355</v>
      </c>
      <c r="C312" s="0" t="s">
        <v>4356</v>
      </c>
      <c r="D312" s="0" t="s">
        <v>4390</v>
      </c>
      <c r="E312" s="0" t="s">
        <v>4391</v>
      </c>
      <c r="F312" s="0" t="s">
        <v>3531</v>
      </c>
      <c r="G312" s="0" t="s">
        <v>4392</v>
      </c>
    </row>
    <row customHeight="1" ht="11.25">
      <c r="A313" s="373" t="s">
        <v>14</v>
      </c>
      <c r="B313" s="0" t="s">
        <v>4355</v>
      </c>
      <c r="C313" s="0" t="s">
        <v>4356</v>
      </c>
      <c r="D313" s="0" t="s">
        <v>4393</v>
      </c>
      <c r="E313" s="0" t="s">
        <v>4394</v>
      </c>
      <c r="F313" s="0" t="s">
        <v>3531</v>
      </c>
      <c r="G313" s="0" t="s">
        <v>4395</v>
      </c>
    </row>
    <row customHeight="1" ht="11.25">
      <c r="A314" s="373" t="s">
        <v>14</v>
      </c>
      <c r="B314" s="0" t="s">
        <v>4355</v>
      </c>
      <c r="C314" s="0" t="s">
        <v>4356</v>
      </c>
      <c r="D314" s="0" t="s">
        <v>4355</v>
      </c>
      <c r="E314" s="0" t="s">
        <v>4356</v>
      </c>
      <c r="F314" s="0" t="s">
        <v>3532</v>
      </c>
      <c r="G314" s="0" t="s">
        <v>4396</v>
      </c>
    </row>
    <row customHeight="1" ht="11.25">
      <c r="A315" s="373" t="s">
        <v>14</v>
      </c>
      <c r="B315" s="0" t="s">
        <v>4355</v>
      </c>
      <c r="C315" s="0" t="s">
        <v>4356</v>
      </c>
      <c r="D315" s="0" t="s">
        <v>4397</v>
      </c>
      <c r="E315" s="0" t="s">
        <v>4398</v>
      </c>
      <c r="F315" s="0" t="s">
        <v>3531</v>
      </c>
      <c r="G315" s="0" t="s">
        <v>4399</v>
      </c>
    </row>
    <row customHeight="1" ht="11.25">
      <c r="A316" s="373" t="s">
        <v>14</v>
      </c>
      <c r="B316" s="0" t="s">
        <v>4355</v>
      </c>
      <c r="C316" s="0" t="s">
        <v>4356</v>
      </c>
      <c r="D316" s="0" t="s">
        <v>4400</v>
      </c>
      <c r="E316" s="0" t="s">
        <v>4401</v>
      </c>
      <c r="F316" s="0" t="s">
        <v>3531</v>
      </c>
      <c r="G316" s="0" t="s">
        <v>4402</v>
      </c>
    </row>
    <row customHeight="1" ht="11.25">
      <c r="A317" s="373" t="s">
        <v>14</v>
      </c>
      <c r="B317" s="0" t="s">
        <v>4355</v>
      </c>
      <c r="C317" s="0" t="s">
        <v>4356</v>
      </c>
      <c r="D317" s="0" t="s">
        <v>4403</v>
      </c>
      <c r="E317" s="0" t="s">
        <v>4404</v>
      </c>
      <c r="F317" s="0" t="s">
        <v>3531</v>
      </c>
      <c r="G317" s="0" t="s">
        <v>4405</v>
      </c>
    </row>
    <row customHeight="1" ht="11.25">
      <c r="A318" s="373" t="s">
        <v>14</v>
      </c>
      <c r="B318" s="0" t="s">
        <v>4355</v>
      </c>
      <c r="C318" s="0" t="s">
        <v>4356</v>
      </c>
      <c r="D318" s="0" t="s">
        <v>4406</v>
      </c>
      <c r="E318" s="0" t="s">
        <v>4407</v>
      </c>
      <c r="F318" s="0" t="s">
        <v>3531</v>
      </c>
      <c r="G318" s="0" t="s">
        <v>4408</v>
      </c>
    </row>
    <row customHeight="1" ht="11.25">
      <c r="A319" s="373" t="s">
        <v>14</v>
      </c>
      <c r="B319" s="0" t="s">
        <v>4409</v>
      </c>
      <c r="C319" s="0" t="s">
        <v>4410</v>
      </c>
      <c r="D319" s="0" t="s">
        <v>4411</v>
      </c>
      <c r="E319" s="0" t="s">
        <v>4412</v>
      </c>
      <c r="F319" s="0" t="s">
        <v>3531</v>
      </c>
      <c r="G319" s="0" t="s">
        <v>4413</v>
      </c>
    </row>
    <row customHeight="1" ht="11.25">
      <c r="A320" s="373" t="s">
        <v>14</v>
      </c>
      <c r="B320" s="0" t="s">
        <v>4409</v>
      </c>
      <c r="C320" s="0" t="s">
        <v>4410</v>
      </c>
      <c r="D320" s="0" t="s">
        <v>4414</v>
      </c>
      <c r="E320" s="0" t="s">
        <v>4415</v>
      </c>
      <c r="F320" s="0" t="s">
        <v>3531</v>
      </c>
      <c r="G320" s="0" t="s">
        <v>4416</v>
      </c>
    </row>
    <row customHeight="1" ht="11.25">
      <c r="A321" s="373" t="s">
        <v>14</v>
      </c>
      <c r="B321" s="0" t="s">
        <v>4409</v>
      </c>
      <c r="C321" s="0" t="s">
        <v>4410</v>
      </c>
      <c r="D321" s="0" t="s">
        <v>4417</v>
      </c>
      <c r="E321" s="0" t="s">
        <v>4418</v>
      </c>
      <c r="F321" s="0" t="s">
        <v>3531</v>
      </c>
      <c r="G321" s="0" t="s">
        <v>4419</v>
      </c>
    </row>
    <row customHeight="1" ht="11.25">
      <c r="A322" s="373" t="s">
        <v>14</v>
      </c>
      <c r="B322" s="0" t="s">
        <v>4409</v>
      </c>
      <c r="C322" s="0" t="s">
        <v>4410</v>
      </c>
      <c r="D322" s="0" t="s">
        <v>4420</v>
      </c>
      <c r="E322" s="0" t="s">
        <v>4421</v>
      </c>
      <c r="F322" s="0" t="s">
        <v>3531</v>
      </c>
      <c r="G322" s="0" t="s">
        <v>4422</v>
      </c>
    </row>
    <row customHeight="1" ht="11.25">
      <c r="A323" s="373" t="s">
        <v>14</v>
      </c>
      <c r="B323" s="0" t="s">
        <v>4409</v>
      </c>
      <c r="C323" s="0" t="s">
        <v>4410</v>
      </c>
      <c r="D323" s="0" t="s">
        <v>4423</v>
      </c>
      <c r="E323" s="0" t="s">
        <v>4424</v>
      </c>
      <c r="F323" s="0" t="s">
        <v>3531</v>
      </c>
      <c r="G323" s="0" t="s">
        <v>4425</v>
      </c>
    </row>
    <row customHeight="1" ht="11.25">
      <c r="A324" s="373" t="s">
        <v>14</v>
      </c>
      <c r="B324" s="0" t="s">
        <v>4409</v>
      </c>
      <c r="C324" s="0" t="s">
        <v>4410</v>
      </c>
      <c r="D324" s="0" t="s">
        <v>4426</v>
      </c>
      <c r="E324" s="0" t="s">
        <v>4427</v>
      </c>
      <c r="F324" s="0" t="s">
        <v>3531</v>
      </c>
      <c r="G324" s="0" t="s">
        <v>4428</v>
      </c>
    </row>
    <row customHeight="1" ht="11.25">
      <c r="A325" s="373" t="s">
        <v>14</v>
      </c>
      <c r="B325" s="0" t="s">
        <v>4409</v>
      </c>
      <c r="C325" s="0" t="s">
        <v>4410</v>
      </c>
      <c r="D325" s="0" t="s">
        <v>4429</v>
      </c>
      <c r="E325" s="0" t="s">
        <v>4430</v>
      </c>
      <c r="F325" s="0" t="s">
        <v>3531</v>
      </c>
      <c r="G325" s="0" t="s">
        <v>4431</v>
      </c>
    </row>
    <row customHeight="1" ht="11.25">
      <c r="A326" s="373" t="s">
        <v>14</v>
      </c>
      <c r="B326" s="0" t="s">
        <v>4409</v>
      </c>
      <c r="C326" s="0" t="s">
        <v>4410</v>
      </c>
      <c r="D326" s="0" t="s">
        <v>4432</v>
      </c>
      <c r="E326" s="0" t="s">
        <v>4433</v>
      </c>
      <c r="F326" s="0" t="s">
        <v>3531</v>
      </c>
      <c r="G326" s="0" t="s">
        <v>4434</v>
      </c>
    </row>
    <row customHeight="1" ht="11.25">
      <c r="A327" s="373" t="s">
        <v>14</v>
      </c>
      <c r="B327" s="0" t="s">
        <v>4409</v>
      </c>
      <c r="C327" s="0" t="s">
        <v>4410</v>
      </c>
      <c r="D327" s="0" t="s">
        <v>4435</v>
      </c>
      <c r="E327" s="0" t="s">
        <v>4436</v>
      </c>
      <c r="F327" s="0" t="s">
        <v>3531</v>
      </c>
      <c r="G327" s="0" t="s">
        <v>4437</v>
      </c>
    </row>
    <row customHeight="1" ht="11.25">
      <c r="A328" s="373" t="s">
        <v>14</v>
      </c>
      <c r="B328" s="0" t="s">
        <v>4409</v>
      </c>
      <c r="C328" s="0" t="s">
        <v>4410</v>
      </c>
      <c r="D328" s="0" t="s">
        <v>4438</v>
      </c>
      <c r="E328" s="0" t="s">
        <v>4439</v>
      </c>
      <c r="F328" s="0" t="s">
        <v>3531</v>
      </c>
      <c r="G328" s="0" t="s">
        <v>4440</v>
      </c>
    </row>
    <row customHeight="1" ht="11.25">
      <c r="A329" s="373" t="s">
        <v>14</v>
      </c>
      <c r="B329" s="0" t="s">
        <v>4409</v>
      </c>
      <c r="C329" s="0" t="s">
        <v>4410</v>
      </c>
      <c r="D329" s="0" t="s">
        <v>4441</v>
      </c>
      <c r="E329" s="0" t="s">
        <v>4442</v>
      </c>
      <c r="F329" s="0" t="s">
        <v>3531</v>
      </c>
      <c r="G329" s="0" t="s">
        <v>4443</v>
      </c>
    </row>
    <row customHeight="1" ht="11.25">
      <c r="A330" s="373" t="s">
        <v>14</v>
      </c>
      <c r="B330" s="0" t="s">
        <v>4409</v>
      </c>
      <c r="C330" s="0" t="s">
        <v>4410</v>
      </c>
      <c r="D330" s="0" t="s">
        <v>4444</v>
      </c>
      <c r="E330" s="0" t="s">
        <v>4445</v>
      </c>
      <c r="F330" s="0" t="s">
        <v>3531</v>
      </c>
      <c r="G330" s="0" t="s">
        <v>4446</v>
      </c>
    </row>
    <row customHeight="1" ht="11.25">
      <c r="A331" s="373" t="s">
        <v>14</v>
      </c>
      <c r="B331" s="0" t="s">
        <v>4409</v>
      </c>
      <c r="C331" s="0" t="s">
        <v>4410</v>
      </c>
      <c r="D331" s="0" t="s">
        <v>4447</v>
      </c>
      <c r="E331" s="0" t="s">
        <v>4448</v>
      </c>
      <c r="F331" s="0" t="s">
        <v>3531</v>
      </c>
      <c r="G331" s="0" t="s">
        <v>4449</v>
      </c>
    </row>
    <row customHeight="1" ht="11.25">
      <c r="A332" s="373" t="s">
        <v>14</v>
      </c>
      <c r="B332" s="0" t="s">
        <v>4409</v>
      </c>
      <c r="C332" s="0" t="s">
        <v>4410</v>
      </c>
      <c r="D332" s="0" t="s">
        <v>4450</v>
      </c>
      <c r="E332" s="0" t="s">
        <v>4451</v>
      </c>
      <c r="F332" s="0" t="s">
        <v>3531</v>
      </c>
      <c r="G332" s="0" t="s">
        <v>4452</v>
      </c>
    </row>
    <row customHeight="1" ht="11.25">
      <c r="A333" s="373" t="s">
        <v>14</v>
      </c>
      <c r="B333" s="0" t="s">
        <v>4409</v>
      </c>
      <c r="C333" s="0" t="s">
        <v>4410</v>
      </c>
      <c r="D333" s="0" t="s">
        <v>4409</v>
      </c>
      <c r="E333" s="0" t="s">
        <v>4410</v>
      </c>
      <c r="F333" s="0" t="s">
        <v>3532</v>
      </c>
      <c r="G333" s="0" t="s">
        <v>4453</v>
      </c>
    </row>
    <row customHeight="1" ht="11.25">
      <c r="A334" s="373" t="s">
        <v>14</v>
      </c>
      <c r="B334" s="0" t="s">
        <v>4409</v>
      </c>
      <c r="C334" s="0" t="s">
        <v>4410</v>
      </c>
      <c r="D334" s="0" t="s">
        <v>4454</v>
      </c>
      <c r="E334" s="0" t="s">
        <v>4455</v>
      </c>
      <c r="F334" s="0" t="s">
        <v>3531</v>
      </c>
      <c r="G334" s="0" t="s">
        <v>4456</v>
      </c>
    </row>
    <row customHeight="1" ht="11.25">
      <c r="A335" s="373" t="s">
        <v>14</v>
      </c>
      <c r="B335" s="0" t="s">
        <v>4457</v>
      </c>
      <c r="C335" s="0" t="s">
        <v>4458</v>
      </c>
      <c r="D335" s="0" t="s">
        <v>4459</v>
      </c>
      <c r="E335" s="0" t="s">
        <v>4460</v>
      </c>
      <c r="F335" s="0" t="s">
        <v>3531</v>
      </c>
      <c r="G335" s="0" t="s">
        <v>4461</v>
      </c>
    </row>
    <row customHeight="1" ht="11.25">
      <c r="A336" s="373" t="s">
        <v>14</v>
      </c>
      <c r="B336" s="0" t="s">
        <v>4457</v>
      </c>
      <c r="C336" s="0" t="s">
        <v>4458</v>
      </c>
      <c r="D336" s="0" t="s">
        <v>4462</v>
      </c>
      <c r="E336" s="0" t="s">
        <v>4463</v>
      </c>
      <c r="F336" s="0" t="s">
        <v>3531</v>
      </c>
      <c r="G336" s="0" t="s">
        <v>4464</v>
      </c>
    </row>
    <row customHeight="1" ht="11.25">
      <c r="A337" s="373" t="s">
        <v>14</v>
      </c>
      <c r="B337" s="0" t="s">
        <v>4457</v>
      </c>
      <c r="C337" s="0" t="s">
        <v>4458</v>
      </c>
      <c r="D337" s="0" t="s">
        <v>4465</v>
      </c>
      <c r="E337" s="0" t="s">
        <v>4466</v>
      </c>
      <c r="F337" s="0" t="s">
        <v>3531</v>
      </c>
      <c r="G337" s="0" t="s">
        <v>4467</v>
      </c>
    </row>
    <row customHeight="1" ht="11.25">
      <c r="A338" s="373" t="s">
        <v>14</v>
      </c>
      <c r="B338" s="0" t="s">
        <v>4457</v>
      </c>
      <c r="C338" s="0" t="s">
        <v>4458</v>
      </c>
      <c r="D338" s="0" t="s">
        <v>4468</v>
      </c>
      <c r="E338" s="0" t="s">
        <v>4469</v>
      </c>
      <c r="F338" s="0" t="s">
        <v>3531</v>
      </c>
      <c r="G338" s="0" t="s">
        <v>4470</v>
      </c>
    </row>
    <row customHeight="1" ht="11.25">
      <c r="A339" s="373" t="s">
        <v>14</v>
      </c>
      <c r="B339" s="0" t="s">
        <v>4457</v>
      </c>
      <c r="C339" s="0" t="s">
        <v>4458</v>
      </c>
      <c r="D339" s="0" t="s">
        <v>4471</v>
      </c>
      <c r="E339" s="0" t="s">
        <v>4472</v>
      </c>
      <c r="F339" s="0" t="s">
        <v>3531</v>
      </c>
      <c r="G339" s="0" t="s">
        <v>4473</v>
      </c>
    </row>
    <row customHeight="1" ht="11.25">
      <c r="A340" s="373" t="s">
        <v>14</v>
      </c>
      <c r="B340" s="0" t="s">
        <v>4457</v>
      </c>
      <c r="C340" s="0" t="s">
        <v>4458</v>
      </c>
      <c r="D340" s="0" t="s">
        <v>4474</v>
      </c>
      <c r="E340" s="0" t="s">
        <v>4475</v>
      </c>
      <c r="F340" s="0" t="s">
        <v>3531</v>
      </c>
      <c r="G340" s="0" t="s">
        <v>4476</v>
      </c>
    </row>
    <row customHeight="1" ht="11.25">
      <c r="A341" s="373" t="s">
        <v>14</v>
      </c>
      <c r="B341" s="0" t="s">
        <v>4457</v>
      </c>
      <c r="C341" s="0" t="s">
        <v>4458</v>
      </c>
      <c r="D341" s="0" t="s">
        <v>4477</v>
      </c>
      <c r="E341" s="0" t="s">
        <v>4478</v>
      </c>
      <c r="F341" s="0" t="s">
        <v>3531</v>
      </c>
      <c r="G341" s="0" t="s">
        <v>4479</v>
      </c>
    </row>
    <row customHeight="1" ht="11.25">
      <c r="A342" s="373" t="s">
        <v>14</v>
      </c>
      <c r="B342" s="0" t="s">
        <v>4457</v>
      </c>
      <c r="C342" s="0" t="s">
        <v>4458</v>
      </c>
      <c r="D342" s="0" t="s">
        <v>4457</v>
      </c>
      <c r="E342" s="0" t="s">
        <v>4458</v>
      </c>
      <c r="F342" s="0" t="s">
        <v>3532</v>
      </c>
      <c r="G342" s="0" t="s">
        <v>4480</v>
      </c>
    </row>
    <row customHeight="1" ht="11.25">
      <c r="A343" s="373" t="s">
        <v>14</v>
      </c>
      <c r="B343" s="0" t="s">
        <v>4457</v>
      </c>
      <c r="C343" s="0" t="s">
        <v>4458</v>
      </c>
      <c r="D343" s="0" t="s">
        <v>4481</v>
      </c>
      <c r="E343" s="0" t="s">
        <v>4482</v>
      </c>
      <c r="F343" s="0" t="s">
        <v>3531</v>
      </c>
      <c r="G343" s="0" t="s">
        <v>4483</v>
      </c>
    </row>
    <row customHeight="1" ht="11.25">
      <c r="A344" s="373" t="s">
        <v>14</v>
      </c>
      <c r="B344" s="0" t="s">
        <v>4484</v>
      </c>
      <c r="C344" s="0" t="s">
        <v>4485</v>
      </c>
      <c r="D344" s="0" t="s">
        <v>4486</v>
      </c>
      <c r="E344" s="0" t="s">
        <v>4487</v>
      </c>
      <c r="F344" s="0" t="s">
        <v>3531</v>
      </c>
      <c r="G344" s="0" t="s">
        <v>4488</v>
      </c>
    </row>
    <row customHeight="1" ht="11.25">
      <c r="A345" s="373" t="s">
        <v>14</v>
      </c>
      <c r="B345" s="0" t="s">
        <v>4484</v>
      </c>
      <c r="C345" s="0" t="s">
        <v>4485</v>
      </c>
      <c r="D345" s="0" t="s">
        <v>4489</v>
      </c>
      <c r="E345" s="0" t="s">
        <v>4490</v>
      </c>
      <c r="F345" s="0" t="s">
        <v>3531</v>
      </c>
      <c r="G345" s="0" t="s">
        <v>4491</v>
      </c>
    </row>
    <row customHeight="1" ht="11.25">
      <c r="A346" s="373" t="s">
        <v>14</v>
      </c>
      <c r="B346" s="0" t="s">
        <v>4484</v>
      </c>
      <c r="C346" s="0" t="s">
        <v>4485</v>
      </c>
      <c r="D346" s="0" t="s">
        <v>4492</v>
      </c>
      <c r="E346" s="0" t="s">
        <v>4493</v>
      </c>
      <c r="F346" s="0" t="s">
        <v>3531</v>
      </c>
      <c r="G346" s="0" t="s">
        <v>4494</v>
      </c>
    </row>
    <row customHeight="1" ht="11.25">
      <c r="A347" s="373" t="s">
        <v>14</v>
      </c>
      <c r="B347" s="0" t="s">
        <v>4484</v>
      </c>
      <c r="C347" s="0" t="s">
        <v>4485</v>
      </c>
      <c r="D347" s="0" t="s">
        <v>4495</v>
      </c>
      <c r="E347" s="0" t="s">
        <v>4496</v>
      </c>
      <c r="F347" s="0" t="s">
        <v>3531</v>
      </c>
      <c r="G347" s="0" t="s">
        <v>4497</v>
      </c>
    </row>
    <row customHeight="1" ht="11.25">
      <c r="A348" s="373" t="s">
        <v>14</v>
      </c>
      <c r="B348" s="0" t="s">
        <v>4484</v>
      </c>
      <c r="C348" s="0" t="s">
        <v>4485</v>
      </c>
      <c r="D348" s="0" t="s">
        <v>4498</v>
      </c>
      <c r="E348" s="0" t="s">
        <v>4499</v>
      </c>
      <c r="F348" s="0" t="s">
        <v>3531</v>
      </c>
      <c r="G348" s="0" t="s">
        <v>4500</v>
      </c>
    </row>
    <row customHeight="1" ht="11.25">
      <c r="A349" s="373" t="s">
        <v>14</v>
      </c>
      <c r="B349" s="0" t="s">
        <v>4484</v>
      </c>
      <c r="C349" s="0" t="s">
        <v>4485</v>
      </c>
      <c r="D349" s="0" t="s">
        <v>4501</v>
      </c>
      <c r="E349" s="0" t="s">
        <v>4502</v>
      </c>
      <c r="F349" s="0" t="s">
        <v>3531</v>
      </c>
      <c r="G349" s="0" t="s">
        <v>4503</v>
      </c>
    </row>
    <row customHeight="1" ht="11.25">
      <c r="A350" s="373" t="s">
        <v>14</v>
      </c>
      <c r="B350" s="0" t="s">
        <v>4484</v>
      </c>
      <c r="C350" s="0" t="s">
        <v>4485</v>
      </c>
      <c r="D350" s="0" t="s">
        <v>4504</v>
      </c>
      <c r="E350" s="0" t="s">
        <v>4505</v>
      </c>
      <c r="F350" s="0" t="s">
        <v>3531</v>
      </c>
      <c r="G350" s="0" t="s">
        <v>4506</v>
      </c>
    </row>
    <row customHeight="1" ht="11.25">
      <c r="A351" s="373" t="s">
        <v>14</v>
      </c>
      <c r="B351" s="0" t="s">
        <v>4484</v>
      </c>
      <c r="C351" s="0" t="s">
        <v>4485</v>
      </c>
      <c r="D351" s="0" t="s">
        <v>4507</v>
      </c>
      <c r="E351" s="0" t="s">
        <v>4508</v>
      </c>
      <c r="F351" s="0" t="s">
        <v>3531</v>
      </c>
      <c r="G351" s="0" t="s">
        <v>4509</v>
      </c>
    </row>
    <row customHeight="1" ht="11.25">
      <c r="A352" s="373" t="s">
        <v>14</v>
      </c>
      <c r="B352" s="0" t="s">
        <v>4484</v>
      </c>
      <c r="C352" s="0" t="s">
        <v>4485</v>
      </c>
      <c r="D352" s="0" t="s">
        <v>4510</v>
      </c>
      <c r="E352" s="0" t="s">
        <v>4511</v>
      </c>
      <c r="F352" s="0" t="s">
        <v>3531</v>
      </c>
      <c r="G352" s="0" t="s">
        <v>4512</v>
      </c>
    </row>
    <row customHeight="1" ht="11.25">
      <c r="A353" s="373" t="s">
        <v>14</v>
      </c>
      <c r="B353" s="0" t="s">
        <v>4484</v>
      </c>
      <c r="C353" s="0" t="s">
        <v>4485</v>
      </c>
      <c r="D353" s="0" t="s">
        <v>4513</v>
      </c>
      <c r="E353" s="0" t="s">
        <v>4514</v>
      </c>
      <c r="F353" s="0" t="s">
        <v>3531</v>
      </c>
      <c r="G353" s="0" t="s">
        <v>4515</v>
      </c>
    </row>
    <row customHeight="1" ht="11.25">
      <c r="A354" s="373" t="s">
        <v>14</v>
      </c>
      <c r="B354" s="0" t="s">
        <v>4484</v>
      </c>
      <c r="C354" s="0" t="s">
        <v>4485</v>
      </c>
      <c r="D354" s="0" t="s">
        <v>4484</v>
      </c>
      <c r="E354" s="0" t="s">
        <v>4485</v>
      </c>
      <c r="F354" s="0" t="s">
        <v>3532</v>
      </c>
      <c r="G354" s="0" t="s">
        <v>4516</v>
      </c>
    </row>
    <row customHeight="1" ht="11.25">
      <c r="A355" s="373" t="s">
        <v>14</v>
      </c>
      <c r="B355" s="0" t="s">
        <v>4484</v>
      </c>
      <c r="C355" s="0" t="s">
        <v>4485</v>
      </c>
      <c r="D355" s="0" t="s">
        <v>4517</v>
      </c>
      <c r="E355" s="0" t="s">
        <v>4518</v>
      </c>
      <c r="F355" s="0" t="s">
        <v>3531</v>
      </c>
      <c r="G355" s="0" t="s">
        <v>4519</v>
      </c>
    </row>
    <row customHeight="1" ht="11.25">
      <c r="A356" s="373" t="s">
        <v>14</v>
      </c>
      <c r="B356" s="0" t="s">
        <v>4484</v>
      </c>
      <c r="C356" s="0" t="s">
        <v>4485</v>
      </c>
      <c r="D356" s="0" t="s">
        <v>3794</v>
      </c>
      <c r="E356" s="0" t="s">
        <v>4520</v>
      </c>
      <c r="F356" s="0" t="s">
        <v>3531</v>
      </c>
      <c r="G356" s="0" t="s">
        <v>4521</v>
      </c>
    </row>
    <row customHeight="1" ht="11.25">
      <c r="A357" s="373" t="s">
        <v>14</v>
      </c>
      <c r="B357" s="0" t="s">
        <v>4522</v>
      </c>
      <c r="C357" s="0" t="s">
        <v>4523</v>
      </c>
      <c r="D357" s="0" t="s">
        <v>4524</v>
      </c>
      <c r="E357" s="0" t="s">
        <v>4525</v>
      </c>
      <c r="F357" s="0" t="s">
        <v>3531</v>
      </c>
      <c r="G357" s="0" t="s">
        <v>4526</v>
      </c>
    </row>
    <row customHeight="1" ht="11.25">
      <c r="A358" s="373" t="s">
        <v>14</v>
      </c>
      <c r="B358" s="0" t="s">
        <v>4522</v>
      </c>
      <c r="C358" s="0" t="s">
        <v>4523</v>
      </c>
      <c r="D358" s="0" t="s">
        <v>4527</v>
      </c>
      <c r="E358" s="0" t="s">
        <v>4528</v>
      </c>
      <c r="F358" s="0" t="s">
        <v>3531</v>
      </c>
      <c r="G358" s="0" t="s">
        <v>4529</v>
      </c>
    </row>
    <row customHeight="1" ht="11.25">
      <c r="A359" s="373" t="s">
        <v>14</v>
      </c>
      <c r="B359" s="0" t="s">
        <v>4522</v>
      </c>
      <c r="C359" s="0" t="s">
        <v>4523</v>
      </c>
      <c r="D359" s="0" t="s">
        <v>4530</v>
      </c>
      <c r="E359" s="0" t="s">
        <v>4531</v>
      </c>
      <c r="F359" s="0" t="s">
        <v>3531</v>
      </c>
      <c r="G359" s="0" t="s">
        <v>4532</v>
      </c>
    </row>
    <row customHeight="1" ht="11.25">
      <c r="A360" s="373" t="s">
        <v>14</v>
      </c>
      <c r="B360" s="0" t="s">
        <v>4522</v>
      </c>
      <c r="C360" s="0" t="s">
        <v>4523</v>
      </c>
      <c r="D360" s="0" t="s">
        <v>4533</v>
      </c>
      <c r="E360" s="0" t="s">
        <v>4534</v>
      </c>
      <c r="F360" s="0" t="s">
        <v>3531</v>
      </c>
      <c r="G360" s="0" t="s">
        <v>4535</v>
      </c>
    </row>
    <row customHeight="1" ht="11.25">
      <c r="A361" s="373" t="s">
        <v>14</v>
      </c>
      <c r="B361" s="0" t="s">
        <v>4522</v>
      </c>
      <c r="C361" s="0" t="s">
        <v>4523</v>
      </c>
      <c r="D361" s="0" t="s">
        <v>4536</v>
      </c>
      <c r="E361" s="0" t="s">
        <v>4537</v>
      </c>
      <c r="F361" s="0" t="s">
        <v>3531</v>
      </c>
      <c r="G361" s="0" t="s">
        <v>4538</v>
      </c>
    </row>
    <row customHeight="1" ht="11.25">
      <c r="A362" s="373" t="s">
        <v>14</v>
      </c>
      <c r="B362" s="0" t="s">
        <v>4522</v>
      </c>
      <c r="C362" s="0" t="s">
        <v>4523</v>
      </c>
      <c r="D362" s="0" t="s">
        <v>4539</v>
      </c>
      <c r="E362" s="0" t="s">
        <v>4540</v>
      </c>
      <c r="F362" s="0" t="s">
        <v>3531</v>
      </c>
      <c r="G362" s="0" t="s">
        <v>4541</v>
      </c>
    </row>
    <row customHeight="1" ht="11.25">
      <c r="A363" s="373" t="s">
        <v>14</v>
      </c>
      <c r="B363" s="0" t="s">
        <v>4522</v>
      </c>
      <c r="C363" s="0" t="s">
        <v>4523</v>
      </c>
      <c r="D363" s="0" t="s">
        <v>4542</v>
      </c>
      <c r="E363" s="0" t="s">
        <v>4543</v>
      </c>
      <c r="F363" s="0" t="s">
        <v>3531</v>
      </c>
      <c r="G363" s="0" t="s">
        <v>4544</v>
      </c>
    </row>
    <row customHeight="1" ht="11.25">
      <c r="A364" s="373" t="s">
        <v>14</v>
      </c>
      <c r="B364" s="0" t="s">
        <v>4522</v>
      </c>
      <c r="C364" s="0" t="s">
        <v>4523</v>
      </c>
      <c r="D364" s="0" t="s">
        <v>4545</v>
      </c>
      <c r="E364" s="0" t="s">
        <v>4546</v>
      </c>
      <c r="F364" s="0" t="s">
        <v>3531</v>
      </c>
      <c r="G364" s="0" t="s">
        <v>4547</v>
      </c>
    </row>
    <row customHeight="1" ht="11.25">
      <c r="A365" s="373" t="s">
        <v>14</v>
      </c>
      <c r="B365" s="0" t="s">
        <v>4522</v>
      </c>
      <c r="C365" s="0" t="s">
        <v>4523</v>
      </c>
      <c r="D365" s="0" t="s">
        <v>4548</v>
      </c>
      <c r="E365" s="0" t="s">
        <v>4549</v>
      </c>
      <c r="F365" s="0" t="s">
        <v>3531</v>
      </c>
      <c r="G365" s="0" t="s">
        <v>4550</v>
      </c>
    </row>
    <row customHeight="1" ht="11.25">
      <c r="A366" s="373" t="s">
        <v>14</v>
      </c>
      <c r="B366" s="0" t="s">
        <v>4522</v>
      </c>
      <c r="C366" s="0" t="s">
        <v>4523</v>
      </c>
      <c r="D366" s="0" t="s">
        <v>4522</v>
      </c>
      <c r="E366" s="0" t="s">
        <v>4523</v>
      </c>
      <c r="F366" s="0" t="s">
        <v>3532</v>
      </c>
      <c r="G366" s="0" t="s">
        <v>4551</v>
      </c>
    </row>
    <row customHeight="1" ht="11.25">
      <c r="A367" s="373" t="s">
        <v>14</v>
      </c>
      <c r="B367" s="0" t="s">
        <v>4522</v>
      </c>
      <c r="C367" s="0" t="s">
        <v>4523</v>
      </c>
      <c r="D367" s="0" t="s">
        <v>4552</v>
      </c>
      <c r="E367" s="0" t="s">
        <v>4553</v>
      </c>
      <c r="F367" s="0" t="s">
        <v>3531</v>
      </c>
      <c r="G367" s="0" t="s">
        <v>4554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B1A226-279F-804A-44FD-C1DF2E48264F}" mc:Ignorable="x14ac xr xr2 xr3">
  <sheetPr>
    <tabColor rgb="FFFFCC99"/>
  </sheetPr>
  <dimension ref="A1:D19"/>
  <sheetViews>
    <sheetView topLeftCell="A1" showGridLines="0" workbookViewId="0">
      <selection activeCell="A1" sqref="A1"/>
    </sheetView>
  </sheetViews>
  <sheetFormatPr defaultColWidth="9.140625" customHeight="1" defaultRowHeight="11.25"/>
  <cols>
    <col min="1" max="4" style="6027" width="9.140625"/>
  </cols>
  <sheetData>
    <row customHeight="1" ht="11.25">
      <c r="A1" s="841" t="s">
        <v>4555</v>
      </c>
      <c r="B1" s="841" t="s">
        <v>4556</v>
      </c>
      <c r="C1" s="841" t="s">
        <v>4557</v>
      </c>
      <c r="D1" s="841" t="s">
        <v>4558</v>
      </c>
    </row>
    <row customHeight="1" ht="11.25">
      <c r="A2" s="6028" t="s">
        <v>107</v>
      </c>
      <c r="B2" s="6028" t="s">
        <v>4559</v>
      </c>
      <c r="C2" s="6028" t="s">
        <v>4560</v>
      </c>
      <c r="D2" s="6028" t="s">
        <v>4561</v>
      </c>
    </row>
    <row customHeight="1" ht="11.25">
      <c r="A3" s="6028" t="s">
        <v>108</v>
      </c>
      <c r="B3" s="6028" t="s">
        <v>4562</v>
      </c>
      <c r="C3" s="6028" t="s">
        <v>4560</v>
      </c>
      <c r="D3" s="6028" t="s">
        <v>4561</v>
      </c>
    </row>
    <row customHeight="1" ht="11.25">
      <c r="A4" s="6028" t="s">
        <v>88</v>
      </c>
      <c r="B4" s="6028" t="s">
        <v>4563</v>
      </c>
      <c r="C4" s="6028" t="s">
        <v>4560</v>
      </c>
      <c r="D4" s="6028" t="s">
        <v>4564</v>
      </c>
    </row>
    <row customHeight="1" ht="11.25">
      <c r="A5" s="6028" t="s">
        <v>89</v>
      </c>
      <c r="B5" s="6028" t="s">
        <v>4565</v>
      </c>
      <c r="C5" s="6028" t="s">
        <v>4560</v>
      </c>
      <c r="D5" s="6028" t="s">
        <v>4564</v>
      </c>
    </row>
    <row customHeight="1" ht="11.25">
      <c r="A6" s="6028" t="s">
        <v>109</v>
      </c>
      <c r="B6" s="6028" t="s">
        <v>4566</v>
      </c>
      <c r="C6" s="6028" t="s">
        <v>4567</v>
      </c>
      <c r="D6" s="6028" t="s">
        <v>4568</v>
      </c>
    </row>
    <row customHeight="1" ht="11.25">
      <c r="A7" s="6028" t="s">
        <v>90</v>
      </c>
      <c r="B7" s="6028" t="s">
        <v>4569</v>
      </c>
      <c r="C7" s="6028" t="s">
        <v>4570</v>
      </c>
      <c r="D7" s="6028" t="s">
        <v>4571</v>
      </c>
    </row>
    <row customHeight="1" ht="11.25">
      <c r="A8" s="6028" t="s">
        <v>91</v>
      </c>
      <c r="B8" s="6028" t="s">
        <v>4572</v>
      </c>
      <c r="C8" s="6028" t="s">
        <v>4570</v>
      </c>
      <c r="D8" s="6028" t="s">
        <v>4571</v>
      </c>
    </row>
    <row customHeight="1" ht="11.25">
      <c r="A9" s="6028" t="s">
        <v>110</v>
      </c>
      <c r="B9" s="6028" t="s">
        <v>4573</v>
      </c>
      <c r="C9" s="6028" t="s">
        <v>4574</v>
      </c>
      <c r="D9" s="6028" t="s">
        <v>4575</v>
      </c>
    </row>
    <row customHeight="1" ht="11.25">
      <c r="A10" s="6028" t="s">
        <v>146</v>
      </c>
      <c r="B10" s="6028" t="s">
        <v>4576</v>
      </c>
      <c r="C10" s="6028" t="s">
        <v>4574</v>
      </c>
      <c r="D10" s="6028" t="s">
        <v>4577</v>
      </c>
    </row>
    <row customHeight="1" ht="11.25">
      <c r="A11" s="6028" t="s">
        <v>147</v>
      </c>
      <c r="B11" s="6028" t="s">
        <v>4578</v>
      </c>
      <c r="C11" s="6028" t="s">
        <v>4579</v>
      </c>
      <c r="D11" s="6028" t="s">
        <v>4564</v>
      </c>
    </row>
    <row customHeight="1" ht="11.25">
      <c r="A12" s="6028" t="s">
        <v>148</v>
      </c>
      <c r="B12" s="6028" t="s">
        <v>4580</v>
      </c>
      <c r="C12" s="6028" t="s">
        <v>4579</v>
      </c>
      <c r="D12" s="6028" t="s">
        <v>4571</v>
      </c>
    </row>
    <row customHeight="1" ht="11.25">
      <c r="A13" s="6028" t="s">
        <v>149</v>
      </c>
      <c r="B13" s="6028" t="s">
        <v>4581</v>
      </c>
      <c r="C13" s="6028" t="s">
        <v>4579</v>
      </c>
      <c r="D13" s="6028" t="s">
        <v>4571</v>
      </c>
    </row>
    <row customHeight="1" ht="11.25">
      <c r="A14" s="6028" t="s">
        <v>150</v>
      </c>
      <c r="B14" s="6028" t="s">
        <v>4582</v>
      </c>
      <c r="C14" s="6028" t="s">
        <v>4583</v>
      </c>
      <c r="D14" s="6028" t="s">
        <v>4584</v>
      </c>
    </row>
    <row customHeight="1" ht="11.25">
      <c r="A15" s="6028" t="s">
        <v>151</v>
      </c>
      <c r="B15" s="6028" t="s">
        <v>4585</v>
      </c>
      <c r="C15" s="6028" t="s">
        <v>4567</v>
      </c>
      <c r="D15" s="6028" t="s">
        <v>4564</v>
      </c>
    </row>
    <row customHeight="1" ht="11.25">
      <c r="A16" s="6028" t="s">
        <v>1471</v>
      </c>
      <c r="B16" s="6028" t="s">
        <v>4586</v>
      </c>
      <c r="C16" s="6028" t="s">
        <v>4587</v>
      </c>
      <c r="D16" s="6028" t="s">
        <v>4571</v>
      </c>
    </row>
    <row customHeight="1" ht="11.25">
      <c r="A17" s="6028" t="s">
        <v>1477</v>
      </c>
      <c r="B17" s="6028" t="s">
        <v>4588</v>
      </c>
      <c r="C17" s="6028" t="s">
        <v>4579</v>
      </c>
      <c r="D17" s="6028" t="s">
        <v>4564</v>
      </c>
    </row>
    <row customHeight="1" ht="11.25">
      <c r="A18" s="6028" t="s">
        <v>1488</v>
      </c>
      <c r="B18" s="6028" t="s">
        <v>4589</v>
      </c>
      <c r="C18" s="6028" t="s">
        <v>4574</v>
      </c>
      <c r="D18" s="6028" t="s">
        <v>4577</v>
      </c>
    </row>
    <row customHeight="1" ht="11.25">
      <c r="A19" s="6028" t="s">
        <v>1502</v>
      </c>
      <c r="B19" s="6028" t="s">
        <v>4590</v>
      </c>
      <c r="C19" s="6028" t="s">
        <v>4567</v>
      </c>
      <c r="D19" s="6028" t="s">
        <v>4577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1A062B-E814-F774-264A-C29563DA448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1FB628-CEC7-D6FE-2523-6A06EDEFBC2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6029" width="9.140625"/>
  </cols>
  <sheetData>
    <row customHeight="1" ht="11.25">
      <c r="A1" s="169" t="s">
        <v>128</v>
      </c>
      <c r="B1" s="169" t="s">
        <v>4591</v>
      </c>
    </row>
    <row customHeight="1" ht="11.25">
      <c r="A2" s="48" t="s">
        <v>96</v>
      </c>
      <c r="B2" s="48" t="s">
        <v>4592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34C7BC-96BF-A6EF-2DC2-BA603F6DC4A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6027" width="9.140625"/>
    <col min="2" max="2" style="6027" width="65.28125" customWidth="1"/>
  </cols>
  <sheetData>
    <row customHeight="1" ht="11.25">
      <c r="A1" s="841" t="s">
        <v>4593</v>
      </c>
      <c r="B1" s="841" t="s">
        <v>4594</v>
      </c>
    </row>
    <row customHeight="1" ht="11.25">
      <c r="A2" s="841">
        <v>4213775</v>
      </c>
      <c r="B2" s="841" t="s">
        <v>1229</v>
      </c>
    </row>
    <row customHeight="1" ht="11.25">
      <c r="A3" s="841">
        <v>4213784</v>
      </c>
      <c r="B3" s="841" t="s">
        <v>1264</v>
      </c>
    </row>
    <row customHeight="1" ht="11.25">
      <c r="A4" s="841">
        <v>4213781</v>
      </c>
      <c r="B4" s="841" t="s">
        <v>1257</v>
      </c>
    </row>
    <row customHeight="1" ht="11.25">
      <c r="A5" s="841">
        <v>4213776</v>
      </c>
      <c r="B5" s="841" t="s">
        <v>164</v>
      </c>
    </row>
    <row customHeight="1" ht="11.25">
      <c r="A6" s="841">
        <v>4213777</v>
      </c>
      <c r="B6" s="841" t="s">
        <v>170</v>
      </c>
    </row>
    <row customHeight="1" ht="11.25">
      <c r="A7" s="841">
        <v>4213778</v>
      </c>
      <c r="B7" s="841" t="s">
        <v>176</v>
      </c>
    </row>
    <row customHeight="1" ht="11.25">
      <c r="A8" s="841">
        <v>4213780</v>
      </c>
      <c r="B8" s="841" t="s">
        <v>182</v>
      </c>
    </row>
    <row customHeight="1" ht="11.25">
      <c r="A9" s="841">
        <v>4213779</v>
      </c>
      <c r="B9" s="841" t="s">
        <v>1396</v>
      </c>
    </row>
    <row customHeight="1" ht="11.25">
      <c r="A10" s="841">
        <v>4213783</v>
      </c>
      <c r="B10" s="841" t="s">
        <v>1411</v>
      </c>
    </row>
    <row customHeight="1" ht="11.25">
      <c r="A11" s="841">
        <v>4213782</v>
      </c>
      <c r="B11" s="841"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74445E-B68B-DD6E-AB11-3E7E900B641B}"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6027" width="9.140625"/>
    <col min="2" max="2" style="6027" width="65.28125" customWidth="1"/>
  </cols>
  <sheetData>
    <row customHeight="1" ht="11.25">
      <c r="A1" s="841" t="s">
        <v>4593</v>
      </c>
      <c r="B1" s="841" t="s">
        <v>4595</v>
      </c>
    </row>
    <row customHeight="1" ht="11.25">
      <c r="A2" s="841" t="s">
        <v>209</v>
      </c>
      <c r="B2" s="841" t="s">
        <v>1509</v>
      </c>
    </row>
    <row customHeight="1" ht="11.25">
      <c r="A3" s="841" t="s">
        <v>4596</v>
      </c>
      <c r="B3" s="841" t="s">
        <v>1519</v>
      </c>
    </row>
    <row customHeight="1" ht="11.25">
      <c r="A4" s="841" t="s">
        <v>4597</v>
      </c>
      <c r="B4" s="841" t="s">
        <v>1528</v>
      </c>
    </row>
    <row customHeight="1" ht="11.25">
      <c r="A5" s="841" t="s">
        <v>4598</v>
      </c>
      <c r="B5" s="841" t="s">
        <v>1537</v>
      </c>
    </row>
    <row customHeight="1" ht="11.25">
      <c r="A6" s="841" t="s">
        <v>4599</v>
      </c>
      <c r="B6" s="841" t="s">
        <v>1543</v>
      </c>
    </row>
    <row customHeight="1" ht="11.25">
      <c r="A7" s="841" t="s">
        <v>4600</v>
      </c>
      <c r="B7" s="841" t="s">
        <v>1551</v>
      </c>
    </row>
    <row customHeight="1" ht="11.25">
      <c r="A8" s="841" t="s">
        <v>4601</v>
      </c>
      <c r="B8" s="841" t="s">
        <v>1558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00A08-D05D-E024-1D4B-F5FE152B02AA}" mc:Ignorable="x14ac xr xr2 xr3">
  <sheetPr>
    <tabColor rgb="FFFFCC99"/>
  </sheetPr>
  <dimension ref="A1:G367"/>
  <sheetViews>
    <sheetView topLeftCell="A1" showGridLines="0" workbookViewId="0">
      <selection activeCell="A1" sqref="A1"/>
    </sheetView>
  </sheetViews>
  <sheetFormatPr customHeight="1" defaultRowHeight="11.25"/>
  <sheetData>
    <row customHeight="1" ht="11.25">
      <c r="A1" s="373" t="s">
        <v>3520</v>
      </c>
      <c r="B1" s="373" t="s">
        <v>3521</v>
      </c>
      <c r="C1" s="373" t="s">
        <v>3522</v>
      </c>
      <c r="D1" s="373" t="s">
        <v>3523</v>
      </c>
      <c r="E1" s="0" t="s">
        <v>3524</v>
      </c>
      <c r="F1" s="0" t="s">
        <v>3525</v>
      </c>
      <c r="G1" s="0" t="s">
        <v>3526</v>
      </c>
    </row>
    <row customHeight="1" ht="11.25">
      <c r="A2" s="0" t="s">
        <v>14</v>
      </c>
      <c r="B2" s="0" t="s">
        <v>3527</v>
      </c>
      <c r="C2" s="0" t="s">
        <v>3528</v>
      </c>
      <c r="D2" s="0" t="s">
        <v>3529</v>
      </c>
      <c r="E2" s="0" t="s">
        <v>3530</v>
      </c>
      <c r="F2" s="0" t="s">
        <v>3531</v>
      </c>
      <c r="G2" s="0" t="s">
        <v>107</v>
      </c>
    </row>
    <row customHeight="1" ht="11.25">
      <c r="A3" s="0" t="s">
        <v>14</v>
      </c>
      <c r="B3" s="0" t="s">
        <v>3527</v>
      </c>
      <c r="C3" s="0" t="s">
        <v>3528</v>
      </c>
      <c r="D3" s="0" t="s">
        <v>3527</v>
      </c>
      <c r="E3" s="0" t="s">
        <v>3528</v>
      </c>
      <c r="F3" s="0" t="s">
        <v>3532</v>
      </c>
      <c r="G3" s="0" t="s">
        <v>108</v>
      </c>
    </row>
    <row customHeight="1" ht="11.25">
      <c r="A4" s="0" t="s">
        <v>14</v>
      </c>
      <c r="B4" s="0" t="s">
        <v>3527</v>
      </c>
      <c r="C4" s="0" t="s">
        <v>3528</v>
      </c>
      <c r="D4" s="0" t="s">
        <v>3533</v>
      </c>
      <c r="E4" s="0" t="s">
        <v>3534</v>
      </c>
      <c r="F4" s="0" t="s">
        <v>3531</v>
      </c>
      <c r="G4" s="0" t="s">
        <v>88</v>
      </c>
    </row>
    <row customHeight="1" ht="11.25">
      <c r="A5" s="0" t="s">
        <v>14</v>
      </c>
      <c r="B5" s="0" t="s">
        <v>3527</v>
      </c>
      <c r="C5" s="0" t="s">
        <v>3528</v>
      </c>
      <c r="D5" s="0" t="s">
        <v>3535</v>
      </c>
      <c r="E5" s="0" t="s">
        <v>3536</v>
      </c>
      <c r="F5" s="0" t="s">
        <v>3531</v>
      </c>
      <c r="G5" s="0" t="s">
        <v>89</v>
      </c>
    </row>
    <row customHeight="1" ht="11.25">
      <c r="A6" s="0" t="s">
        <v>14</v>
      </c>
      <c r="B6" s="0" t="s">
        <v>3527</v>
      </c>
      <c r="C6" s="0" t="s">
        <v>3528</v>
      </c>
      <c r="D6" s="0" t="s">
        <v>3537</v>
      </c>
      <c r="E6" s="0" t="s">
        <v>3538</v>
      </c>
      <c r="F6" s="0" t="s">
        <v>3531</v>
      </c>
      <c r="G6" s="0" t="s">
        <v>109</v>
      </c>
    </row>
    <row customHeight="1" ht="11.25">
      <c r="A7" s="0" t="s">
        <v>14</v>
      </c>
      <c r="B7" s="0" t="s">
        <v>3527</v>
      </c>
      <c r="C7" s="0" t="s">
        <v>3528</v>
      </c>
      <c r="D7" s="0" t="s">
        <v>3539</v>
      </c>
      <c r="E7" s="0" t="s">
        <v>3540</v>
      </c>
      <c r="F7" s="0" t="s">
        <v>3531</v>
      </c>
      <c r="G7" s="0" t="s">
        <v>90</v>
      </c>
    </row>
    <row customHeight="1" ht="11.25">
      <c r="A8" s="0" t="s">
        <v>14</v>
      </c>
      <c r="B8" s="0" t="s">
        <v>3527</v>
      </c>
      <c r="C8" s="0" t="s">
        <v>3528</v>
      </c>
      <c r="D8" s="0" t="s">
        <v>3541</v>
      </c>
      <c r="E8" s="0" t="s">
        <v>3542</v>
      </c>
      <c r="F8" s="0" t="s">
        <v>3531</v>
      </c>
      <c r="G8" s="0" t="s">
        <v>91</v>
      </c>
    </row>
    <row customHeight="1" ht="11.25">
      <c r="A9" s="0" t="s">
        <v>14</v>
      </c>
      <c r="B9" s="0" t="s">
        <v>3527</v>
      </c>
      <c r="C9" s="0" t="s">
        <v>3528</v>
      </c>
      <c r="D9" s="0" t="s">
        <v>3543</v>
      </c>
      <c r="E9" s="0" t="s">
        <v>3544</v>
      </c>
      <c r="F9" s="0" t="s">
        <v>3531</v>
      </c>
      <c r="G9" s="0" t="s">
        <v>110</v>
      </c>
    </row>
    <row customHeight="1" ht="11.25">
      <c r="A10" s="0" t="s">
        <v>14</v>
      </c>
      <c r="B10" s="0" t="s">
        <v>3527</v>
      </c>
      <c r="C10" s="0" t="s">
        <v>3528</v>
      </c>
      <c r="D10" s="0" t="s">
        <v>3545</v>
      </c>
      <c r="E10" s="0" t="s">
        <v>3546</v>
      </c>
      <c r="F10" s="0" t="s">
        <v>3531</v>
      </c>
      <c r="G10" s="0" t="s">
        <v>146</v>
      </c>
    </row>
    <row customHeight="1" ht="11.25">
      <c r="A11" s="0" t="s">
        <v>14</v>
      </c>
      <c r="B11" s="0" t="s">
        <v>3527</v>
      </c>
      <c r="C11" s="0" t="s">
        <v>3528</v>
      </c>
      <c r="D11" s="0" t="s">
        <v>3547</v>
      </c>
      <c r="E11" s="0" t="s">
        <v>3548</v>
      </c>
      <c r="F11" s="0" t="s">
        <v>3531</v>
      </c>
      <c r="G11" s="0" t="s">
        <v>147</v>
      </c>
    </row>
    <row customHeight="1" ht="11.25">
      <c r="A12" s="0" t="s">
        <v>14</v>
      </c>
      <c r="B12" s="0" t="s">
        <v>3527</v>
      </c>
      <c r="C12" s="0" t="s">
        <v>3528</v>
      </c>
      <c r="D12" s="0" t="s">
        <v>3549</v>
      </c>
      <c r="E12" s="0" t="s">
        <v>3550</v>
      </c>
      <c r="F12" s="0" t="s">
        <v>3531</v>
      </c>
      <c r="G12" s="0" t="s">
        <v>148</v>
      </c>
    </row>
    <row customHeight="1" ht="11.25">
      <c r="A13" s="0" t="s">
        <v>14</v>
      </c>
      <c r="B13" s="0" t="s">
        <v>3527</v>
      </c>
      <c r="C13" s="0" t="s">
        <v>3528</v>
      </c>
      <c r="D13" s="0" t="s">
        <v>3551</v>
      </c>
      <c r="E13" s="0" t="s">
        <v>3552</v>
      </c>
      <c r="F13" s="0" t="s">
        <v>3531</v>
      </c>
      <c r="G13" s="0" t="s">
        <v>149</v>
      </c>
    </row>
    <row customHeight="1" ht="11.25">
      <c r="A14" s="0" t="s">
        <v>14</v>
      </c>
      <c r="B14" s="0" t="s">
        <v>3527</v>
      </c>
      <c r="C14" s="0" t="s">
        <v>3528</v>
      </c>
      <c r="D14" s="0" t="s">
        <v>3553</v>
      </c>
      <c r="E14" s="0" t="s">
        <v>3554</v>
      </c>
      <c r="F14" s="0" t="s">
        <v>3531</v>
      </c>
      <c r="G14" s="0" t="s">
        <v>150</v>
      </c>
    </row>
    <row customHeight="1" ht="11.25">
      <c r="A15" s="0" t="s">
        <v>14</v>
      </c>
      <c r="B15" s="0" t="s">
        <v>3555</v>
      </c>
      <c r="C15" s="0" t="s">
        <v>3556</v>
      </c>
      <c r="D15" s="0" t="s">
        <v>3557</v>
      </c>
      <c r="E15" s="0" t="s">
        <v>3558</v>
      </c>
      <c r="F15" s="0" t="s">
        <v>3531</v>
      </c>
      <c r="G15" s="0" t="s">
        <v>151</v>
      </c>
    </row>
    <row customHeight="1" ht="11.25">
      <c r="A16" s="0" t="s">
        <v>14</v>
      </c>
      <c r="B16" s="0" t="s">
        <v>3555</v>
      </c>
      <c r="C16" s="0" t="s">
        <v>3556</v>
      </c>
      <c r="D16" s="0" t="s">
        <v>3555</v>
      </c>
      <c r="E16" s="0" t="s">
        <v>3556</v>
      </c>
      <c r="F16" s="0" t="s">
        <v>3532</v>
      </c>
      <c r="G16" s="0" t="s">
        <v>1471</v>
      </c>
    </row>
    <row customHeight="1" ht="11.25">
      <c r="A17" s="0" t="s">
        <v>14</v>
      </c>
      <c r="B17" s="0" t="s">
        <v>3555</v>
      </c>
      <c r="C17" s="0" t="s">
        <v>3556</v>
      </c>
      <c r="D17" s="0" t="s">
        <v>3559</v>
      </c>
      <c r="E17" s="0" t="s">
        <v>3560</v>
      </c>
      <c r="F17" s="0" t="s">
        <v>3531</v>
      </c>
      <c r="G17" s="0" t="s">
        <v>1477</v>
      </c>
    </row>
    <row customHeight="1" ht="11.25">
      <c r="A18" s="0" t="s">
        <v>14</v>
      </c>
      <c r="B18" s="0" t="s">
        <v>3555</v>
      </c>
      <c r="C18" s="0" t="s">
        <v>3556</v>
      </c>
      <c r="D18" s="0" t="s">
        <v>3561</v>
      </c>
      <c r="E18" s="0" t="s">
        <v>3562</v>
      </c>
      <c r="F18" s="0" t="s">
        <v>3531</v>
      </c>
      <c r="G18" s="0" t="s">
        <v>1488</v>
      </c>
    </row>
    <row customHeight="1" ht="11.25">
      <c r="A19" s="0" t="s">
        <v>14</v>
      </c>
      <c r="B19" s="0" t="s">
        <v>3555</v>
      </c>
      <c r="C19" s="0" t="s">
        <v>3556</v>
      </c>
      <c r="D19" s="0" t="s">
        <v>3563</v>
      </c>
      <c r="E19" s="0" t="s">
        <v>3564</v>
      </c>
      <c r="F19" s="0" t="s">
        <v>3531</v>
      </c>
      <c r="G19" s="0" t="s">
        <v>1502</v>
      </c>
    </row>
    <row customHeight="1" ht="11.25">
      <c r="A20" s="0" t="s">
        <v>14</v>
      </c>
      <c r="B20" s="0" t="s">
        <v>3555</v>
      </c>
      <c r="C20" s="0" t="s">
        <v>3556</v>
      </c>
      <c r="D20" s="0" t="s">
        <v>3565</v>
      </c>
      <c r="E20" s="0" t="s">
        <v>3566</v>
      </c>
      <c r="F20" s="0" t="s">
        <v>3531</v>
      </c>
      <c r="G20" s="0" t="s">
        <v>1514</v>
      </c>
    </row>
    <row customHeight="1" ht="11.25">
      <c r="A21" s="0" t="s">
        <v>14</v>
      </c>
      <c r="B21" s="0" t="s">
        <v>3555</v>
      </c>
      <c r="C21" s="0" t="s">
        <v>3556</v>
      </c>
      <c r="D21" s="0" t="s">
        <v>3567</v>
      </c>
      <c r="E21" s="0" t="s">
        <v>3568</v>
      </c>
      <c r="F21" s="0" t="s">
        <v>3531</v>
      </c>
      <c r="G21" s="0" t="s">
        <v>1523</v>
      </c>
    </row>
    <row customHeight="1" ht="11.25">
      <c r="A22" s="0" t="s">
        <v>14</v>
      </c>
      <c r="B22" s="0" t="s">
        <v>3555</v>
      </c>
      <c r="C22" s="0" t="s">
        <v>3556</v>
      </c>
      <c r="D22" s="0" t="s">
        <v>3569</v>
      </c>
      <c r="E22" s="0" t="s">
        <v>3570</v>
      </c>
      <c r="F22" s="0" t="s">
        <v>3531</v>
      </c>
      <c r="G22" s="0" t="s">
        <v>1539</v>
      </c>
    </row>
    <row customHeight="1" ht="11.25">
      <c r="A23" s="0" t="s">
        <v>14</v>
      </c>
      <c r="B23" s="0" t="s">
        <v>3555</v>
      </c>
      <c r="C23" s="0" t="s">
        <v>3556</v>
      </c>
      <c r="D23" s="0" t="s">
        <v>3571</v>
      </c>
      <c r="E23" s="0" t="s">
        <v>3572</v>
      </c>
      <c r="F23" s="0" t="s">
        <v>3531</v>
      </c>
      <c r="G23" s="0" t="s">
        <v>1546</v>
      </c>
    </row>
    <row customHeight="1" ht="11.25">
      <c r="A24" s="0" t="s">
        <v>14</v>
      </c>
      <c r="B24" s="0" t="s">
        <v>3555</v>
      </c>
      <c r="C24" s="0" t="s">
        <v>3556</v>
      </c>
      <c r="D24" s="0" t="s">
        <v>3573</v>
      </c>
      <c r="E24" s="0" t="s">
        <v>3574</v>
      </c>
      <c r="F24" s="0" t="s">
        <v>3531</v>
      </c>
      <c r="G24" s="0" t="s">
        <v>1554</v>
      </c>
    </row>
    <row customHeight="1" ht="11.25">
      <c r="A25" s="0" t="s">
        <v>14</v>
      </c>
      <c r="B25" s="0" t="s">
        <v>3555</v>
      </c>
      <c r="C25" s="0" t="s">
        <v>3556</v>
      </c>
      <c r="D25" s="0" t="s">
        <v>3575</v>
      </c>
      <c r="E25" s="0" t="s">
        <v>3576</v>
      </c>
      <c r="F25" s="0" t="s">
        <v>3531</v>
      </c>
      <c r="G25" s="0" t="s">
        <v>1561</v>
      </c>
    </row>
    <row customHeight="1" ht="11.25">
      <c r="A26" s="0" t="s">
        <v>14</v>
      </c>
      <c r="B26" s="0" t="s">
        <v>3555</v>
      </c>
      <c r="C26" s="0" t="s">
        <v>3556</v>
      </c>
      <c r="D26" s="0" t="s">
        <v>3577</v>
      </c>
      <c r="E26" s="0" t="s">
        <v>3578</v>
      </c>
      <c r="F26" s="0" t="s">
        <v>3531</v>
      </c>
      <c r="G26" s="0" t="s">
        <v>1565</v>
      </c>
    </row>
    <row customHeight="1" ht="11.25">
      <c r="A27" s="0" t="s">
        <v>14</v>
      </c>
      <c r="B27" s="0" t="s">
        <v>3555</v>
      </c>
      <c r="C27" s="0" t="s">
        <v>3556</v>
      </c>
      <c r="D27" s="0" t="s">
        <v>3579</v>
      </c>
      <c r="E27" s="0" t="s">
        <v>3580</v>
      </c>
      <c r="F27" s="0" t="s">
        <v>3531</v>
      </c>
      <c r="G27" s="0" t="s">
        <v>1570</v>
      </c>
    </row>
    <row customHeight="1" ht="11.25">
      <c r="A28" s="0" t="s">
        <v>14</v>
      </c>
      <c r="B28" s="0" t="s">
        <v>3555</v>
      </c>
      <c r="C28" s="0" t="s">
        <v>3556</v>
      </c>
      <c r="D28" s="0" t="s">
        <v>3581</v>
      </c>
      <c r="E28" s="0" t="s">
        <v>3582</v>
      </c>
      <c r="F28" s="0" t="s">
        <v>3531</v>
      </c>
      <c r="G28" s="0" t="s">
        <v>1578</v>
      </c>
    </row>
    <row customHeight="1" ht="11.25">
      <c r="A29" s="0" t="s">
        <v>14</v>
      </c>
      <c r="B29" s="0" t="s">
        <v>3555</v>
      </c>
      <c r="C29" s="0" t="s">
        <v>3556</v>
      </c>
      <c r="D29" s="0" t="s">
        <v>3583</v>
      </c>
      <c r="E29" s="0" t="s">
        <v>3584</v>
      </c>
      <c r="F29" s="0" t="s">
        <v>3531</v>
      </c>
      <c r="G29" s="0" t="s">
        <v>1580</v>
      </c>
    </row>
    <row customHeight="1" ht="11.25">
      <c r="A30" s="0" t="s">
        <v>14</v>
      </c>
      <c r="B30" s="0" t="s">
        <v>3555</v>
      </c>
      <c r="C30" s="0" t="s">
        <v>3556</v>
      </c>
      <c r="D30" s="0" t="s">
        <v>3585</v>
      </c>
      <c r="E30" s="0" t="s">
        <v>3586</v>
      </c>
      <c r="F30" s="0" t="s">
        <v>3531</v>
      </c>
      <c r="G30" s="0" t="s">
        <v>1583</v>
      </c>
    </row>
    <row customHeight="1" ht="11.25">
      <c r="A31" s="0" t="s">
        <v>14</v>
      </c>
      <c r="B31" s="0" t="s">
        <v>3555</v>
      </c>
      <c r="C31" s="0" t="s">
        <v>3556</v>
      </c>
      <c r="D31" s="0" t="s">
        <v>3587</v>
      </c>
      <c r="E31" s="0" t="s">
        <v>3588</v>
      </c>
      <c r="F31" s="0" t="s">
        <v>3531</v>
      </c>
      <c r="G31" s="0" t="s">
        <v>1588</v>
      </c>
    </row>
    <row customHeight="1" ht="11.25">
      <c r="A32" s="0" t="s">
        <v>14</v>
      </c>
      <c r="B32" s="0" t="s">
        <v>3555</v>
      </c>
      <c r="C32" s="0" t="s">
        <v>3556</v>
      </c>
      <c r="D32" s="0" t="s">
        <v>3589</v>
      </c>
      <c r="E32" s="0" t="s">
        <v>3590</v>
      </c>
      <c r="F32" s="0" t="s">
        <v>3531</v>
      </c>
      <c r="G32" s="0" t="s">
        <v>1590</v>
      </c>
    </row>
    <row customHeight="1" ht="11.25">
      <c r="A33" s="0" t="s">
        <v>14</v>
      </c>
      <c r="B33" s="0" t="s">
        <v>3591</v>
      </c>
      <c r="C33" s="0" t="s">
        <v>3592</v>
      </c>
      <c r="D33" s="0" t="s">
        <v>3593</v>
      </c>
      <c r="E33" s="0" t="s">
        <v>3594</v>
      </c>
      <c r="F33" s="0" t="s">
        <v>3531</v>
      </c>
      <c r="G33" s="0" t="s">
        <v>1592</v>
      </c>
    </row>
    <row customHeight="1" ht="11.25">
      <c r="A34" s="0" t="s">
        <v>14</v>
      </c>
      <c r="B34" s="0" t="s">
        <v>3591</v>
      </c>
      <c r="C34" s="0" t="s">
        <v>3592</v>
      </c>
      <c r="D34" s="0" t="s">
        <v>3595</v>
      </c>
      <c r="E34" s="0" t="s">
        <v>3596</v>
      </c>
      <c r="F34" s="0" t="s">
        <v>3531</v>
      </c>
      <c r="G34" s="0" t="s">
        <v>1594</v>
      </c>
    </row>
    <row customHeight="1" ht="11.25">
      <c r="A35" s="0" t="s">
        <v>14</v>
      </c>
      <c r="B35" s="0" t="s">
        <v>3591</v>
      </c>
      <c r="C35" s="0" t="s">
        <v>3592</v>
      </c>
      <c r="D35" s="0" t="s">
        <v>3591</v>
      </c>
      <c r="E35" s="0" t="s">
        <v>3592</v>
      </c>
      <c r="F35" s="0" t="s">
        <v>3532</v>
      </c>
      <c r="G35" s="0" t="s">
        <v>1599</v>
      </c>
    </row>
    <row customHeight="1" ht="11.25">
      <c r="A36" s="0" t="s">
        <v>14</v>
      </c>
      <c r="B36" s="0" t="s">
        <v>3591</v>
      </c>
      <c r="C36" s="0" t="s">
        <v>3592</v>
      </c>
      <c r="D36" s="0" t="s">
        <v>3597</v>
      </c>
      <c r="E36" s="0" t="s">
        <v>3598</v>
      </c>
      <c r="F36" s="0" t="s">
        <v>3531</v>
      </c>
      <c r="G36" s="0" t="s">
        <v>1604</v>
      </c>
    </row>
    <row customHeight="1" ht="11.25">
      <c r="A37" s="0" t="s">
        <v>14</v>
      </c>
      <c r="B37" s="0" t="s">
        <v>3591</v>
      </c>
      <c r="C37" s="0" t="s">
        <v>3592</v>
      </c>
      <c r="D37" s="0" t="s">
        <v>3599</v>
      </c>
      <c r="E37" s="0" t="s">
        <v>3600</v>
      </c>
      <c r="F37" s="0" t="s">
        <v>3531</v>
      </c>
      <c r="G37" s="0" t="s">
        <v>1608</v>
      </c>
    </row>
    <row customHeight="1" ht="11.25">
      <c r="A38" s="0" t="s">
        <v>14</v>
      </c>
      <c r="B38" s="0" t="s">
        <v>3591</v>
      </c>
      <c r="C38" s="0" t="s">
        <v>3592</v>
      </c>
      <c r="D38" s="0" t="s">
        <v>3601</v>
      </c>
      <c r="E38" s="0" t="s">
        <v>3602</v>
      </c>
      <c r="F38" s="0" t="s">
        <v>3531</v>
      </c>
      <c r="G38" s="0" t="s">
        <v>1616</v>
      </c>
    </row>
    <row customHeight="1" ht="11.25">
      <c r="A39" s="0" t="s">
        <v>14</v>
      </c>
      <c r="B39" s="0" t="s">
        <v>3591</v>
      </c>
      <c r="C39" s="0" t="s">
        <v>3592</v>
      </c>
      <c r="D39" s="0" t="s">
        <v>3603</v>
      </c>
      <c r="E39" s="0" t="s">
        <v>3604</v>
      </c>
      <c r="F39" s="0" t="s">
        <v>3531</v>
      </c>
      <c r="G39" s="0" t="s">
        <v>1622</v>
      </c>
    </row>
    <row customHeight="1" ht="11.25">
      <c r="A40" s="0" t="s">
        <v>14</v>
      </c>
      <c r="B40" s="0" t="s">
        <v>3591</v>
      </c>
      <c r="C40" s="0" t="s">
        <v>3592</v>
      </c>
      <c r="D40" s="0" t="s">
        <v>3605</v>
      </c>
      <c r="E40" s="0" t="s">
        <v>3606</v>
      </c>
      <c r="F40" s="0" t="s">
        <v>3531</v>
      </c>
      <c r="G40" s="0" t="s">
        <v>1627</v>
      </c>
    </row>
    <row customHeight="1" ht="11.25">
      <c r="A41" s="0" t="s">
        <v>14</v>
      </c>
      <c r="B41" s="0" t="s">
        <v>3591</v>
      </c>
      <c r="C41" s="0" t="s">
        <v>3592</v>
      </c>
      <c r="D41" s="0" t="s">
        <v>3607</v>
      </c>
      <c r="E41" s="0" t="s">
        <v>3608</v>
      </c>
      <c r="F41" s="0" t="s">
        <v>3531</v>
      </c>
      <c r="G41" s="0" t="s">
        <v>1631</v>
      </c>
    </row>
    <row customHeight="1" ht="11.25">
      <c r="A42" s="0" t="s">
        <v>14</v>
      </c>
      <c r="B42" s="0" t="s">
        <v>3591</v>
      </c>
      <c r="C42" s="0" t="s">
        <v>3592</v>
      </c>
      <c r="D42" s="0" t="s">
        <v>3609</v>
      </c>
      <c r="E42" s="0" t="s">
        <v>3610</v>
      </c>
      <c r="F42" s="0" t="s">
        <v>3531</v>
      </c>
      <c r="G42" s="0" t="s">
        <v>1634</v>
      </c>
    </row>
    <row customHeight="1" ht="11.25">
      <c r="A43" s="0" t="s">
        <v>14</v>
      </c>
      <c r="B43" s="0" t="s">
        <v>3591</v>
      </c>
      <c r="C43" s="0" t="s">
        <v>3592</v>
      </c>
      <c r="D43" s="0" t="s">
        <v>3611</v>
      </c>
      <c r="E43" s="0" t="s">
        <v>3612</v>
      </c>
      <c r="F43" s="0" t="s">
        <v>3531</v>
      </c>
      <c r="G43" s="0" t="s">
        <v>1641</v>
      </c>
    </row>
    <row customHeight="1" ht="11.25">
      <c r="A44" s="0" t="s">
        <v>14</v>
      </c>
      <c r="B44" s="0" t="s">
        <v>3613</v>
      </c>
      <c r="C44" s="0" t="s">
        <v>3614</v>
      </c>
      <c r="D44" s="0" t="s">
        <v>3615</v>
      </c>
      <c r="E44" s="0" t="s">
        <v>3616</v>
      </c>
      <c r="F44" s="0" t="s">
        <v>3531</v>
      </c>
      <c r="G44" s="0" t="s">
        <v>1650</v>
      </c>
    </row>
    <row customHeight="1" ht="11.25">
      <c r="A45" s="0" t="s">
        <v>14</v>
      </c>
      <c r="B45" s="0" t="s">
        <v>3613</v>
      </c>
      <c r="C45" s="0" t="s">
        <v>3614</v>
      </c>
      <c r="D45" s="0" t="s">
        <v>3617</v>
      </c>
      <c r="E45" s="0" t="s">
        <v>3618</v>
      </c>
      <c r="F45" s="0" t="s">
        <v>3531</v>
      </c>
      <c r="G45" s="0" t="s">
        <v>1655</v>
      </c>
    </row>
    <row customHeight="1" ht="11.25">
      <c r="A46" s="0" t="s">
        <v>14</v>
      </c>
      <c r="B46" s="0" t="s">
        <v>3613</v>
      </c>
      <c r="C46" s="0" t="s">
        <v>3614</v>
      </c>
      <c r="D46" s="0" t="s">
        <v>3619</v>
      </c>
      <c r="E46" s="0" t="s">
        <v>3620</v>
      </c>
      <c r="F46" s="0" t="s">
        <v>3531</v>
      </c>
      <c r="G46" s="0" t="s">
        <v>1659</v>
      </c>
    </row>
    <row customHeight="1" ht="11.25">
      <c r="A47" s="0" t="s">
        <v>14</v>
      </c>
      <c r="B47" s="0" t="s">
        <v>3613</v>
      </c>
      <c r="C47" s="0" t="s">
        <v>3614</v>
      </c>
      <c r="D47" s="0" t="s">
        <v>3613</v>
      </c>
      <c r="E47" s="0" t="s">
        <v>3614</v>
      </c>
      <c r="F47" s="0" t="s">
        <v>3532</v>
      </c>
      <c r="G47" s="0" t="s">
        <v>1665</v>
      </c>
    </row>
    <row customHeight="1" ht="11.25">
      <c r="A48" s="0" t="s">
        <v>14</v>
      </c>
      <c r="B48" s="0" t="s">
        <v>3613</v>
      </c>
      <c r="C48" s="0" t="s">
        <v>3614</v>
      </c>
      <c r="D48" s="0" t="s">
        <v>3621</v>
      </c>
      <c r="E48" s="0" t="s">
        <v>3622</v>
      </c>
      <c r="F48" s="0" t="s">
        <v>3531</v>
      </c>
      <c r="G48" s="0" t="s">
        <v>1670</v>
      </c>
    </row>
    <row customHeight="1" ht="11.25">
      <c r="A49" s="0" t="s">
        <v>14</v>
      </c>
      <c r="B49" s="0" t="s">
        <v>3613</v>
      </c>
      <c r="C49" s="0" t="s">
        <v>3614</v>
      </c>
      <c r="D49" s="0" t="s">
        <v>3623</v>
      </c>
      <c r="E49" s="0" t="s">
        <v>3624</v>
      </c>
      <c r="F49" s="0" t="s">
        <v>3531</v>
      </c>
      <c r="G49" s="0" t="s">
        <v>1673</v>
      </c>
    </row>
    <row customHeight="1" ht="11.25">
      <c r="A50" s="0" t="s">
        <v>14</v>
      </c>
      <c r="B50" s="0" t="s">
        <v>3613</v>
      </c>
      <c r="C50" s="0" t="s">
        <v>3614</v>
      </c>
      <c r="D50" s="0" t="s">
        <v>3625</v>
      </c>
      <c r="E50" s="0" t="s">
        <v>3626</v>
      </c>
      <c r="F50" s="0" t="s">
        <v>3531</v>
      </c>
      <c r="G50" s="0" t="s">
        <v>1677</v>
      </c>
    </row>
    <row customHeight="1" ht="11.25">
      <c r="A51" s="0" t="s">
        <v>14</v>
      </c>
      <c r="B51" s="0" t="s">
        <v>3613</v>
      </c>
      <c r="C51" s="0" t="s">
        <v>3614</v>
      </c>
      <c r="D51" s="0" t="s">
        <v>3627</v>
      </c>
      <c r="E51" s="0" t="s">
        <v>3628</v>
      </c>
      <c r="F51" s="0" t="s">
        <v>3531</v>
      </c>
      <c r="G51" s="0" t="s">
        <v>1681</v>
      </c>
    </row>
    <row customHeight="1" ht="11.25">
      <c r="A52" s="0" t="s">
        <v>14</v>
      </c>
      <c r="B52" s="0" t="s">
        <v>3613</v>
      </c>
      <c r="C52" s="0" t="s">
        <v>3614</v>
      </c>
      <c r="D52" s="0" t="s">
        <v>3629</v>
      </c>
      <c r="E52" s="0" t="s">
        <v>3630</v>
      </c>
      <c r="F52" s="0" t="s">
        <v>3531</v>
      </c>
      <c r="G52" s="0" t="s">
        <v>1685</v>
      </c>
    </row>
    <row customHeight="1" ht="11.25">
      <c r="A53" s="0" t="s">
        <v>14</v>
      </c>
      <c r="B53" s="0" t="s">
        <v>3613</v>
      </c>
      <c r="C53" s="0" t="s">
        <v>3614</v>
      </c>
      <c r="D53" s="0" t="s">
        <v>3631</v>
      </c>
      <c r="E53" s="0" t="s">
        <v>3632</v>
      </c>
      <c r="F53" s="0" t="s">
        <v>3531</v>
      </c>
      <c r="G53" s="0" t="s">
        <v>1687</v>
      </c>
    </row>
    <row customHeight="1" ht="11.25">
      <c r="A54" s="0" t="s">
        <v>14</v>
      </c>
      <c r="B54" s="0" t="s">
        <v>3613</v>
      </c>
      <c r="C54" s="0" t="s">
        <v>3614</v>
      </c>
      <c r="D54" s="0" t="s">
        <v>3633</v>
      </c>
      <c r="E54" s="0" t="s">
        <v>3634</v>
      </c>
      <c r="F54" s="0" t="s">
        <v>3531</v>
      </c>
      <c r="G54" s="0" t="s">
        <v>1690</v>
      </c>
    </row>
    <row customHeight="1" ht="11.25">
      <c r="A55" s="0" t="s">
        <v>14</v>
      </c>
      <c r="B55" s="0" t="s">
        <v>3613</v>
      </c>
      <c r="C55" s="0" t="s">
        <v>3614</v>
      </c>
      <c r="D55" s="0" t="s">
        <v>3635</v>
      </c>
      <c r="E55" s="0" t="s">
        <v>3636</v>
      </c>
      <c r="F55" s="0" t="s">
        <v>3531</v>
      </c>
      <c r="G55" s="0" t="s">
        <v>1694</v>
      </c>
    </row>
    <row customHeight="1" ht="11.25">
      <c r="A56" s="0" t="s">
        <v>14</v>
      </c>
      <c r="B56" s="0" t="s">
        <v>3613</v>
      </c>
      <c r="C56" s="0" t="s">
        <v>3614</v>
      </c>
      <c r="D56" s="0" t="s">
        <v>3637</v>
      </c>
      <c r="E56" s="0" t="s">
        <v>3638</v>
      </c>
      <c r="F56" s="0" t="s">
        <v>3531</v>
      </c>
      <c r="G56" s="0" t="s">
        <v>1697</v>
      </c>
    </row>
    <row customHeight="1" ht="11.25">
      <c r="A57" s="0" t="s">
        <v>14</v>
      </c>
      <c r="B57" s="0" t="s">
        <v>3639</v>
      </c>
      <c r="C57" s="0" t="s">
        <v>3640</v>
      </c>
      <c r="D57" s="0" t="s">
        <v>3641</v>
      </c>
      <c r="E57" s="0" t="s">
        <v>3642</v>
      </c>
      <c r="F57" s="0" t="s">
        <v>3531</v>
      </c>
      <c r="G57" s="0" t="s">
        <v>1700</v>
      </c>
    </row>
    <row customHeight="1" ht="11.25">
      <c r="A58" s="0" t="s">
        <v>14</v>
      </c>
      <c r="B58" s="0" t="s">
        <v>3639</v>
      </c>
      <c r="C58" s="0" t="s">
        <v>3640</v>
      </c>
      <c r="D58" s="0" t="s">
        <v>3643</v>
      </c>
      <c r="E58" s="0" t="s">
        <v>3644</v>
      </c>
      <c r="F58" s="0" t="s">
        <v>3531</v>
      </c>
      <c r="G58" s="0" t="s">
        <v>1703</v>
      </c>
    </row>
    <row customHeight="1" ht="11.25">
      <c r="A59" s="0" t="s">
        <v>14</v>
      </c>
      <c r="B59" s="0" t="s">
        <v>3639</v>
      </c>
      <c r="C59" s="0" t="s">
        <v>3640</v>
      </c>
      <c r="D59" s="0" t="s">
        <v>3639</v>
      </c>
      <c r="E59" s="0" t="s">
        <v>3640</v>
      </c>
      <c r="F59" s="0" t="s">
        <v>3532</v>
      </c>
      <c r="G59" s="0" t="s">
        <v>1707</v>
      </c>
    </row>
    <row customHeight="1" ht="11.25">
      <c r="A60" s="0" t="s">
        <v>14</v>
      </c>
      <c r="B60" s="0" t="s">
        <v>3639</v>
      </c>
      <c r="C60" s="0" t="s">
        <v>3640</v>
      </c>
      <c r="D60" s="0" t="s">
        <v>3645</v>
      </c>
      <c r="E60" s="0" t="s">
        <v>3646</v>
      </c>
      <c r="F60" s="0" t="s">
        <v>3531</v>
      </c>
      <c r="G60" s="0" t="s">
        <v>1710</v>
      </c>
    </row>
    <row customHeight="1" ht="11.25">
      <c r="A61" s="0" t="s">
        <v>14</v>
      </c>
      <c r="B61" s="0" t="s">
        <v>3639</v>
      </c>
      <c r="C61" s="0" t="s">
        <v>3640</v>
      </c>
      <c r="D61" s="0" t="s">
        <v>3647</v>
      </c>
      <c r="E61" s="0" t="s">
        <v>3648</v>
      </c>
      <c r="F61" s="0" t="s">
        <v>3531</v>
      </c>
      <c r="G61" s="0" t="s">
        <v>3649</v>
      </c>
    </row>
    <row customHeight="1" ht="11.25">
      <c r="A62" s="0" t="s">
        <v>14</v>
      </c>
      <c r="B62" s="0" t="s">
        <v>3639</v>
      </c>
      <c r="C62" s="0" t="s">
        <v>3640</v>
      </c>
      <c r="D62" s="0" t="s">
        <v>3577</v>
      </c>
      <c r="E62" s="0" t="s">
        <v>3650</v>
      </c>
      <c r="F62" s="0" t="s">
        <v>3531</v>
      </c>
      <c r="G62" s="0" t="s">
        <v>3651</v>
      </c>
    </row>
    <row customHeight="1" ht="11.25">
      <c r="A63" s="0" t="s">
        <v>14</v>
      </c>
      <c r="B63" s="0" t="s">
        <v>3639</v>
      </c>
      <c r="C63" s="0" t="s">
        <v>3640</v>
      </c>
      <c r="D63" s="0" t="s">
        <v>3652</v>
      </c>
      <c r="E63" s="0" t="s">
        <v>3653</v>
      </c>
      <c r="F63" s="0" t="s">
        <v>3531</v>
      </c>
      <c r="G63" s="0" t="s">
        <v>3654</v>
      </c>
    </row>
    <row customHeight="1" ht="11.25">
      <c r="A64" s="0" t="s">
        <v>14</v>
      </c>
      <c r="B64" s="0" t="s">
        <v>3639</v>
      </c>
      <c r="C64" s="0" t="s">
        <v>3640</v>
      </c>
      <c r="D64" s="0" t="s">
        <v>3655</v>
      </c>
      <c r="E64" s="0" t="s">
        <v>3656</v>
      </c>
      <c r="F64" s="0" t="s">
        <v>3531</v>
      </c>
      <c r="G64" s="0" t="s">
        <v>3657</v>
      </c>
    </row>
    <row customHeight="1" ht="11.25">
      <c r="A65" s="0" t="s">
        <v>14</v>
      </c>
      <c r="B65" s="0" t="s">
        <v>3639</v>
      </c>
      <c r="C65" s="0" t="s">
        <v>3640</v>
      </c>
      <c r="D65" s="0" t="s">
        <v>3658</v>
      </c>
      <c r="E65" s="0" t="s">
        <v>3659</v>
      </c>
      <c r="F65" s="0" t="s">
        <v>3531</v>
      </c>
      <c r="G65" s="0" t="s">
        <v>3660</v>
      </c>
    </row>
    <row customHeight="1" ht="11.25">
      <c r="A66" s="0" t="s">
        <v>14</v>
      </c>
      <c r="B66" s="0" t="s">
        <v>3639</v>
      </c>
      <c r="C66" s="0" t="s">
        <v>3640</v>
      </c>
      <c r="D66" s="0" t="s">
        <v>3661</v>
      </c>
      <c r="E66" s="0" t="s">
        <v>3662</v>
      </c>
      <c r="F66" s="0" t="s">
        <v>3531</v>
      </c>
      <c r="G66" s="0" t="s">
        <v>3663</v>
      </c>
    </row>
    <row customHeight="1" ht="11.25">
      <c r="A67" s="0" t="s">
        <v>14</v>
      </c>
      <c r="B67" s="0" t="s">
        <v>3639</v>
      </c>
      <c r="C67" s="0" t="s">
        <v>3640</v>
      </c>
      <c r="D67" s="0" t="s">
        <v>3664</v>
      </c>
      <c r="E67" s="0" t="s">
        <v>3665</v>
      </c>
      <c r="F67" s="0" t="s">
        <v>3531</v>
      </c>
      <c r="G67" s="0" t="s">
        <v>1931</v>
      </c>
    </row>
    <row customHeight="1" ht="11.25">
      <c r="A68" s="0" t="s">
        <v>14</v>
      </c>
      <c r="B68" s="0" t="s">
        <v>3639</v>
      </c>
      <c r="C68" s="0" t="s">
        <v>3640</v>
      </c>
      <c r="D68" s="0" t="s">
        <v>3666</v>
      </c>
      <c r="E68" s="0" t="s">
        <v>3667</v>
      </c>
      <c r="F68" s="0" t="s">
        <v>3531</v>
      </c>
      <c r="G68" s="0" t="s">
        <v>3668</v>
      </c>
    </row>
    <row customHeight="1" ht="11.25">
      <c r="A69" s="0" t="s">
        <v>14</v>
      </c>
      <c r="B69" s="0" t="s">
        <v>3669</v>
      </c>
      <c r="C69" s="0" t="s">
        <v>3670</v>
      </c>
      <c r="D69" s="0" t="s">
        <v>3669</v>
      </c>
      <c r="E69" s="0" t="s">
        <v>3670</v>
      </c>
      <c r="F69" s="0" t="s">
        <v>3671</v>
      </c>
      <c r="G69" s="0" t="s">
        <v>2142</v>
      </c>
    </row>
    <row customHeight="1" ht="11.25">
      <c r="A70" s="0" t="s">
        <v>14</v>
      </c>
      <c r="B70" s="0" t="s">
        <v>98</v>
      </c>
      <c r="C70" s="0" t="s">
        <v>99</v>
      </c>
      <c r="D70" s="0" t="s">
        <v>98</v>
      </c>
      <c r="E70" s="0" t="s">
        <v>99</v>
      </c>
      <c r="F70" s="0" t="s">
        <v>3671</v>
      </c>
      <c r="G70" s="0" t="s">
        <v>97</v>
      </c>
    </row>
    <row customHeight="1" ht="11.25">
      <c r="A71" s="0" t="s">
        <v>14</v>
      </c>
      <c r="B71" s="0" t="s">
        <v>3672</v>
      </c>
      <c r="C71" s="0" t="s">
        <v>3673</v>
      </c>
      <c r="D71" s="0" t="s">
        <v>3672</v>
      </c>
      <c r="E71" s="0" t="s">
        <v>3673</v>
      </c>
      <c r="F71" s="0" t="s">
        <v>3671</v>
      </c>
      <c r="G71" s="0" t="s">
        <v>3674</v>
      </c>
    </row>
    <row customHeight="1" ht="11.25">
      <c r="A72" s="0" t="s">
        <v>14</v>
      </c>
      <c r="B72" s="0" t="s">
        <v>3675</v>
      </c>
      <c r="C72" s="0" t="s">
        <v>3676</v>
      </c>
      <c r="D72" s="0" t="s">
        <v>3675</v>
      </c>
      <c r="E72" s="0" t="s">
        <v>3676</v>
      </c>
      <c r="F72" s="0" t="s">
        <v>3671</v>
      </c>
      <c r="G72" s="0" t="s">
        <v>3677</v>
      </c>
    </row>
    <row customHeight="1" ht="11.25">
      <c r="A73" s="0" t="s">
        <v>14</v>
      </c>
      <c r="B73" s="0" t="s">
        <v>3678</v>
      </c>
      <c r="C73" s="0" t="s">
        <v>3679</v>
      </c>
      <c r="D73" s="0" t="s">
        <v>3678</v>
      </c>
      <c r="E73" s="0" t="s">
        <v>3679</v>
      </c>
      <c r="F73" s="0" t="s">
        <v>3671</v>
      </c>
      <c r="G73" s="0" t="s">
        <v>3680</v>
      </c>
    </row>
    <row customHeight="1" ht="11.25">
      <c r="A74" s="0" t="s">
        <v>14</v>
      </c>
      <c r="B74" s="0" t="s">
        <v>3681</v>
      </c>
      <c r="C74" s="0" t="s">
        <v>3682</v>
      </c>
      <c r="D74" s="0" t="s">
        <v>3683</v>
      </c>
      <c r="E74" s="0" t="s">
        <v>3684</v>
      </c>
      <c r="F74" s="0" t="s">
        <v>3531</v>
      </c>
      <c r="G74" s="0" t="s">
        <v>3685</v>
      </c>
    </row>
    <row customHeight="1" ht="11.25">
      <c r="A75" s="0" t="s">
        <v>14</v>
      </c>
      <c r="B75" s="0" t="s">
        <v>3681</v>
      </c>
      <c r="C75" s="0" t="s">
        <v>3682</v>
      </c>
      <c r="D75" s="0" t="s">
        <v>3681</v>
      </c>
      <c r="E75" s="0" t="s">
        <v>3682</v>
      </c>
      <c r="F75" s="0" t="s">
        <v>3532</v>
      </c>
      <c r="G75" s="0" t="s">
        <v>3686</v>
      </c>
    </row>
    <row customHeight="1" ht="11.25">
      <c r="A76" s="0" t="s">
        <v>14</v>
      </c>
      <c r="B76" s="0" t="s">
        <v>3681</v>
      </c>
      <c r="C76" s="0" t="s">
        <v>3682</v>
      </c>
      <c r="D76" s="0" t="s">
        <v>3687</v>
      </c>
      <c r="E76" s="0" t="s">
        <v>3688</v>
      </c>
      <c r="F76" s="0" t="s">
        <v>3531</v>
      </c>
      <c r="G76" s="0" t="s">
        <v>3689</v>
      </c>
    </row>
    <row customHeight="1" ht="11.25">
      <c r="A77" s="0" t="s">
        <v>14</v>
      </c>
      <c r="B77" s="0" t="s">
        <v>3681</v>
      </c>
      <c r="C77" s="0" t="s">
        <v>3682</v>
      </c>
      <c r="D77" s="0" t="s">
        <v>3690</v>
      </c>
      <c r="E77" s="0" t="s">
        <v>3691</v>
      </c>
      <c r="F77" s="0" t="s">
        <v>3531</v>
      </c>
      <c r="G77" s="0" t="s">
        <v>3692</v>
      </c>
    </row>
    <row customHeight="1" ht="11.25">
      <c r="A78" s="0" t="s">
        <v>14</v>
      </c>
      <c r="B78" s="0" t="s">
        <v>3681</v>
      </c>
      <c r="C78" s="0" t="s">
        <v>3682</v>
      </c>
      <c r="D78" s="0" t="s">
        <v>3693</v>
      </c>
      <c r="E78" s="0" t="s">
        <v>3694</v>
      </c>
      <c r="F78" s="0" t="s">
        <v>3531</v>
      </c>
      <c r="G78" s="0" t="s">
        <v>3695</v>
      </c>
    </row>
    <row customHeight="1" ht="11.25">
      <c r="A79" s="0" t="s">
        <v>14</v>
      </c>
      <c r="B79" s="0" t="s">
        <v>3681</v>
      </c>
      <c r="C79" s="0" t="s">
        <v>3682</v>
      </c>
      <c r="D79" s="0" t="s">
        <v>3696</v>
      </c>
      <c r="E79" s="0" t="s">
        <v>3697</v>
      </c>
      <c r="F79" s="0" t="s">
        <v>3531</v>
      </c>
      <c r="G79" s="0" t="s">
        <v>3698</v>
      </c>
    </row>
    <row customHeight="1" ht="11.25">
      <c r="A80" s="0" t="s">
        <v>14</v>
      </c>
      <c r="B80" s="0" t="s">
        <v>3681</v>
      </c>
      <c r="C80" s="0" t="s">
        <v>3682</v>
      </c>
      <c r="D80" s="0" t="s">
        <v>3699</v>
      </c>
      <c r="E80" s="0" t="s">
        <v>3700</v>
      </c>
      <c r="F80" s="0" t="s">
        <v>3531</v>
      </c>
      <c r="G80" s="0" t="s">
        <v>3701</v>
      </c>
    </row>
    <row customHeight="1" ht="11.25">
      <c r="A81" s="0" t="s">
        <v>14</v>
      </c>
      <c r="B81" s="0" t="s">
        <v>3681</v>
      </c>
      <c r="C81" s="0" t="s">
        <v>3682</v>
      </c>
      <c r="D81" s="0" t="s">
        <v>3702</v>
      </c>
      <c r="E81" s="0" t="s">
        <v>3703</v>
      </c>
      <c r="F81" s="0" t="s">
        <v>3531</v>
      </c>
      <c r="G81" s="0" t="s">
        <v>3704</v>
      </c>
    </row>
    <row customHeight="1" ht="11.25">
      <c r="A82" s="0" t="s">
        <v>14</v>
      </c>
      <c r="B82" s="0" t="s">
        <v>3681</v>
      </c>
      <c r="C82" s="0" t="s">
        <v>3682</v>
      </c>
      <c r="D82" s="0" t="s">
        <v>3705</v>
      </c>
      <c r="E82" s="0" t="s">
        <v>3706</v>
      </c>
      <c r="F82" s="0" t="s">
        <v>3531</v>
      </c>
      <c r="G82" s="0" t="s">
        <v>3707</v>
      </c>
    </row>
    <row customHeight="1" ht="11.25">
      <c r="A83" s="0" t="s">
        <v>14</v>
      </c>
      <c r="B83" s="0" t="s">
        <v>3708</v>
      </c>
      <c r="C83" s="0" t="s">
        <v>3709</v>
      </c>
      <c r="D83" s="0" t="s">
        <v>3710</v>
      </c>
      <c r="E83" s="0" t="s">
        <v>3711</v>
      </c>
      <c r="F83" s="0" t="s">
        <v>3531</v>
      </c>
      <c r="G83" s="0" t="s">
        <v>3712</v>
      </c>
    </row>
    <row customHeight="1" ht="11.25">
      <c r="A84" s="0" t="s">
        <v>14</v>
      </c>
      <c r="B84" s="0" t="s">
        <v>3708</v>
      </c>
      <c r="C84" s="0" t="s">
        <v>3709</v>
      </c>
      <c r="D84" s="0" t="s">
        <v>3708</v>
      </c>
      <c r="E84" s="0" t="s">
        <v>3709</v>
      </c>
      <c r="F84" s="0" t="s">
        <v>3532</v>
      </c>
      <c r="G84" s="0" t="s">
        <v>3713</v>
      </c>
    </row>
    <row customHeight="1" ht="11.25">
      <c r="A85" s="0" t="s">
        <v>14</v>
      </c>
      <c r="B85" s="0" t="s">
        <v>3708</v>
      </c>
      <c r="C85" s="0" t="s">
        <v>3709</v>
      </c>
      <c r="D85" s="0" t="s">
        <v>3714</v>
      </c>
      <c r="E85" s="0" t="s">
        <v>3715</v>
      </c>
      <c r="F85" s="0" t="s">
        <v>3531</v>
      </c>
      <c r="G85" s="0" t="s">
        <v>3716</v>
      </c>
    </row>
    <row customHeight="1" ht="11.25">
      <c r="A86" s="0" t="s">
        <v>14</v>
      </c>
      <c r="B86" s="0" t="s">
        <v>3708</v>
      </c>
      <c r="C86" s="0" t="s">
        <v>3709</v>
      </c>
      <c r="D86" s="0" t="s">
        <v>3717</v>
      </c>
      <c r="E86" s="0" t="s">
        <v>3718</v>
      </c>
      <c r="F86" s="0" t="s">
        <v>3531</v>
      </c>
      <c r="G86" s="0" t="s">
        <v>3719</v>
      </c>
    </row>
    <row customHeight="1" ht="11.25">
      <c r="A87" s="0" t="s">
        <v>14</v>
      </c>
      <c r="B87" s="0" t="s">
        <v>3708</v>
      </c>
      <c r="C87" s="0" t="s">
        <v>3709</v>
      </c>
      <c r="D87" s="0" t="s">
        <v>3720</v>
      </c>
      <c r="E87" s="0" t="s">
        <v>3721</v>
      </c>
      <c r="F87" s="0" t="s">
        <v>3531</v>
      </c>
      <c r="G87" s="0" t="s">
        <v>3722</v>
      </c>
    </row>
    <row customHeight="1" ht="11.25">
      <c r="A88" s="0" t="s">
        <v>14</v>
      </c>
      <c r="B88" s="0" t="s">
        <v>3708</v>
      </c>
      <c r="C88" s="0" t="s">
        <v>3709</v>
      </c>
      <c r="D88" s="0" t="s">
        <v>3723</v>
      </c>
      <c r="E88" s="0" t="s">
        <v>3724</v>
      </c>
      <c r="F88" s="0" t="s">
        <v>3531</v>
      </c>
      <c r="G88" s="0" t="s">
        <v>3725</v>
      </c>
    </row>
    <row customHeight="1" ht="11.25">
      <c r="A89" s="0" t="s">
        <v>14</v>
      </c>
      <c r="B89" s="0" t="s">
        <v>3708</v>
      </c>
      <c r="C89" s="0" t="s">
        <v>3709</v>
      </c>
      <c r="D89" s="0" t="s">
        <v>3726</v>
      </c>
      <c r="E89" s="0" t="s">
        <v>3727</v>
      </c>
      <c r="F89" s="0" t="s">
        <v>3531</v>
      </c>
      <c r="G89" s="0" t="s">
        <v>3728</v>
      </c>
    </row>
    <row customHeight="1" ht="11.25">
      <c r="A90" s="0" t="s">
        <v>14</v>
      </c>
      <c r="B90" s="0" t="s">
        <v>3708</v>
      </c>
      <c r="C90" s="0" t="s">
        <v>3709</v>
      </c>
      <c r="D90" s="0" t="s">
        <v>3729</v>
      </c>
      <c r="E90" s="0" t="s">
        <v>3730</v>
      </c>
      <c r="F90" s="0" t="s">
        <v>3531</v>
      </c>
      <c r="G90" s="0" t="s">
        <v>3731</v>
      </c>
    </row>
    <row customHeight="1" ht="11.25">
      <c r="A91" s="0" t="s">
        <v>14</v>
      </c>
      <c r="B91" s="0" t="s">
        <v>3708</v>
      </c>
      <c r="C91" s="0" t="s">
        <v>3709</v>
      </c>
      <c r="D91" s="0" t="s">
        <v>3732</v>
      </c>
      <c r="E91" s="0" t="s">
        <v>3733</v>
      </c>
      <c r="F91" s="0" t="s">
        <v>3531</v>
      </c>
      <c r="G91" s="0" t="s">
        <v>3734</v>
      </c>
    </row>
    <row customHeight="1" ht="11.25">
      <c r="A92" s="0" t="s">
        <v>14</v>
      </c>
      <c r="B92" s="0" t="s">
        <v>3708</v>
      </c>
      <c r="C92" s="0" t="s">
        <v>3709</v>
      </c>
      <c r="D92" s="0" t="s">
        <v>3735</v>
      </c>
      <c r="E92" s="0" t="s">
        <v>3736</v>
      </c>
      <c r="F92" s="0" t="s">
        <v>3531</v>
      </c>
      <c r="G92" s="0" t="s">
        <v>3737</v>
      </c>
    </row>
    <row customHeight="1" ht="11.25">
      <c r="A93" s="0" t="s">
        <v>14</v>
      </c>
      <c r="B93" s="0" t="s">
        <v>3708</v>
      </c>
      <c r="C93" s="0" t="s">
        <v>3709</v>
      </c>
      <c r="D93" s="0" t="s">
        <v>3738</v>
      </c>
      <c r="E93" s="0" t="s">
        <v>3739</v>
      </c>
      <c r="F93" s="0" t="s">
        <v>3531</v>
      </c>
      <c r="G93" s="0" t="s">
        <v>3740</v>
      </c>
    </row>
    <row customHeight="1" ht="11.25">
      <c r="A94" s="0" t="s">
        <v>14</v>
      </c>
      <c r="B94" s="0" t="s">
        <v>3741</v>
      </c>
      <c r="C94" s="0" t="s">
        <v>3742</v>
      </c>
      <c r="D94" s="0" t="s">
        <v>3743</v>
      </c>
      <c r="E94" s="0" t="s">
        <v>3744</v>
      </c>
      <c r="F94" s="0" t="s">
        <v>3531</v>
      </c>
      <c r="G94" s="0" t="s">
        <v>3745</v>
      </c>
    </row>
    <row customHeight="1" ht="11.25">
      <c r="A95" s="0" t="s">
        <v>14</v>
      </c>
      <c r="B95" s="0" t="s">
        <v>3741</v>
      </c>
      <c r="C95" s="0" t="s">
        <v>3742</v>
      </c>
      <c r="D95" s="0" t="s">
        <v>3746</v>
      </c>
      <c r="E95" s="0" t="s">
        <v>3747</v>
      </c>
      <c r="F95" s="0" t="s">
        <v>3531</v>
      </c>
      <c r="G95" s="0" t="s">
        <v>3748</v>
      </c>
    </row>
    <row customHeight="1" ht="11.25">
      <c r="A96" s="0" t="s">
        <v>14</v>
      </c>
      <c r="B96" s="0" t="s">
        <v>3741</v>
      </c>
      <c r="C96" s="0" t="s">
        <v>3742</v>
      </c>
      <c r="D96" s="0" t="s">
        <v>3749</v>
      </c>
      <c r="E96" s="0" t="s">
        <v>3750</v>
      </c>
      <c r="F96" s="0" t="s">
        <v>3531</v>
      </c>
      <c r="G96" s="0" t="s">
        <v>3751</v>
      </c>
    </row>
    <row customHeight="1" ht="11.25">
      <c r="A97" s="0" t="s">
        <v>14</v>
      </c>
      <c r="B97" s="0" t="s">
        <v>3741</v>
      </c>
      <c r="C97" s="0" t="s">
        <v>3742</v>
      </c>
      <c r="D97" s="0" t="s">
        <v>3741</v>
      </c>
      <c r="E97" s="0" t="s">
        <v>3742</v>
      </c>
      <c r="F97" s="0" t="s">
        <v>3532</v>
      </c>
      <c r="G97" s="0" t="s">
        <v>3752</v>
      </c>
    </row>
    <row customHeight="1" ht="11.25">
      <c r="A98" s="0" t="s">
        <v>14</v>
      </c>
      <c r="B98" s="0" t="s">
        <v>3741</v>
      </c>
      <c r="C98" s="0" t="s">
        <v>3742</v>
      </c>
      <c r="D98" s="0" t="s">
        <v>3753</v>
      </c>
      <c r="E98" s="0" t="s">
        <v>3754</v>
      </c>
      <c r="F98" s="0" t="s">
        <v>3531</v>
      </c>
      <c r="G98" s="0" t="s">
        <v>3755</v>
      </c>
    </row>
    <row customHeight="1" ht="11.25">
      <c r="A99" s="0" t="s">
        <v>14</v>
      </c>
      <c r="B99" s="0" t="s">
        <v>3741</v>
      </c>
      <c r="C99" s="0" t="s">
        <v>3742</v>
      </c>
      <c r="D99" s="0" t="s">
        <v>3756</v>
      </c>
      <c r="E99" s="0" t="s">
        <v>3757</v>
      </c>
      <c r="F99" s="0" t="s">
        <v>3531</v>
      </c>
      <c r="G99" s="0" t="s">
        <v>3758</v>
      </c>
    </row>
    <row customHeight="1" ht="11.25">
      <c r="A100" s="0" t="s">
        <v>14</v>
      </c>
      <c r="B100" s="0" t="s">
        <v>3741</v>
      </c>
      <c r="C100" s="0" t="s">
        <v>3742</v>
      </c>
      <c r="D100" s="0" t="s">
        <v>3759</v>
      </c>
      <c r="E100" s="0" t="s">
        <v>3760</v>
      </c>
      <c r="F100" s="0" t="s">
        <v>3531</v>
      </c>
      <c r="G100" s="0" t="s">
        <v>3761</v>
      </c>
    </row>
    <row customHeight="1" ht="11.25">
      <c r="A101" s="0" t="s">
        <v>14</v>
      </c>
      <c r="B101" s="0" t="s">
        <v>3741</v>
      </c>
      <c r="C101" s="0" t="s">
        <v>3742</v>
      </c>
      <c r="D101" s="0" t="s">
        <v>3690</v>
      </c>
      <c r="E101" s="0" t="s">
        <v>3762</v>
      </c>
      <c r="F101" s="0" t="s">
        <v>3531</v>
      </c>
      <c r="G101" s="0" t="s">
        <v>3763</v>
      </c>
    </row>
    <row customHeight="1" ht="11.25">
      <c r="A102" s="0" t="s">
        <v>14</v>
      </c>
      <c r="B102" s="0" t="s">
        <v>3741</v>
      </c>
      <c r="C102" s="0" t="s">
        <v>3742</v>
      </c>
      <c r="D102" s="0" t="s">
        <v>3764</v>
      </c>
      <c r="E102" s="0" t="s">
        <v>3765</v>
      </c>
      <c r="F102" s="0" t="s">
        <v>3531</v>
      </c>
      <c r="G102" s="0" t="s">
        <v>3766</v>
      </c>
    </row>
    <row customHeight="1" ht="11.25">
      <c r="A103" s="0" t="s">
        <v>14</v>
      </c>
      <c r="B103" s="0" t="s">
        <v>3741</v>
      </c>
      <c r="C103" s="0" t="s">
        <v>3742</v>
      </c>
      <c r="D103" s="0" t="s">
        <v>3579</v>
      </c>
      <c r="E103" s="0" t="s">
        <v>3767</v>
      </c>
      <c r="F103" s="0" t="s">
        <v>3531</v>
      </c>
      <c r="G103" s="0" t="s">
        <v>3768</v>
      </c>
    </row>
    <row customHeight="1" ht="11.25">
      <c r="A104" s="0" t="s">
        <v>14</v>
      </c>
      <c r="B104" s="0" t="s">
        <v>3741</v>
      </c>
      <c r="C104" s="0" t="s">
        <v>3742</v>
      </c>
      <c r="D104" s="0" t="s">
        <v>3655</v>
      </c>
      <c r="E104" s="0" t="s">
        <v>3769</v>
      </c>
      <c r="F104" s="0" t="s">
        <v>3531</v>
      </c>
      <c r="G104" s="0" t="s">
        <v>3770</v>
      </c>
    </row>
    <row customHeight="1" ht="11.25">
      <c r="A105" s="0" t="s">
        <v>14</v>
      </c>
      <c r="B105" s="0" t="s">
        <v>3741</v>
      </c>
      <c r="C105" s="0" t="s">
        <v>3742</v>
      </c>
      <c r="D105" s="0" t="s">
        <v>3633</v>
      </c>
      <c r="E105" s="0" t="s">
        <v>3771</v>
      </c>
      <c r="F105" s="0" t="s">
        <v>3531</v>
      </c>
      <c r="G105" s="0" t="s">
        <v>3772</v>
      </c>
    </row>
    <row customHeight="1" ht="11.25">
      <c r="A106" s="0" t="s">
        <v>14</v>
      </c>
      <c r="B106" s="0" t="s">
        <v>3741</v>
      </c>
      <c r="C106" s="0" t="s">
        <v>3742</v>
      </c>
      <c r="D106" s="0" t="s">
        <v>3773</v>
      </c>
      <c r="E106" s="0" t="s">
        <v>3774</v>
      </c>
      <c r="F106" s="0" t="s">
        <v>3531</v>
      </c>
      <c r="G106" s="0" t="s">
        <v>3775</v>
      </c>
    </row>
    <row customHeight="1" ht="11.25">
      <c r="A107" s="0" t="s">
        <v>14</v>
      </c>
      <c r="B107" s="0" t="s">
        <v>3741</v>
      </c>
      <c r="C107" s="0" t="s">
        <v>3742</v>
      </c>
      <c r="D107" s="0" t="s">
        <v>3776</v>
      </c>
      <c r="E107" s="0" t="s">
        <v>3777</v>
      </c>
      <c r="F107" s="0" t="s">
        <v>3531</v>
      </c>
      <c r="G107" s="0" t="s">
        <v>3778</v>
      </c>
    </row>
    <row customHeight="1" ht="11.25">
      <c r="A108" s="0" t="s">
        <v>14</v>
      </c>
      <c r="B108" s="0" t="s">
        <v>3741</v>
      </c>
      <c r="C108" s="0" t="s">
        <v>3742</v>
      </c>
      <c r="D108" s="0" t="s">
        <v>3779</v>
      </c>
      <c r="E108" s="0" t="s">
        <v>3780</v>
      </c>
      <c r="F108" s="0" t="s">
        <v>3531</v>
      </c>
      <c r="G108" s="0" t="s">
        <v>3781</v>
      </c>
    </row>
    <row customHeight="1" ht="11.25">
      <c r="A109" s="0" t="s">
        <v>14</v>
      </c>
      <c r="B109" s="0" t="s">
        <v>3741</v>
      </c>
      <c r="C109" s="0" t="s">
        <v>3742</v>
      </c>
      <c r="D109" s="0" t="s">
        <v>3782</v>
      </c>
      <c r="E109" s="0" t="s">
        <v>3783</v>
      </c>
      <c r="F109" s="0" t="s">
        <v>3531</v>
      </c>
      <c r="G109" s="0" t="s">
        <v>3784</v>
      </c>
    </row>
    <row customHeight="1" ht="11.25">
      <c r="A110" s="0" t="s">
        <v>14</v>
      </c>
      <c r="B110" s="0" t="s">
        <v>3741</v>
      </c>
      <c r="C110" s="0" t="s">
        <v>3742</v>
      </c>
      <c r="D110" s="0" t="s">
        <v>3785</v>
      </c>
      <c r="E110" s="0" t="s">
        <v>3786</v>
      </c>
      <c r="F110" s="0" t="s">
        <v>3531</v>
      </c>
      <c r="G110" s="0" t="s">
        <v>3787</v>
      </c>
    </row>
    <row customHeight="1" ht="11.25">
      <c r="A111" s="0" t="s">
        <v>14</v>
      </c>
      <c r="B111" s="0" t="s">
        <v>3741</v>
      </c>
      <c r="C111" s="0" t="s">
        <v>3742</v>
      </c>
      <c r="D111" s="0" t="s">
        <v>3788</v>
      </c>
      <c r="E111" s="0" t="s">
        <v>3789</v>
      </c>
      <c r="F111" s="0" t="s">
        <v>3531</v>
      </c>
      <c r="G111" s="0" t="s">
        <v>3790</v>
      </c>
    </row>
    <row customHeight="1" ht="11.25">
      <c r="A112" s="0" t="s">
        <v>14</v>
      </c>
      <c r="B112" s="0" t="s">
        <v>3741</v>
      </c>
      <c r="C112" s="0" t="s">
        <v>3742</v>
      </c>
      <c r="D112" s="0" t="s">
        <v>3791</v>
      </c>
      <c r="E112" s="0" t="s">
        <v>3792</v>
      </c>
      <c r="F112" s="0" t="s">
        <v>3531</v>
      </c>
      <c r="G112" s="0" t="s">
        <v>3793</v>
      </c>
    </row>
    <row customHeight="1" ht="11.25">
      <c r="A113" s="0" t="s">
        <v>14</v>
      </c>
      <c r="B113" s="0" t="s">
        <v>3741</v>
      </c>
      <c r="C113" s="0" t="s">
        <v>3742</v>
      </c>
      <c r="D113" s="0" t="s">
        <v>3794</v>
      </c>
      <c r="E113" s="0" t="s">
        <v>3795</v>
      </c>
      <c r="F113" s="0" t="s">
        <v>3531</v>
      </c>
      <c r="G113" s="0" t="s">
        <v>3796</v>
      </c>
    </row>
    <row customHeight="1" ht="11.25">
      <c r="A114" s="0" t="s">
        <v>14</v>
      </c>
      <c r="B114" s="0" t="s">
        <v>3797</v>
      </c>
      <c r="C114" s="0" t="s">
        <v>3798</v>
      </c>
      <c r="D114" s="0" t="s">
        <v>3799</v>
      </c>
      <c r="E114" s="0" t="s">
        <v>3800</v>
      </c>
      <c r="F114" s="0" t="s">
        <v>3531</v>
      </c>
      <c r="G114" s="0" t="s">
        <v>3801</v>
      </c>
    </row>
    <row customHeight="1" ht="11.25">
      <c r="A115" s="0" t="s">
        <v>14</v>
      </c>
      <c r="B115" s="0" t="s">
        <v>3797</v>
      </c>
      <c r="C115" s="0" t="s">
        <v>3798</v>
      </c>
      <c r="D115" s="0" t="s">
        <v>3802</v>
      </c>
      <c r="E115" s="0" t="s">
        <v>3803</v>
      </c>
      <c r="F115" s="0" t="s">
        <v>3531</v>
      </c>
      <c r="G115" s="0" t="s">
        <v>3804</v>
      </c>
    </row>
    <row customHeight="1" ht="11.25">
      <c r="A116" s="0" t="s">
        <v>14</v>
      </c>
      <c r="B116" s="0" t="s">
        <v>3797</v>
      </c>
      <c r="C116" s="0" t="s">
        <v>3798</v>
      </c>
      <c r="D116" s="0" t="s">
        <v>3797</v>
      </c>
      <c r="E116" s="0" t="s">
        <v>3798</v>
      </c>
      <c r="F116" s="0" t="s">
        <v>3532</v>
      </c>
      <c r="G116" s="0" t="s">
        <v>3805</v>
      </c>
    </row>
    <row customHeight="1" ht="11.25">
      <c r="A117" s="0" t="s">
        <v>14</v>
      </c>
      <c r="B117" s="0" t="s">
        <v>3797</v>
      </c>
      <c r="C117" s="0" t="s">
        <v>3798</v>
      </c>
      <c r="D117" s="0" t="s">
        <v>3806</v>
      </c>
      <c r="E117" s="0" t="s">
        <v>3807</v>
      </c>
      <c r="F117" s="0" t="s">
        <v>3531</v>
      </c>
      <c r="G117" s="0" t="s">
        <v>3808</v>
      </c>
    </row>
    <row customHeight="1" ht="11.25">
      <c r="A118" s="0" t="s">
        <v>14</v>
      </c>
      <c r="B118" s="0" t="s">
        <v>3797</v>
      </c>
      <c r="C118" s="0" t="s">
        <v>3798</v>
      </c>
      <c r="D118" s="0" t="s">
        <v>3809</v>
      </c>
      <c r="E118" s="0" t="s">
        <v>3810</v>
      </c>
      <c r="F118" s="0" t="s">
        <v>3531</v>
      </c>
      <c r="G118" s="0" t="s">
        <v>3811</v>
      </c>
    </row>
    <row customHeight="1" ht="11.25">
      <c r="A119" s="0" t="s">
        <v>14</v>
      </c>
      <c r="B119" s="0" t="s">
        <v>3797</v>
      </c>
      <c r="C119" s="0" t="s">
        <v>3798</v>
      </c>
      <c r="D119" s="0" t="s">
        <v>3812</v>
      </c>
      <c r="E119" s="0" t="s">
        <v>3813</v>
      </c>
      <c r="F119" s="0" t="s">
        <v>3531</v>
      </c>
      <c r="G119" s="0" t="s">
        <v>3814</v>
      </c>
    </row>
    <row customHeight="1" ht="11.25">
      <c r="A120" s="0" t="s">
        <v>14</v>
      </c>
      <c r="B120" s="0" t="s">
        <v>3797</v>
      </c>
      <c r="C120" s="0" t="s">
        <v>3798</v>
      </c>
      <c r="D120" s="0" t="s">
        <v>3815</v>
      </c>
      <c r="E120" s="0" t="s">
        <v>3816</v>
      </c>
      <c r="F120" s="0" t="s">
        <v>3531</v>
      </c>
      <c r="G120" s="0" t="s">
        <v>3817</v>
      </c>
    </row>
    <row customHeight="1" ht="11.25">
      <c r="A121" s="0" t="s">
        <v>14</v>
      </c>
      <c r="B121" s="0" t="s">
        <v>3797</v>
      </c>
      <c r="C121" s="0" t="s">
        <v>3798</v>
      </c>
      <c r="D121" s="0" t="s">
        <v>3818</v>
      </c>
      <c r="E121" s="0" t="s">
        <v>3819</v>
      </c>
      <c r="F121" s="0" t="s">
        <v>3531</v>
      </c>
      <c r="G121" s="0" t="s">
        <v>3820</v>
      </c>
    </row>
    <row customHeight="1" ht="11.25">
      <c r="A122" s="0" t="s">
        <v>14</v>
      </c>
      <c r="B122" s="0" t="s">
        <v>3797</v>
      </c>
      <c r="C122" s="0" t="s">
        <v>3798</v>
      </c>
      <c r="D122" s="0" t="s">
        <v>3821</v>
      </c>
      <c r="E122" s="0" t="s">
        <v>3822</v>
      </c>
      <c r="F122" s="0" t="s">
        <v>3531</v>
      </c>
      <c r="G122" s="0" t="s">
        <v>3823</v>
      </c>
    </row>
    <row customHeight="1" ht="11.25">
      <c r="A123" s="0" t="s">
        <v>14</v>
      </c>
      <c r="B123" s="0" t="s">
        <v>3797</v>
      </c>
      <c r="C123" s="0" t="s">
        <v>3798</v>
      </c>
      <c r="D123" s="0" t="s">
        <v>3824</v>
      </c>
      <c r="E123" s="0" t="s">
        <v>3825</v>
      </c>
      <c r="F123" s="0" t="s">
        <v>3531</v>
      </c>
      <c r="G123" s="0" t="s">
        <v>3826</v>
      </c>
    </row>
    <row customHeight="1" ht="11.25">
      <c r="A124" s="0" t="s">
        <v>14</v>
      </c>
      <c r="B124" s="0" t="s">
        <v>3797</v>
      </c>
      <c r="C124" s="0" t="s">
        <v>3798</v>
      </c>
      <c r="D124" s="0" t="s">
        <v>3827</v>
      </c>
      <c r="E124" s="0" t="s">
        <v>3828</v>
      </c>
      <c r="F124" s="0" t="s">
        <v>3531</v>
      </c>
      <c r="G124" s="0" t="s">
        <v>3829</v>
      </c>
    </row>
    <row customHeight="1" ht="11.25">
      <c r="A125" s="0" t="s">
        <v>14</v>
      </c>
      <c r="B125" s="0" t="s">
        <v>3797</v>
      </c>
      <c r="C125" s="0" t="s">
        <v>3798</v>
      </c>
      <c r="D125" s="0" t="s">
        <v>3830</v>
      </c>
      <c r="E125" s="0" t="s">
        <v>3831</v>
      </c>
      <c r="F125" s="0" t="s">
        <v>3531</v>
      </c>
      <c r="G125" s="0" t="s">
        <v>3832</v>
      </c>
    </row>
    <row customHeight="1" ht="11.25">
      <c r="A126" s="0" t="s">
        <v>14</v>
      </c>
      <c r="B126" s="0" t="s">
        <v>3797</v>
      </c>
      <c r="C126" s="0" t="s">
        <v>3798</v>
      </c>
      <c r="D126" s="0" t="s">
        <v>3833</v>
      </c>
      <c r="E126" s="0" t="s">
        <v>3834</v>
      </c>
      <c r="F126" s="0" t="s">
        <v>3531</v>
      </c>
      <c r="G126" s="0" t="s">
        <v>3835</v>
      </c>
    </row>
    <row customHeight="1" ht="11.25">
      <c r="A127" s="0" t="s">
        <v>14</v>
      </c>
      <c r="B127" s="0" t="s">
        <v>3797</v>
      </c>
      <c r="C127" s="0" t="s">
        <v>3798</v>
      </c>
      <c r="D127" s="0" t="s">
        <v>3836</v>
      </c>
      <c r="E127" s="0" t="s">
        <v>3837</v>
      </c>
      <c r="F127" s="0" t="s">
        <v>3531</v>
      </c>
      <c r="G127" s="0" t="s">
        <v>3838</v>
      </c>
    </row>
    <row customHeight="1" ht="11.25">
      <c r="A128" s="0" t="s">
        <v>14</v>
      </c>
      <c r="B128" s="0" t="s">
        <v>3797</v>
      </c>
      <c r="C128" s="0" t="s">
        <v>3798</v>
      </c>
      <c r="D128" s="0" t="s">
        <v>3839</v>
      </c>
      <c r="E128" s="0" t="s">
        <v>3840</v>
      </c>
      <c r="F128" s="0" t="s">
        <v>3531</v>
      </c>
      <c r="G128" s="0" t="s">
        <v>3841</v>
      </c>
    </row>
    <row customHeight="1" ht="11.25">
      <c r="A129" s="0" t="s">
        <v>14</v>
      </c>
      <c r="B129" s="0" t="s">
        <v>3797</v>
      </c>
      <c r="C129" s="0" t="s">
        <v>3798</v>
      </c>
      <c r="D129" s="0" t="s">
        <v>3842</v>
      </c>
      <c r="E129" s="0" t="s">
        <v>3843</v>
      </c>
      <c r="F129" s="0" t="s">
        <v>3531</v>
      </c>
      <c r="G129" s="0" t="s">
        <v>3844</v>
      </c>
    </row>
    <row customHeight="1" ht="11.25">
      <c r="A130" s="0" t="s">
        <v>14</v>
      </c>
      <c r="B130" s="0" t="s">
        <v>3845</v>
      </c>
      <c r="C130" s="0" t="s">
        <v>3846</v>
      </c>
      <c r="D130" s="0" t="s">
        <v>3847</v>
      </c>
      <c r="E130" s="0" t="s">
        <v>3848</v>
      </c>
      <c r="F130" s="0" t="s">
        <v>3531</v>
      </c>
      <c r="G130" s="0" t="s">
        <v>3849</v>
      </c>
    </row>
    <row customHeight="1" ht="11.25">
      <c r="A131" s="0" t="s">
        <v>14</v>
      </c>
      <c r="B131" s="0" t="s">
        <v>3845</v>
      </c>
      <c r="C131" s="0" t="s">
        <v>3846</v>
      </c>
      <c r="D131" s="0" t="s">
        <v>3850</v>
      </c>
      <c r="E131" s="0" t="s">
        <v>3851</v>
      </c>
      <c r="F131" s="0" t="s">
        <v>3531</v>
      </c>
      <c r="G131" s="0" t="s">
        <v>3852</v>
      </c>
    </row>
    <row customHeight="1" ht="11.25">
      <c r="A132" s="0" t="s">
        <v>14</v>
      </c>
      <c r="B132" s="0" t="s">
        <v>3845</v>
      </c>
      <c r="C132" s="0" t="s">
        <v>3846</v>
      </c>
      <c r="D132" s="0" t="s">
        <v>3853</v>
      </c>
      <c r="E132" s="0" t="s">
        <v>3854</v>
      </c>
      <c r="F132" s="0" t="s">
        <v>3531</v>
      </c>
      <c r="G132" s="0" t="s">
        <v>3855</v>
      </c>
    </row>
    <row customHeight="1" ht="11.25">
      <c r="A133" s="0" t="s">
        <v>14</v>
      </c>
      <c r="B133" s="0" t="s">
        <v>3845</v>
      </c>
      <c r="C133" s="0" t="s">
        <v>3846</v>
      </c>
      <c r="D133" s="0" t="s">
        <v>3845</v>
      </c>
      <c r="E133" s="0" t="s">
        <v>3846</v>
      </c>
      <c r="F133" s="0" t="s">
        <v>3532</v>
      </c>
      <c r="G133" s="0" t="s">
        <v>3856</v>
      </c>
    </row>
    <row customHeight="1" ht="11.25">
      <c r="A134" s="0" t="s">
        <v>14</v>
      </c>
      <c r="B134" s="0" t="s">
        <v>3845</v>
      </c>
      <c r="C134" s="0" t="s">
        <v>3846</v>
      </c>
      <c r="D134" s="0" t="s">
        <v>3857</v>
      </c>
      <c r="E134" s="0" t="s">
        <v>3858</v>
      </c>
      <c r="F134" s="0" t="s">
        <v>3859</v>
      </c>
      <c r="G134" s="0" t="s">
        <v>3860</v>
      </c>
    </row>
    <row customHeight="1" ht="11.25">
      <c r="A135" s="0" t="s">
        <v>14</v>
      </c>
      <c r="B135" s="0" t="s">
        <v>3845</v>
      </c>
      <c r="C135" s="0" t="s">
        <v>3846</v>
      </c>
      <c r="D135" s="0" t="s">
        <v>3625</v>
      </c>
      <c r="E135" s="0" t="s">
        <v>3861</v>
      </c>
      <c r="F135" s="0" t="s">
        <v>3531</v>
      </c>
      <c r="G135" s="0" t="s">
        <v>3862</v>
      </c>
    </row>
    <row customHeight="1" ht="11.25">
      <c r="A136" s="0" t="s">
        <v>14</v>
      </c>
      <c r="B136" s="0" t="s">
        <v>3845</v>
      </c>
      <c r="C136" s="0" t="s">
        <v>3846</v>
      </c>
      <c r="D136" s="0" t="s">
        <v>3863</v>
      </c>
      <c r="E136" s="0" t="s">
        <v>3864</v>
      </c>
      <c r="F136" s="0" t="s">
        <v>3531</v>
      </c>
      <c r="G136" s="0" t="s">
        <v>3865</v>
      </c>
    </row>
    <row customHeight="1" ht="11.25">
      <c r="A137" s="0" t="s">
        <v>14</v>
      </c>
      <c r="B137" s="0" t="s">
        <v>3845</v>
      </c>
      <c r="C137" s="0" t="s">
        <v>3846</v>
      </c>
      <c r="D137" s="0" t="s">
        <v>3866</v>
      </c>
      <c r="E137" s="0" t="s">
        <v>3867</v>
      </c>
      <c r="F137" s="0" t="s">
        <v>3531</v>
      </c>
      <c r="G137" s="0" t="s">
        <v>3868</v>
      </c>
    </row>
    <row customHeight="1" ht="11.25">
      <c r="A138" s="0" t="s">
        <v>14</v>
      </c>
      <c r="B138" s="0" t="s">
        <v>3845</v>
      </c>
      <c r="C138" s="0" t="s">
        <v>3846</v>
      </c>
      <c r="D138" s="0" t="s">
        <v>3869</v>
      </c>
      <c r="E138" s="0" t="s">
        <v>3870</v>
      </c>
      <c r="F138" s="0" t="s">
        <v>3531</v>
      </c>
      <c r="G138" s="0" t="s">
        <v>3871</v>
      </c>
    </row>
    <row customHeight="1" ht="11.25">
      <c r="A139" s="0" t="s">
        <v>14</v>
      </c>
      <c r="B139" s="0" t="s">
        <v>3872</v>
      </c>
      <c r="C139" s="0" t="s">
        <v>3873</v>
      </c>
      <c r="D139" s="0" t="s">
        <v>3874</v>
      </c>
      <c r="E139" s="0" t="s">
        <v>3875</v>
      </c>
      <c r="F139" s="0" t="s">
        <v>3531</v>
      </c>
      <c r="G139" s="0" t="s">
        <v>3876</v>
      </c>
    </row>
    <row customHeight="1" ht="11.25">
      <c r="A140" s="0" t="s">
        <v>14</v>
      </c>
      <c r="B140" s="0" t="s">
        <v>3872</v>
      </c>
      <c r="C140" s="0" t="s">
        <v>3873</v>
      </c>
      <c r="D140" s="0" t="s">
        <v>3877</v>
      </c>
      <c r="E140" s="0" t="s">
        <v>3878</v>
      </c>
      <c r="F140" s="0" t="s">
        <v>3531</v>
      </c>
      <c r="G140" s="0" t="s">
        <v>3879</v>
      </c>
    </row>
    <row customHeight="1" ht="11.25">
      <c r="A141" s="0" t="s">
        <v>14</v>
      </c>
      <c r="B141" s="0" t="s">
        <v>3872</v>
      </c>
      <c r="C141" s="0" t="s">
        <v>3873</v>
      </c>
      <c r="D141" s="0" t="s">
        <v>3880</v>
      </c>
      <c r="E141" s="0" t="s">
        <v>3881</v>
      </c>
      <c r="F141" s="0" t="s">
        <v>3531</v>
      </c>
      <c r="G141" s="0" t="s">
        <v>3882</v>
      </c>
    </row>
    <row customHeight="1" ht="11.25">
      <c r="A142" s="0" t="s">
        <v>14</v>
      </c>
      <c r="B142" s="0" t="s">
        <v>3872</v>
      </c>
      <c r="C142" s="0" t="s">
        <v>3873</v>
      </c>
      <c r="D142" s="0" t="s">
        <v>3883</v>
      </c>
      <c r="E142" s="0" t="s">
        <v>3884</v>
      </c>
      <c r="F142" s="0" t="s">
        <v>3531</v>
      </c>
      <c r="G142" s="0" t="s">
        <v>3885</v>
      </c>
    </row>
    <row customHeight="1" ht="11.25">
      <c r="A143" s="0" t="s">
        <v>14</v>
      </c>
      <c r="B143" s="0" t="s">
        <v>3872</v>
      </c>
      <c r="C143" s="0" t="s">
        <v>3873</v>
      </c>
      <c r="D143" s="0" t="s">
        <v>3886</v>
      </c>
      <c r="E143" s="0" t="s">
        <v>3887</v>
      </c>
      <c r="F143" s="0" t="s">
        <v>3531</v>
      </c>
      <c r="G143" s="0" t="s">
        <v>3888</v>
      </c>
    </row>
    <row customHeight="1" ht="11.25">
      <c r="A144" s="0" t="s">
        <v>14</v>
      </c>
      <c r="B144" s="0" t="s">
        <v>3872</v>
      </c>
      <c r="C144" s="0" t="s">
        <v>3873</v>
      </c>
      <c r="D144" s="0" t="s">
        <v>3872</v>
      </c>
      <c r="E144" s="0" t="s">
        <v>3873</v>
      </c>
      <c r="F144" s="0" t="s">
        <v>3532</v>
      </c>
      <c r="G144" s="0" t="s">
        <v>3889</v>
      </c>
    </row>
    <row customHeight="1" ht="11.25">
      <c r="A145" s="0" t="s">
        <v>14</v>
      </c>
      <c r="B145" s="0" t="s">
        <v>3872</v>
      </c>
      <c r="C145" s="0" t="s">
        <v>3873</v>
      </c>
      <c r="D145" s="0" t="s">
        <v>3890</v>
      </c>
      <c r="E145" s="0" t="s">
        <v>3891</v>
      </c>
      <c r="F145" s="0" t="s">
        <v>3531</v>
      </c>
      <c r="G145" s="0" t="s">
        <v>3892</v>
      </c>
    </row>
    <row customHeight="1" ht="11.25">
      <c r="A146" s="0" t="s">
        <v>14</v>
      </c>
      <c r="B146" s="0" t="s">
        <v>3872</v>
      </c>
      <c r="C146" s="0" t="s">
        <v>3873</v>
      </c>
      <c r="D146" s="0" t="s">
        <v>3893</v>
      </c>
      <c r="E146" s="0" t="s">
        <v>3894</v>
      </c>
      <c r="F146" s="0" t="s">
        <v>3531</v>
      </c>
      <c r="G146" s="0" t="s">
        <v>3895</v>
      </c>
    </row>
    <row customHeight="1" ht="11.25">
      <c r="A147" s="0" t="s">
        <v>14</v>
      </c>
      <c r="B147" s="0" t="s">
        <v>3872</v>
      </c>
      <c r="C147" s="0" t="s">
        <v>3873</v>
      </c>
      <c r="D147" s="0" t="s">
        <v>3896</v>
      </c>
      <c r="E147" s="0" t="s">
        <v>3897</v>
      </c>
      <c r="F147" s="0" t="s">
        <v>3531</v>
      </c>
      <c r="G147" s="0" t="s">
        <v>3898</v>
      </c>
    </row>
    <row customHeight="1" ht="11.25">
      <c r="A148" s="0" t="s">
        <v>14</v>
      </c>
      <c r="B148" s="0" t="s">
        <v>3872</v>
      </c>
      <c r="C148" s="0" t="s">
        <v>3873</v>
      </c>
      <c r="D148" s="0" t="s">
        <v>3899</v>
      </c>
      <c r="E148" s="0" t="s">
        <v>3900</v>
      </c>
      <c r="F148" s="0" t="s">
        <v>3531</v>
      </c>
      <c r="G148" s="0" t="s">
        <v>3901</v>
      </c>
    </row>
    <row customHeight="1" ht="11.25">
      <c r="A149" s="0" t="s">
        <v>14</v>
      </c>
      <c r="B149" s="0" t="s">
        <v>3872</v>
      </c>
      <c r="C149" s="0" t="s">
        <v>3873</v>
      </c>
      <c r="D149" s="0" t="s">
        <v>3902</v>
      </c>
      <c r="E149" s="0" t="s">
        <v>3903</v>
      </c>
      <c r="F149" s="0" t="s">
        <v>3531</v>
      </c>
      <c r="G149" s="0" t="s">
        <v>3904</v>
      </c>
    </row>
    <row customHeight="1" ht="11.25">
      <c r="A150" s="0" t="s">
        <v>14</v>
      </c>
      <c r="B150" s="0" t="s">
        <v>3872</v>
      </c>
      <c r="C150" s="0" t="s">
        <v>3873</v>
      </c>
      <c r="D150" s="0" t="s">
        <v>3905</v>
      </c>
      <c r="E150" s="0" t="s">
        <v>3906</v>
      </c>
      <c r="F150" s="0" t="s">
        <v>3531</v>
      </c>
      <c r="G150" s="0" t="s">
        <v>3907</v>
      </c>
    </row>
    <row customHeight="1" ht="11.25">
      <c r="A151" s="0" t="s">
        <v>14</v>
      </c>
      <c r="B151" s="0" t="s">
        <v>3872</v>
      </c>
      <c r="C151" s="0" t="s">
        <v>3873</v>
      </c>
      <c r="D151" s="0" t="s">
        <v>3908</v>
      </c>
      <c r="E151" s="0" t="s">
        <v>3909</v>
      </c>
      <c r="F151" s="0" t="s">
        <v>3531</v>
      </c>
      <c r="G151" s="0" t="s">
        <v>3910</v>
      </c>
    </row>
    <row customHeight="1" ht="11.25">
      <c r="A152" s="0" t="s">
        <v>14</v>
      </c>
      <c r="B152" s="0" t="s">
        <v>3911</v>
      </c>
      <c r="C152" s="0" t="s">
        <v>3912</v>
      </c>
      <c r="D152" s="0" t="s">
        <v>3913</v>
      </c>
      <c r="E152" s="0" t="s">
        <v>3914</v>
      </c>
      <c r="F152" s="0" t="s">
        <v>3531</v>
      </c>
      <c r="G152" s="0" t="s">
        <v>3915</v>
      </c>
    </row>
    <row customHeight="1" ht="11.25">
      <c r="A153" s="0" t="s">
        <v>14</v>
      </c>
      <c r="B153" s="0" t="s">
        <v>3911</v>
      </c>
      <c r="C153" s="0" t="s">
        <v>3912</v>
      </c>
      <c r="D153" s="0" t="s">
        <v>3916</v>
      </c>
      <c r="E153" s="0" t="s">
        <v>3917</v>
      </c>
      <c r="F153" s="0" t="s">
        <v>3531</v>
      </c>
      <c r="G153" s="0" t="s">
        <v>3918</v>
      </c>
    </row>
    <row customHeight="1" ht="11.25">
      <c r="A154" s="0" t="s">
        <v>14</v>
      </c>
      <c r="B154" s="0" t="s">
        <v>3911</v>
      </c>
      <c r="C154" s="0" t="s">
        <v>3912</v>
      </c>
      <c r="D154" s="0" t="s">
        <v>3919</v>
      </c>
      <c r="E154" s="0" t="s">
        <v>3920</v>
      </c>
      <c r="F154" s="0" t="s">
        <v>3531</v>
      </c>
      <c r="G154" s="0" t="s">
        <v>3921</v>
      </c>
    </row>
    <row customHeight="1" ht="11.25">
      <c r="A155" s="0" t="s">
        <v>14</v>
      </c>
      <c r="B155" s="0" t="s">
        <v>3911</v>
      </c>
      <c r="C155" s="0" t="s">
        <v>3912</v>
      </c>
      <c r="D155" s="0" t="s">
        <v>3911</v>
      </c>
      <c r="E155" s="0" t="s">
        <v>3912</v>
      </c>
      <c r="F155" s="0" t="s">
        <v>3532</v>
      </c>
      <c r="G155" s="0" t="s">
        <v>3922</v>
      </c>
    </row>
    <row customHeight="1" ht="11.25">
      <c r="A156" s="0" t="s">
        <v>14</v>
      </c>
      <c r="B156" s="0" t="s">
        <v>3911</v>
      </c>
      <c r="C156" s="0" t="s">
        <v>3912</v>
      </c>
      <c r="D156" s="0" t="s">
        <v>3923</v>
      </c>
      <c r="E156" s="0" t="s">
        <v>3924</v>
      </c>
      <c r="F156" s="0" t="s">
        <v>3531</v>
      </c>
      <c r="G156" s="0" t="s">
        <v>3925</v>
      </c>
    </row>
    <row customHeight="1" ht="11.25">
      <c r="A157" s="0" t="s">
        <v>14</v>
      </c>
      <c r="B157" s="0" t="s">
        <v>3911</v>
      </c>
      <c r="C157" s="0" t="s">
        <v>3912</v>
      </c>
      <c r="D157" s="0" t="s">
        <v>3926</v>
      </c>
      <c r="E157" s="0" t="s">
        <v>3927</v>
      </c>
      <c r="F157" s="0" t="s">
        <v>3531</v>
      </c>
      <c r="G157" s="0" t="s">
        <v>3928</v>
      </c>
    </row>
    <row customHeight="1" ht="11.25">
      <c r="A158" s="0" t="s">
        <v>14</v>
      </c>
      <c r="B158" s="0" t="s">
        <v>3911</v>
      </c>
      <c r="C158" s="0" t="s">
        <v>3912</v>
      </c>
      <c r="D158" s="0" t="s">
        <v>3929</v>
      </c>
      <c r="E158" s="0" t="s">
        <v>3930</v>
      </c>
      <c r="F158" s="0" t="s">
        <v>3531</v>
      </c>
      <c r="G158" s="0" t="s">
        <v>3931</v>
      </c>
    </row>
    <row customHeight="1" ht="11.25">
      <c r="A159" s="0" t="s">
        <v>14</v>
      </c>
      <c r="B159" s="0" t="s">
        <v>3911</v>
      </c>
      <c r="C159" s="0" t="s">
        <v>3912</v>
      </c>
      <c r="D159" s="0" t="s">
        <v>3932</v>
      </c>
      <c r="E159" s="0" t="s">
        <v>3933</v>
      </c>
      <c r="F159" s="0" t="s">
        <v>3531</v>
      </c>
      <c r="G159" s="0" t="s">
        <v>3934</v>
      </c>
    </row>
    <row customHeight="1" ht="11.25">
      <c r="A160" s="0" t="s">
        <v>14</v>
      </c>
      <c r="B160" s="0" t="s">
        <v>3911</v>
      </c>
      <c r="C160" s="0" t="s">
        <v>3912</v>
      </c>
      <c r="D160" s="0" t="s">
        <v>3935</v>
      </c>
      <c r="E160" s="0" t="s">
        <v>3936</v>
      </c>
      <c r="F160" s="0" t="s">
        <v>3531</v>
      </c>
      <c r="G160" s="0" t="s">
        <v>3937</v>
      </c>
    </row>
    <row customHeight="1" ht="11.25">
      <c r="A161" s="0" t="s">
        <v>14</v>
      </c>
      <c r="B161" s="0" t="s">
        <v>3911</v>
      </c>
      <c r="C161" s="0" t="s">
        <v>3912</v>
      </c>
      <c r="D161" s="0" t="s">
        <v>3938</v>
      </c>
      <c r="E161" s="0" t="s">
        <v>3939</v>
      </c>
      <c r="F161" s="0" t="s">
        <v>3531</v>
      </c>
      <c r="G161" s="0" t="s">
        <v>3940</v>
      </c>
    </row>
    <row customHeight="1" ht="11.25">
      <c r="A162" s="0" t="s">
        <v>14</v>
      </c>
      <c r="B162" s="0" t="s">
        <v>3911</v>
      </c>
      <c r="C162" s="0" t="s">
        <v>3912</v>
      </c>
      <c r="D162" s="0" t="s">
        <v>3941</v>
      </c>
      <c r="E162" s="0" t="s">
        <v>3942</v>
      </c>
      <c r="F162" s="0" t="s">
        <v>3531</v>
      </c>
      <c r="G162" s="0" t="s">
        <v>3943</v>
      </c>
    </row>
    <row customHeight="1" ht="11.25">
      <c r="A163" s="0" t="s">
        <v>14</v>
      </c>
      <c r="B163" s="0" t="s">
        <v>3911</v>
      </c>
      <c r="C163" s="0" t="s">
        <v>3912</v>
      </c>
      <c r="D163" s="0" t="s">
        <v>3944</v>
      </c>
      <c r="E163" s="0" t="s">
        <v>3945</v>
      </c>
      <c r="F163" s="0" t="s">
        <v>3531</v>
      </c>
      <c r="G163" s="0" t="s">
        <v>3946</v>
      </c>
    </row>
    <row customHeight="1" ht="11.25">
      <c r="A164" s="0" t="s">
        <v>14</v>
      </c>
      <c r="B164" s="0" t="s">
        <v>3911</v>
      </c>
      <c r="C164" s="0" t="s">
        <v>3912</v>
      </c>
      <c r="D164" s="0" t="s">
        <v>3947</v>
      </c>
      <c r="E164" s="0" t="s">
        <v>3948</v>
      </c>
      <c r="F164" s="0" t="s">
        <v>3531</v>
      </c>
      <c r="G164" s="0" t="s">
        <v>3949</v>
      </c>
    </row>
    <row customHeight="1" ht="11.25">
      <c r="A165" s="0" t="s">
        <v>14</v>
      </c>
      <c r="B165" s="0" t="s">
        <v>3911</v>
      </c>
      <c r="C165" s="0" t="s">
        <v>3912</v>
      </c>
      <c r="D165" s="0" t="s">
        <v>3950</v>
      </c>
      <c r="E165" s="0" t="s">
        <v>3951</v>
      </c>
      <c r="F165" s="0" t="s">
        <v>3531</v>
      </c>
      <c r="G165" s="0" t="s">
        <v>3952</v>
      </c>
    </row>
    <row customHeight="1" ht="11.25">
      <c r="A166" s="0" t="s">
        <v>14</v>
      </c>
      <c r="B166" s="0" t="s">
        <v>3911</v>
      </c>
      <c r="C166" s="0" t="s">
        <v>3912</v>
      </c>
      <c r="D166" s="0" t="s">
        <v>3953</v>
      </c>
      <c r="E166" s="0" t="s">
        <v>3954</v>
      </c>
      <c r="F166" s="0" t="s">
        <v>3531</v>
      </c>
      <c r="G166" s="0" t="s">
        <v>3955</v>
      </c>
    </row>
    <row customHeight="1" ht="11.25">
      <c r="A167" s="0" t="s">
        <v>14</v>
      </c>
      <c r="B167" s="0" t="s">
        <v>3911</v>
      </c>
      <c r="C167" s="0" t="s">
        <v>3912</v>
      </c>
      <c r="D167" s="0" t="s">
        <v>3956</v>
      </c>
      <c r="E167" s="0" t="s">
        <v>3957</v>
      </c>
      <c r="F167" s="0" t="s">
        <v>3531</v>
      </c>
      <c r="G167" s="0" t="s">
        <v>3958</v>
      </c>
    </row>
    <row customHeight="1" ht="11.25">
      <c r="A168" s="0" t="s">
        <v>14</v>
      </c>
      <c r="B168" s="0" t="s">
        <v>3959</v>
      </c>
      <c r="C168" s="0" t="s">
        <v>3960</v>
      </c>
      <c r="D168" s="0" t="s">
        <v>3961</v>
      </c>
      <c r="E168" s="0" t="s">
        <v>3962</v>
      </c>
      <c r="F168" s="0" t="s">
        <v>3531</v>
      </c>
      <c r="G168" s="0" t="s">
        <v>3963</v>
      </c>
    </row>
    <row customHeight="1" ht="11.25">
      <c r="A169" s="0" t="s">
        <v>14</v>
      </c>
      <c r="B169" s="0" t="s">
        <v>3959</v>
      </c>
      <c r="C169" s="0" t="s">
        <v>3960</v>
      </c>
      <c r="D169" s="0" t="s">
        <v>3964</v>
      </c>
      <c r="E169" s="0" t="s">
        <v>3965</v>
      </c>
      <c r="F169" s="0" t="s">
        <v>3531</v>
      </c>
      <c r="G169" s="0" t="s">
        <v>3966</v>
      </c>
    </row>
    <row customHeight="1" ht="11.25">
      <c r="A170" s="0" t="s">
        <v>14</v>
      </c>
      <c r="B170" s="0" t="s">
        <v>3959</v>
      </c>
      <c r="C170" s="0" t="s">
        <v>3960</v>
      </c>
      <c r="D170" s="0" t="s">
        <v>3967</v>
      </c>
      <c r="E170" s="0" t="s">
        <v>3968</v>
      </c>
      <c r="F170" s="0" t="s">
        <v>3531</v>
      </c>
      <c r="G170" s="0" t="s">
        <v>3969</v>
      </c>
    </row>
    <row customHeight="1" ht="11.25">
      <c r="A171" s="0" t="s">
        <v>14</v>
      </c>
      <c r="B171" s="0" t="s">
        <v>3959</v>
      </c>
      <c r="C171" s="0" t="s">
        <v>3960</v>
      </c>
      <c r="D171" s="0" t="s">
        <v>3970</v>
      </c>
      <c r="E171" s="0" t="s">
        <v>3971</v>
      </c>
      <c r="F171" s="0" t="s">
        <v>3531</v>
      </c>
      <c r="G171" s="0" t="s">
        <v>3972</v>
      </c>
    </row>
    <row customHeight="1" ht="11.25">
      <c r="A172" s="0" t="s">
        <v>14</v>
      </c>
      <c r="B172" s="0" t="s">
        <v>3959</v>
      </c>
      <c r="C172" s="0" t="s">
        <v>3960</v>
      </c>
      <c r="D172" s="0" t="s">
        <v>3959</v>
      </c>
      <c r="E172" s="0" t="s">
        <v>3960</v>
      </c>
      <c r="F172" s="0" t="s">
        <v>3532</v>
      </c>
      <c r="G172" s="0" t="s">
        <v>3973</v>
      </c>
    </row>
    <row customHeight="1" ht="11.25">
      <c r="A173" s="0" t="s">
        <v>14</v>
      </c>
      <c r="B173" s="0" t="s">
        <v>3959</v>
      </c>
      <c r="C173" s="0" t="s">
        <v>3960</v>
      </c>
      <c r="D173" s="0" t="s">
        <v>3974</v>
      </c>
      <c r="E173" s="0" t="s">
        <v>3975</v>
      </c>
      <c r="F173" s="0" t="s">
        <v>3531</v>
      </c>
      <c r="G173" s="0" t="s">
        <v>3976</v>
      </c>
    </row>
    <row customHeight="1" ht="11.25">
      <c r="A174" s="0" t="s">
        <v>14</v>
      </c>
      <c r="B174" s="0" t="s">
        <v>3959</v>
      </c>
      <c r="C174" s="0" t="s">
        <v>3960</v>
      </c>
      <c r="D174" s="0" t="s">
        <v>3977</v>
      </c>
      <c r="E174" s="0" t="s">
        <v>3978</v>
      </c>
      <c r="F174" s="0" t="s">
        <v>3531</v>
      </c>
      <c r="G174" s="0" t="s">
        <v>3979</v>
      </c>
    </row>
    <row customHeight="1" ht="11.25">
      <c r="A175" s="0" t="s">
        <v>14</v>
      </c>
      <c r="B175" s="0" t="s">
        <v>3959</v>
      </c>
      <c r="C175" s="0" t="s">
        <v>3960</v>
      </c>
      <c r="D175" s="0" t="s">
        <v>3980</v>
      </c>
      <c r="E175" s="0" t="s">
        <v>3981</v>
      </c>
      <c r="F175" s="0" t="s">
        <v>3531</v>
      </c>
      <c r="G175" s="0" t="s">
        <v>3982</v>
      </c>
    </row>
    <row customHeight="1" ht="11.25">
      <c r="A176" s="0" t="s">
        <v>14</v>
      </c>
      <c r="B176" s="0" t="s">
        <v>3959</v>
      </c>
      <c r="C176" s="0" t="s">
        <v>3960</v>
      </c>
      <c r="D176" s="0" t="s">
        <v>3983</v>
      </c>
      <c r="E176" s="0" t="s">
        <v>3984</v>
      </c>
      <c r="F176" s="0" t="s">
        <v>3531</v>
      </c>
      <c r="G176" s="0" t="s">
        <v>3985</v>
      </c>
    </row>
    <row customHeight="1" ht="11.25">
      <c r="A177" s="0" t="s">
        <v>14</v>
      </c>
      <c r="B177" s="0" t="s">
        <v>3959</v>
      </c>
      <c r="C177" s="0" t="s">
        <v>3960</v>
      </c>
      <c r="D177" s="0" t="s">
        <v>3986</v>
      </c>
      <c r="E177" s="0" t="s">
        <v>3987</v>
      </c>
      <c r="F177" s="0" t="s">
        <v>3531</v>
      </c>
      <c r="G177" s="0" t="s">
        <v>3988</v>
      </c>
    </row>
    <row customHeight="1" ht="11.25">
      <c r="A178" s="0" t="s">
        <v>14</v>
      </c>
      <c r="B178" s="0" t="s">
        <v>3959</v>
      </c>
      <c r="C178" s="0" t="s">
        <v>3960</v>
      </c>
      <c r="D178" s="0" t="s">
        <v>3989</v>
      </c>
      <c r="E178" s="0" t="s">
        <v>3990</v>
      </c>
      <c r="F178" s="0" t="s">
        <v>3531</v>
      </c>
      <c r="G178" s="0" t="s">
        <v>3991</v>
      </c>
    </row>
    <row customHeight="1" ht="11.25">
      <c r="A179" s="0" t="s">
        <v>14</v>
      </c>
      <c r="B179" s="0" t="s">
        <v>3959</v>
      </c>
      <c r="C179" s="0" t="s">
        <v>3960</v>
      </c>
      <c r="D179" s="0" t="s">
        <v>3992</v>
      </c>
      <c r="E179" s="0" t="s">
        <v>3993</v>
      </c>
      <c r="F179" s="0" t="s">
        <v>3531</v>
      </c>
      <c r="G179" s="0" t="s">
        <v>3994</v>
      </c>
    </row>
    <row customHeight="1" ht="11.25">
      <c r="A180" s="0" t="s">
        <v>14</v>
      </c>
      <c r="B180" s="0" t="s">
        <v>3959</v>
      </c>
      <c r="C180" s="0" t="s">
        <v>3960</v>
      </c>
      <c r="D180" s="0" t="s">
        <v>3995</v>
      </c>
      <c r="E180" s="0" t="s">
        <v>3996</v>
      </c>
      <c r="F180" s="0" t="s">
        <v>3531</v>
      </c>
      <c r="G180" s="0" t="s">
        <v>3997</v>
      </c>
    </row>
    <row customHeight="1" ht="11.25">
      <c r="A181" s="0" t="s">
        <v>14</v>
      </c>
      <c r="B181" s="0" t="s">
        <v>3959</v>
      </c>
      <c r="C181" s="0" t="s">
        <v>3960</v>
      </c>
      <c r="D181" s="0" t="s">
        <v>3998</v>
      </c>
      <c r="E181" s="0" t="s">
        <v>3999</v>
      </c>
      <c r="F181" s="0" t="s">
        <v>3531</v>
      </c>
      <c r="G181" s="0" t="s">
        <v>4000</v>
      </c>
    </row>
    <row customHeight="1" ht="11.25">
      <c r="A182" s="0" t="s">
        <v>14</v>
      </c>
      <c r="B182" s="0" t="s">
        <v>3959</v>
      </c>
      <c r="C182" s="0" t="s">
        <v>3960</v>
      </c>
      <c r="D182" s="0" t="s">
        <v>3791</v>
      </c>
      <c r="E182" s="0" t="s">
        <v>4001</v>
      </c>
      <c r="F182" s="0" t="s">
        <v>3531</v>
      </c>
      <c r="G182" s="0" t="s">
        <v>4002</v>
      </c>
    </row>
    <row customHeight="1" ht="11.25">
      <c r="A183" s="0" t="s">
        <v>14</v>
      </c>
      <c r="B183" s="0" t="s">
        <v>4003</v>
      </c>
      <c r="C183" s="0" t="s">
        <v>4004</v>
      </c>
      <c r="D183" s="0" t="s">
        <v>4005</v>
      </c>
      <c r="E183" s="0" t="s">
        <v>4006</v>
      </c>
      <c r="F183" s="0" t="s">
        <v>3531</v>
      </c>
      <c r="G183" s="0" t="s">
        <v>4007</v>
      </c>
    </row>
    <row customHeight="1" ht="11.25">
      <c r="A184" s="0" t="s">
        <v>14</v>
      </c>
      <c r="B184" s="0" t="s">
        <v>4003</v>
      </c>
      <c r="C184" s="0" t="s">
        <v>4004</v>
      </c>
      <c r="D184" s="0" t="s">
        <v>4008</v>
      </c>
      <c r="E184" s="0" t="s">
        <v>4009</v>
      </c>
      <c r="F184" s="0" t="s">
        <v>3531</v>
      </c>
      <c r="G184" s="0" t="s">
        <v>4010</v>
      </c>
    </row>
    <row customHeight="1" ht="11.25">
      <c r="A185" s="0" t="s">
        <v>14</v>
      </c>
      <c r="B185" s="0" t="s">
        <v>4003</v>
      </c>
      <c r="C185" s="0" t="s">
        <v>4004</v>
      </c>
      <c r="D185" s="0" t="s">
        <v>4011</v>
      </c>
      <c r="E185" s="0" t="s">
        <v>4012</v>
      </c>
      <c r="F185" s="0" t="s">
        <v>3531</v>
      </c>
      <c r="G185" s="0" t="s">
        <v>4013</v>
      </c>
    </row>
    <row customHeight="1" ht="11.25">
      <c r="A186" s="0" t="s">
        <v>14</v>
      </c>
      <c r="B186" s="0" t="s">
        <v>4003</v>
      </c>
      <c r="C186" s="0" t="s">
        <v>4004</v>
      </c>
      <c r="D186" s="0" t="s">
        <v>4003</v>
      </c>
      <c r="E186" s="0" t="s">
        <v>4004</v>
      </c>
      <c r="F186" s="0" t="s">
        <v>3532</v>
      </c>
      <c r="G186" s="0" t="s">
        <v>4014</v>
      </c>
    </row>
    <row customHeight="1" ht="11.25">
      <c r="A187" s="0" t="s">
        <v>14</v>
      </c>
      <c r="B187" s="0" t="s">
        <v>4003</v>
      </c>
      <c r="C187" s="0" t="s">
        <v>4004</v>
      </c>
      <c r="D187" s="0" t="s">
        <v>4015</v>
      </c>
      <c r="E187" s="0" t="s">
        <v>4016</v>
      </c>
      <c r="F187" s="0" t="s">
        <v>3531</v>
      </c>
      <c r="G187" s="0" t="s">
        <v>4017</v>
      </c>
    </row>
    <row customHeight="1" ht="11.25">
      <c r="A188" s="0" t="s">
        <v>14</v>
      </c>
      <c r="B188" s="0" t="s">
        <v>4003</v>
      </c>
      <c r="C188" s="0" t="s">
        <v>4004</v>
      </c>
      <c r="D188" s="0" t="s">
        <v>4018</v>
      </c>
      <c r="E188" s="0" t="s">
        <v>4019</v>
      </c>
      <c r="F188" s="0" t="s">
        <v>3531</v>
      </c>
      <c r="G188" s="0" t="s">
        <v>4020</v>
      </c>
    </row>
    <row customHeight="1" ht="11.25">
      <c r="A189" s="0" t="s">
        <v>14</v>
      </c>
      <c r="B189" s="0" t="s">
        <v>4003</v>
      </c>
      <c r="C189" s="0" t="s">
        <v>4004</v>
      </c>
      <c r="D189" s="0" t="s">
        <v>4021</v>
      </c>
      <c r="E189" s="0" t="s">
        <v>4022</v>
      </c>
      <c r="F189" s="0" t="s">
        <v>3531</v>
      </c>
      <c r="G189" s="0" t="s">
        <v>4023</v>
      </c>
    </row>
    <row customHeight="1" ht="11.25">
      <c r="A190" s="0" t="s">
        <v>14</v>
      </c>
      <c r="B190" s="0" t="s">
        <v>4003</v>
      </c>
      <c r="C190" s="0" t="s">
        <v>4004</v>
      </c>
      <c r="D190" s="0" t="s">
        <v>3633</v>
      </c>
      <c r="E190" s="0" t="s">
        <v>4024</v>
      </c>
      <c r="F190" s="0" t="s">
        <v>3531</v>
      </c>
      <c r="G190" s="0" t="s">
        <v>4025</v>
      </c>
    </row>
    <row customHeight="1" ht="11.25">
      <c r="A191" s="0" t="s">
        <v>14</v>
      </c>
      <c r="B191" s="0" t="s">
        <v>4003</v>
      </c>
      <c r="C191" s="0" t="s">
        <v>4004</v>
      </c>
      <c r="D191" s="0" t="s">
        <v>4026</v>
      </c>
      <c r="E191" s="0" t="s">
        <v>4027</v>
      </c>
      <c r="F191" s="0" t="s">
        <v>3531</v>
      </c>
      <c r="G191" s="0" t="s">
        <v>4028</v>
      </c>
    </row>
    <row customHeight="1" ht="11.25">
      <c r="A192" s="0" t="s">
        <v>14</v>
      </c>
      <c r="B192" s="0" t="s">
        <v>4029</v>
      </c>
      <c r="C192" s="0" t="s">
        <v>4030</v>
      </c>
      <c r="D192" s="0" t="s">
        <v>4031</v>
      </c>
      <c r="E192" s="0" t="s">
        <v>4032</v>
      </c>
      <c r="F192" s="0" t="s">
        <v>3531</v>
      </c>
      <c r="G192" s="0" t="s">
        <v>4033</v>
      </c>
    </row>
    <row customHeight="1" ht="11.25">
      <c r="A193" s="0" t="s">
        <v>14</v>
      </c>
      <c r="B193" s="0" t="s">
        <v>4029</v>
      </c>
      <c r="C193" s="0" t="s">
        <v>4030</v>
      </c>
      <c r="D193" s="0" t="s">
        <v>4034</v>
      </c>
      <c r="E193" s="0" t="s">
        <v>4035</v>
      </c>
      <c r="F193" s="0" t="s">
        <v>3531</v>
      </c>
      <c r="G193" s="0" t="s">
        <v>4036</v>
      </c>
    </row>
    <row customHeight="1" ht="11.25">
      <c r="A194" s="0" t="s">
        <v>14</v>
      </c>
      <c r="B194" s="0" t="s">
        <v>4029</v>
      </c>
      <c r="C194" s="0" t="s">
        <v>4030</v>
      </c>
      <c r="D194" s="0" t="s">
        <v>4037</v>
      </c>
      <c r="E194" s="0" t="s">
        <v>4038</v>
      </c>
      <c r="F194" s="0" t="s">
        <v>3531</v>
      </c>
      <c r="G194" s="0" t="s">
        <v>4039</v>
      </c>
    </row>
    <row customHeight="1" ht="11.25">
      <c r="A195" s="0" t="s">
        <v>14</v>
      </c>
      <c r="B195" s="0" t="s">
        <v>4029</v>
      </c>
      <c r="C195" s="0" t="s">
        <v>4030</v>
      </c>
      <c r="D195" s="0" t="s">
        <v>4040</v>
      </c>
      <c r="E195" s="0" t="s">
        <v>4041</v>
      </c>
      <c r="F195" s="0" t="s">
        <v>3531</v>
      </c>
      <c r="G195" s="0" t="s">
        <v>4042</v>
      </c>
    </row>
    <row customHeight="1" ht="11.25">
      <c r="A196" s="0" t="s">
        <v>14</v>
      </c>
      <c r="B196" s="0" t="s">
        <v>4029</v>
      </c>
      <c r="C196" s="0" t="s">
        <v>4030</v>
      </c>
      <c r="D196" s="0" t="s">
        <v>4043</v>
      </c>
      <c r="E196" s="0" t="s">
        <v>4044</v>
      </c>
      <c r="F196" s="0" t="s">
        <v>3531</v>
      </c>
      <c r="G196" s="0" t="s">
        <v>4045</v>
      </c>
    </row>
    <row customHeight="1" ht="11.25">
      <c r="A197" s="0" t="s">
        <v>14</v>
      </c>
      <c r="B197" s="0" t="s">
        <v>4029</v>
      </c>
      <c r="C197" s="0" t="s">
        <v>4030</v>
      </c>
      <c r="D197" s="0" t="s">
        <v>4046</v>
      </c>
      <c r="E197" s="0" t="s">
        <v>4047</v>
      </c>
      <c r="F197" s="0" t="s">
        <v>3531</v>
      </c>
      <c r="G197" s="0" t="s">
        <v>4048</v>
      </c>
    </row>
    <row customHeight="1" ht="11.25">
      <c r="A198" s="0" t="s">
        <v>14</v>
      </c>
      <c r="B198" s="0" t="s">
        <v>4029</v>
      </c>
      <c r="C198" s="0" t="s">
        <v>4030</v>
      </c>
      <c r="D198" s="0" t="s">
        <v>4029</v>
      </c>
      <c r="E198" s="0" t="s">
        <v>4030</v>
      </c>
      <c r="F198" s="0" t="s">
        <v>3532</v>
      </c>
      <c r="G198" s="0" t="s">
        <v>4049</v>
      </c>
    </row>
    <row customHeight="1" ht="11.25">
      <c r="A199" s="0" t="s">
        <v>14</v>
      </c>
      <c r="B199" s="0" t="s">
        <v>4029</v>
      </c>
      <c r="C199" s="0" t="s">
        <v>4030</v>
      </c>
      <c r="D199" s="0" t="s">
        <v>4050</v>
      </c>
      <c r="E199" s="0" t="s">
        <v>4051</v>
      </c>
      <c r="F199" s="0" t="s">
        <v>3531</v>
      </c>
      <c r="G199" s="0" t="s">
        <v>4052</v>
      </c>
    </row>
    <row customHeight="1" ht="11.25">
      <c r="A200" s="0" t="s">
        <v>14</v>
      </c>
      <c r="B200" s="0" t="s">
        <v>4029</v>
      </c>
      <c r="C200" s="0" t="s">
        <v>4030</v>
      </c>
      <c r="D200" s="0" t="s">
        <v>4053</v>
      </c>
      <c r="E200" s="0" t="s">
        <v>4054</v>
      </c>
      <c r="F200" s="0" t="s">
        <v>3531</v>
      </c>
      <c r="G200" s="0" t="s">
        <v>4055</v>
      </c>
    </row>
    <row customHeight="1" ht="11.25">
      <c r="A201" s="0" t="s">
        <v>14</v>
      </c>
      <c r="B201" s="0" t="s">
        <v>4029</v>
      </c>
      <c r="C201" s="0" t="s">
        <v>4030</v>
      </c>
      <c r="D201" s="0" t="s">
        <v>4056</v>
      </c>
      <c r="E201" s="0" t="s">
        <v>4057</v>
      </c>
      <c r="F201" s="0" t="s">
        <v>3531</v>
      </c>
      <c r="G201" s="0" t="s">
        <v>4058</v>
      </c>
    </row>
    <row customHeight="1" ht="11.25">
      <c r="A202" s="0" t="s">
        <v>14</v>
      </c>
      <c r="B202" s="0" t="s">
        <v>4029</v>
      </c>
      <c r="C202" s="0" t="s">
        <v>4030</v>
      </c>
      <c r="D202" s="0" t="s">
        <v>4059</v>
      </c>
      <c r="E202" s="0" t="s">
        <v>4060</v>
      </c>
      <c r="F202" s="0" t="s">
        <v>3531</v>
      </c>
      <c r="G202" s="0" t="s">
        <v>4061</v>
      </c>
    </row>
    <row customHeight="1" ht="11.25">
      <c r="A203" s="0" t="s">
        <v>14</v>
      </c>
      <c r="B203" s="0" t="s">
        <v>4062</v>
      </c>
      <c r="C203" s="0" t="s">
        <v>4063</v>
      </c>
      <c r="D203" s="0" t="s">
        <v>4064</v>
      </c>
      <c r="E203" s="0" t="s">
        <v>4065</v>
      </c>
      <c r="F203" s="0" t="s">
        <v>3531</v>
      </c>
      <c r="G203" s="0" t="s">
        <v>4066</v>
      </c>
    </row>
    <row customHeight="1" ht="11.25">
      <c r="A204" s="0" t="s">
        <v>14</v>
      </c>
      <c r="B204" s="0" t="s">
        <v>4062</v>
      </c>
      <c r="C204" s="0" t="s">
        <v>4063</v>
      </c>
      <c r="D204" s="0" t="s">
        <v>4067</v>
      </c>
      <c r="E204" s="0" t="s">
        <v>4068</v>
      </c>
      <c r="F204" s="0" t="s">
        <v>3531</v>
      </c>
      <c r="G204" s="0" t="s">
        <v>4069</v>
      </c>
    </row>
    <row customHeight="1" ht="11.25">
      <c r="A205" s="0" t="s">
        <v>14</v>
      </c>
      <c r="B205" s="0" t="s">
        <v>4062</v>
      </c>
      <c r="C205" s="0" t="s">
        <v>4063</v>
      </c>
      <c r="D205" s="0" t="s">
        <v>4070</v>
      </c>
      <c r="E205" s="0" t="s">
        <v>4071</v>
      </c>
      <c r="F205" s="0" t="s">
        <v>3531</v>
      </c>
      <c r="G205" s="0" t="s">
        <v>4072</v>
      </c>
    </row>
    <row customHeight="1" ht="11.25">
      <c r="A206" s="0" t="s">
        <v>14</v>
      </c>
      <c r="B206" s="0" t="s">
        <v>4062</v>
      </c>
      <c r="C206" s="0" t="s">
        <v>4063</v>
      </c>
      <c r="D206" s="0" t="s">
        <v>4073</v>
      </c>
      <c r="E206" s="0" t="s">
        <v>4074</v>
      </c>
      <c r="F206" s="0" t="s">
        <v>3531</v>
      </c>
      <c r="G206" s="0" t="s">
        <v>4075</v>
      </c>
    </row>
    <row customHeight="1" ht="11.25">
      <c r="A207" s="0" t="s">
        <v>14</v>
      </c>
      <c r="B207" s="0" t="s">
        <v>4062</v>
      </c>
      <c r="C207" s="0" t="s">
        <v>4063</v>
      </c>
      <c r="D207" s="0" t="s">
        <v>4076</v>
      </c>
      <c r="E207" s="0" t="s">
        <v>4077</v>
      </c>
      <c r="F207" s="0" t="s">
        <v>3531</v>
      </c>
      <c r="G207" s="0" t="s">
        <v>4078</v>
      </c>
    </row>
    <row customHeight="1" ht="11.25">
      <c r="A208" s="0" t="s">
        <v>14</v>
      </c>
      <c r="B208" s="0" t="s">
        <v>4062</v>
      </c>
      <c r="C208" s="0" t="s">
        <v>4063</v>
      </c>
      <c r="D208" s="0" t="s">
        <v>4079</v>
      </c>
      <c r="E208" s="0" t="s">
        <v>4080</v>
      </c>
      <c r="F208" s="0" t="s">
        <v>3531</v>
      </c>
      <c r="G208" s="0" t="s">
        <v>4081</v>
      </c>
    </row>
    <row customHeight="1" ht="11.25">
      <c r="A209" s="0" t="s">
        <v>14</v>
      </c>
      <c r="B209" s="0" t="s">
        <v>4062</v>
      </c>
      <c r="C209" s="0" t="s">
        <v>4063</v>
      </c>
      <c r="D209" s="0" t="s">
        <v>4082</v>
      </c>
      <c r="E209" s="0" t="s">
        <v>4083</v>
      </c>
      <c r="F209" s="0" t="s">
        <v>3531</v>
      </c>
      <c r="G209" s="0" t="s">
        <v>4084</v>
      </c>
    </row>
    <row customHeight="1" ht="11.25">
      <c r="A210" s="0" t="s">
        <v>14</v>
      </c>
      <c r="B210" s="0" t="s">
        <v>4062</v>
      </c>
      <c r="C210" s="0" t="s">
        <v>4063</v>
      </c>
      <c r="D210" s="0" t="s">
        <v>4062</v>
      </c>
      <c r="E210" s="0" t="s">
        <v>4063</v>
      </c>
      <c r="F210" s="0" t="s">
        <v>3532</v>
      </c>
      <c r="G210" s="0" t="s">
        <v>4085</v>
      </c>
    </row>
    <row customHeight="1" ht="11.25">
      <c r="A211" s="0" t="s">
        <v>14</v>
      </c>
      <c r="B211" s="0" t="s">
        <v>4062</v>
      </c>
      <c r="C211" s="0" t="s">
        <v>4063</v>
      </c>
      <c r="D211" s="0" t="s">
        <v>4086</v>
      </c>
      <c r="E211" s="0" t="s">
        <v>4087</v>
      </c>
      <c r="F211" s="0" t="s">
        <v>3531</v>
      </c>
      <c r="G211" s="0" t="s">
        <v>4088</v>
      </c>
    </row>
    <row customHeight="1" ht="11.25">
      <c r="A212" s="0" t="s">
        <v>14</v>
      </c>
      <c r="B212" s="0" t="s">
        <v>4062</v>
      </c>
      <c r="C212" s="0" t="s">
        <v>4063</v>
      </c>
      <c r="D212" s="0" t="s">
        <v>4089</v>
      </c>
      <c r="E212" s="0" t="s">
        <v>4090</v>
      </c>
      <c r="F212" s="0" t="s">
        <v>3531</v>
      </c>
      <c r="G212" s="0" t="s">
        <v>4091</v>
      </c>
    </row>
    <row customHeight="1" ht="11.25">
      <c r="A213" s="0" t="s">
        <v>14</v>
      </c>
      <c r="B213" s="0" t="s">
        <v>4062</v>
      </c>
      <c r="C213" s="0" t="s">
        <v>4063</v>
      </c>
      <c r="D213" s="0" t="s">
        <v>4092</v>
      </c>
      <c r="E213" s="0" t="s">
        <v>4093</v>
      </c>
      <c r="F213" s="0" t="s">
        <v>3531</v>
      </c>
      <c r="G213" s="0" t="s">
        <v>4094</v>
      </c>
    </row>
    <row customHeight="1" ht="11.25">
      <c r="A214" s="0" t="s">
        <v>14</v>
      </c>
      <c r="B214" s="0" t="s">
        <v>4062</v>
      </c>
      <c r="C214" s="0" t="s">
        <v>4063</v>
      </c>
      <c r="D214" s="0" t="s">
        <v>4095</v>
      </c>
      <c r="E214" s="0" t="s">
        <v>4096</v>
      </c>
      <c r="F214" s="0" t="s">
        <v>3531</v>
      </c>
      <c r="G214" s="0" t="s">
        <v>4097</v>
      </c>
    </row>
    <row customHeight="1" ht="11.25">
      <c r="A215" s="0" t="s">
        <v>14</v>
      </c>
      <c r="B215" s="0" t="s">
        <v>4062</v>
      </c>
      <c r="C215" s="0" t="s">
        <v>4063</v>
      </c>
      <c r="D215" s="0" t="s">
        <v>4098</v>
      </c>
      <c r="E215" s="0" t="s">
        <v>4099</v>
      </c>
      <c r="F215" s="0" t="s">
        <v>3531</v>
      </c>
      <c r="G215" s="0" t="s">
        <v>4100</v>
      </c>
    </row>
    <row customHeight="1" ht="11.25">
      <c r="A216" s="0" t="s">
        <v>14</v>
      </c>
      <c r="B216" s="0" t="s">
        <v>4062</v>
      </c>
      <c r="C216" s="0" t="s">
        <v>4063</v>
      </c>
      <c r="D216" s="0" t="s">
        <v>4101</v>
      </c>
      <c r="E216" s="0" t="s">
        <v>4102</v>
      </c>
      <c r="F216" s="0" t="s">
        <v>3531</v>
      </c>
      <c r="G216" s="0" t="s">
        <v>4103</v>
      </c>
    </row>
    <row customHeight="1" ht="11.25">
      <c r="A217" s="0" t="s">
        <v>14</v>
      </c>
      <c r="B217" s="0" t="s">
        <v>4062</v>
      </c>
      <c r="C217" s="0" t="s">
        <v>4063</v>
      </c>
      <c r="D217" s="0" t="s">
        <v>4104</v>
      </c>
      <c r="E217" s="0" t="s">
        <v>4105</v>
      </c>
      <c r="F217" s="0" t="s">
        <v>3531</v>
      </c>
      <c r="G217" s="0" t="s">
        <v>4106</v>
      </c>
    </row>
    <row customHeight="1" ht="11.25">
      <c r="A218" s="0" t="s">
        <v>14</v>
      </c>
      <c r="B218" s="0" t="s">
        <v>4062</v>
      </c>
      <c r="C218" s="0" t="s">
        <v>4063</v>
      </c>
      <c r="D218" s="0" t="s">
        <v>4107</v>
      </c>
      <c r="E218" s="0" t="s">
        <v>4108</v>
      </c>
      <c r="F218" s="0" t="s">
        <v>3531</v>
      </c>
      <c r="G218" s="0" t="s">
        <v>4109</v>
      </c>
    </row>
    <row customHeight="1" ht="11.25">
      <c r="A219" s="0" t="s">
        <v>14</v>
      </c>
      <c r="B219" s="0" t="s">
        <v>4110</v>
      </c>
      <c r="C219" s="0" t="s">
        <v>4111</v>
      </c>
      <c r="D219" s="0" t="s">
        <v>4112</v>
      </c>
      <c r="E219" s="0" t="s">
        <v>4113</v>
      </c>
      <c r="F219" s="0" t="s">
        <v>3531</v>
      </c>
      <c r="G219" s="0" t="s">
        <v>4114</v>
      </c>
    </row>
    <row customHeight="1" ht="11.25">
      <c r="A220" s="0" t="s">
        <v>14</v>
      </c>
      <c r="B220" s="0" t="s">
        <v>4110</v>
      </c>
      <c r="C220" s="0" t="s">
        <v>4111</v>
      </c>
      <c r="D220" s="0" t="s">
        <v>4115</v>
      </c>
      <c r="E220" s="0" t="s">
        <v>4116</v>
      </c>
      <c r="F220" s="0" t="s">
        <v>3531</v>
      </c>
      <c r="G220" s="0" t="s">
        <v>4117</v>
      </c>
    </row>
    <row customHeight="1" ht="11.25">
      <c r="A221" s="0" t="s">
        <v>14</v>
      </c>
      <c r="B221" s="0" t="s">
        <v>4110</v>
      </c>
      <c r="C221" s="0" t="s">
        <v>4111</v>
      </c>
      <c r="D221" s="0" t="s">
        <v>4118</v>
      </c>
      <c r="E221" s="0" t="s">
        <v>4119</v>
      </c>
      <c r="F221" s="0" t="s">
        <v>3531</v>
      </c>
      <c r="G221" s="0" t="s">
        <v>4120</v>
      </c>
    </row>
    <row customHeight="1" ht="11.25">
      <c r="A222" s="0" t="s">
        <v>14</v>
      </c>
      <c r="B222" s="0" t="s">
        <v>4110</v>
      </c>
      <c r="C222" s="0" t="s">
        <v>4111</v>
      </c>
      <c r="D222" s="0" t="s">
        <v>4121</v>
      </c>
      <c r="E222" s="0" t="s">
        <v>4122</v>
      </c>
      <c r="F222" s="0" t="s">
        <v>3531</v>
      </c>
      <c r="G222" s="0" t="s">
        <v>4123</v>
      </c>
    </row>
    <row customHeight="1" ht="11.25">
      <c r="A223" s="0" t="s">
        <v>14</v>
      </c>
      <c r="B223" s="0" t="s">
        <v>4110</v>
      </c>
      <c r="C223" s="0" t="s">
        <v>4111</v>
      </c>
      <c r="D223" s="0" t="s">
        <v>4124</v>
      </c>
      <c r="E223" s="0" t="s">
        <v>4125</v>
      </c>
      <c r="F223" s="0" t="s">
        <v>3531</v>
      </c>
      <c r="G223" s="0" t="s">
        <v>4126</v>
      </c>
    </row>
    <row customHeight="1" ht="11.25">
      <c r="A224" s="0" t="s">
        <v>14</v>
      </c>
      <c r="B224" s="0" t="s">
        <v>4110</v>
      </c>
      <c r="C224" s="0" t="s">
        <v>4111</v>
      </c>
      <c r="D224" s="0" t="s">
        <v>4127</v>
      </c>
      <c r="E224" s="0" t="s">
        <v>4128</v>
      </c>
      <c r="F224" s="0" t="s">
        <v>3531</v>
      </c>
      <c r="G224" s="0" t="s">
        <v>4129</v>
      </c>
    </row>
    <row customHeight="1" ht="11.25">
      <c r="A225" s="0" t="s">
        <v>14</v>
      </c>
      <c r="B225" s="0" t="s">
        <v>4110</v>
      </c>
      <c r="C225" s="0" t="s">
        <v>4111</v>
      </c>
      <c r="D225" s="0" t="s">
        <v>4130</v>
      </c>
      <c r="E225" s="0" t="s">
        <v>4131</v>
      </c>
      <c r="F225" s="0" t="s">
        <v>3531</v>
      </c>
      <c r="G225" s="0" t="s">
        <v>4132</v>
      </c>
    </row>
    <row customHeight="1" ht="11.25">
      <c r="A226" s="0" t="s">
        <v>14</v>
      </c>
      <c r="B226" s="0" t="s">
        <v>4110</v>
      </c>
      <c r="C226" s="0" t="s">
        <v>4111</v>
      </c>
      <c r="D226" s="0" t="s">
        <v>4133</v>
      </c>
      <c r="E226" s="0" t="s">
        <v>4134</v>
      </c>
      <c r="F226" s="0" t="s">
        <v>3531</v>
      </c>
      <c r="G226" s="0" t="s">
        <v>4135</v>
      </c>
    </row>
    <row customHeight="1" ht="11.25">
      <c r="A227" s="0" t="s">
        <v>14</v>
      </c>
      <c r="B227" s="0" t="s">
        <v>4110</v>
      </c>
      <c r="C227" s="0" t="s">
        <v>4111</v>
      </c>
      <c r="D227" s="0" t="s">
        <v>4136</v>
      </c>
      <c r="E227" s="0" t="s">
        <v>4137</v>
      </c>
      <c r="F227" s="0" t="s">
        <v>3531</v>
      </c>
      <c r="G227" s="0" t="s">
        <v>4138</v>
      </c>
    </row>
    <row customHeight="1" ht="11.25">
      <c r="A228" s="0" t="s">
        <v>14</v>
      </c>
      <c r="B228" s="0" t="s">
        <v>4110</v>
      </c>
      <c r="C228" s="0" t="s">
        <v>4111</v>
      </c>
      <c r="D228" s="0" t="s">
        <v>4139</v>
      </c>
      <c r="E228" s="0" t="s">
        <v>4140</v>
      </c>
      <c r="F228" s="0" t="s">
        <v>3531</v>
      </c>
      <c r="G228" s="0" t="s">
        <v>4141</v>
      </c>
    </row>
    <row customHeight="1" ht="11.25">
      <c r="A229" s="0" t="s">
        <v>14</v>
      </c>
      <c r="B229" s="0" t="s">
        <v>4110</v>
      </c>
      <c r="C229" s="0" t="s">
        <v>4111</v>
      </c>
      <c r="D229" s="0" t="s">
        <v>4142</v>
      </c>
      <c r="E229" s="0" t="s">
        <v>4143</v>
      </c>
      <c r="F229" s="0" t="s">
        <v>3531</v>
      </c>
      <c r="G229" s="0" t="s">
        <v>4144</v>
      </c>
    </row>
    <row customHeight="1" ht="11.25">
      <c r="A230" s="0" t="s">
        <v>14</v>
      </c>
      <c r="B230" s="0" t="s">
        <v>4110</v>
      </c>
      <c r="C230" s="0" t="s">
        <v>4111</v>
      </c>
      <c r="D230" s="0" t="s">
        <v>4110</v>
      </c>
      <c r="E230" s="0" t="s">
        <v>4111</v>
      </c>
      <c r="F230" s="0" t="s">
        <v>3532</v>
      </c>
      <c r="G230" s="0" t="s">
        <v>4145</v>
      </c>
    </row>
    <row customHeight="1" ht="11.25">
      <c r="A231" s="0" t="s">
        <v>14</v>
      </c>
      <c r="B231" s="0" t="s">
        <v>4110</v>
      </c>
      <c r="C231" s="0" t="s">
        <v>4111</v>
      </c>
      <c r="D231" s="0" t="s">
        <v>4146</v>
      </c>
      <c r="E231" s="0" t="s">
        <v>4147</v>
      </c>
      <c r="F231" s="0" t="s">
        <v>3531</v>
      </c>
      <c r="G231" s="0" t="s">
        <v>4148</v>
      </c>
    </row>
    <row customHeight="1" ht="11.25">
      <c r="A232" s="0" t="s">
        <v>14</v>
      </c>
      <c r="B232" s="0" t="s">
        <v>4110</v>
      </c>
      <c r="C232" s="0" t="s">
        <v>4111</v>
      </c>
      <c r="D232" s="0" t="s">
        <v>4149</v>
      </c>
      <c r="E232" s="0" t="s">
        <v>4150</v>
      </c>
      <c r="F232" s="0" t="s">
        <v>3531</v>
      </c>
      <c r="G232" s="0" t="s">
        <v>4151</v>
      </c>
    </row>
    <row customHeight="1" ht="11.25">
      <c r="A233" s="0" t="s">
        <v>14</v>
      </c>
      <c r="B233" s="0" t="s">
        <v>4110</v>
      </c>
      <c r="C233" s="0" t="s">
        <v>4111</v>
      </c>
      <c r="D233" s="0" t="s">
        <v>4152</v>
      </c>
      <c r="E233" s="0" t="s">
        <v>4153</v>
      </c>
      <c r="F233" s="0" t="s">
        <v>3531</v>
      </c>
      <c r="G233" s="0" t="s">
        <v>4154</v>
      </c>
    </row>
    <row customHeight="1" ht="11.25">
      <c r="A234" s="0" t="s">
        <v>14</v>
      </c>
      <c r="B234" s="0" t="s">
        <v>4110</v>
      </c>
      <c r="C234" s="0" t="s">
        <v>4111</v>
      </c>
      <c r="D234" s="0" t="s">
        <v>4155</v>
      </c>
      <c r="E234" s="0" t="s">
        <v>4156</v>
      </c>
      <c r="F234" s="0" t="s">
        <v>3531</v>
      </c>
      <c r="G234" s="0" t="s">
        <v>4157</v>
      </c>
    </row>
    <row customHeight="1" ht="11.25">
      <c r="A235" s="0" t="s">
        <v>14</v>
      </c>
      <c r="B235" s="0" t="s">
        <v>4110</v>
      </c>
      <c r="C235" s="0" t="s">
        <v>4111</v>
      </c>
      <c r="D235" s="0" t="s">
        <v>4158</v>
      </c>
      <c r="E235" s="0" t="s">
        <v>4159</v>
      </c>
      <c r="F235" s="0" t="s">
        <v>3531</v>
      </c>
      <c r="G235" s="0" t="s">
        <v>4160</v>
      </c>
    </row>
    <row customHeight="1" ht="11.25">
      <c r="A236" s="0" t="s">
        <v>14</v>
      </c>
      <c r="B236" s="0" t="s">
        <v>4110</v>
      </c>
      <c r="C236" s="0" t="s">
        <v>4111</v>
      </c>
      <c r="D236" s="0" t="s">
        <v>4161</v>
      </c>
      <c r="E236" s="0" t="s">
        <v>4162</v>
      </c>
      <c r="F236" s="0" t="s">
        <v>3531</v>
      </c>
      <c r="G236" s="0" t="s">
        <v>4163</v>
      </c>
    </row>
    <row customHeight="1" ht="11.25">
      <c r="A237" s="0" t="s">
        <v>14</v>
      </c>
      <c r="B237" s="0" t="s">
        <v>4110</v>
      </c>
      <c r="C237" s="0" t="s">
        <v>4111</v>
      </c>
      <c r="D237" s="0" t="s">
        <v>4164</v>
      </c>
      <c r="E237" s="0" t="s">
        <v>4165</v>
      </c>
      <c r="F237" s="0" t="s">
        <v>3531</v>
      </c>
      <c r="G237" s="0" t="s">
        <v>4166</v>
      </c>
    </row>
    <row customHeight="1" ht="11.25">
      <c r="A238" s="0" t="s">
        <v>14</v>
      </c>
      <c r="B238" s="0" t="s">
        <v>4110</v>
      </c>
      <c r="C238" s="0" t="s">
        <v>4111</v>
      </c>
      <c r="D238" s="0" t="s">
        <v>4167</v>
      </c>
      <c r="E238" s="0" t="s">
        <v>4168</v>
      </c>
      <c r="F238" s="0" t="s">
        <v>3531</v>
      </c>
      <c r="G238" s="0" t="s">
        <v>4169</v>
      </c>
    </row>
    <row customHeight="1" ht="11.25">
      <c r="A239" s="0" t="s">
        <v>14</v>
      </c>
      <c r="B239" s="0" t="s">
        <v>4170</v>
      </c>
      <c r="C239" s="0" t="s">
        <v>4171</v>
      </c>
      <c r="D239" s="0" t="s">
        <v>4170</v>
      </c>
      <c r="E239" s="0" t="s">
        <v>4171</v>
      </c>
      <c r="F239" s="0" t="s">
        <v>4172</v>
      </c>
      <c r="G239" s="0" t="s">
        <v>4173</v>
      </c>
    </row>
    <row customHeight="1" ht="11.25">
      <c r="A240" s="0" t="s">
        <v>14</v>
      </c>
      <c r="B240" s="0" t="s">
        <v>4174</v>
      </c>
      <c r="C240" s="0" t="s">
        <v>4175</v>
      </c>
      <c r="D240" s="0" t="s">
        <v>4174</v>
      </c>
      <c r="E240" s="0" t="s">
        <v>4175</v>
      </c>
      <c r="F240" s="0" t="s">
        <v>4172</v>
      </c>
      <c r="G240" s="0" t="s">
        <v>4176</v>
      </c>
    </row>
    <row customHeight="1" ht="11.25">
      <c r="A241" s="0" t="s">
        <v>14</v>
      </c>
      <c r="B241" s="0" t="s">
        <v>4177</v>
      </c>
      <c r="C241" s="0" t="s">
        <v>4178</v>
      </c>
      <c r="D241" s="0" t="s">
        <v>4177</v>
      </c>
      <c r="E241" s="0" t="s">
        <v>4178</v>
      </c>
      <c r="F241" s="0" t="s">
        <v>4172</v>
      </c>
      <c r="G241" s="0" t="s">
        <v>4179</v>
      </c>
    </row>
    <row customHeight="1" ht="11.25">
      <c r="A242" s="0" t="s">
        <v>14</v>
      </c>
      <c r="B242" s="0" t="s">
        <v>4180</v>
      </c>
      <c r="C242" s="0" t="s">
        <v>4181</v>
      </c>
      <c r="D242" s="0" t="s">
        <v>4180</v>
      </c>
      <c r="E242" s="0" t="s">
        <v>4181</v>
      </c>
      <c r="F242" s="0" t="s">
        <v>4172</v>
      </c>
      <c r="G242" s="0" t="s">
        <v>4182</v>
      </c>
    </row>
    <row customHeight="1" ht="11.25">
      <c r="A243" s="0" t="s">
        <v>14</v>
      </c>
      <c r="B243" s="0" t="s">
        <v>4183</v>
      </c>
      <c r="C243" s="0" t="s">
        <v>4184</v>
      </c>
      <c r="D243" s="0" t="s">
        <v>4183</v>
      </c>
      <c r="E243" s="0" t="s">
        <v>4184</v>
      </c>
      <c r="F243" s="0" t="s">
        <v>4172</v>
      </c>
      <c r="G243" s="0" t="s">
        <v>4185</v>
      </c>
    </row>
    <row customHeight="1" ht="11.25">
      <c r="A244" s="0" t="s">
        <v>14</v>
      </c>
      <c r="B244" s="0" t="s">
        <v>4186</v>
      </c>
      <c r="C244" s="0" t="s">
        <v>4187</v>
      </c>
      <c r="D244" s="0" t="s">
        <v>4186</v>
      </c>
      <c r="E244" s="0" t="s">
        <v>4187</v>
      </c>
      <c r="F244" s="0" t="s">
        <v>4172</v>
      </c>
      <c r="G244" s="0" t="s">
        <v>4188</v>
      </c>
    </row>
    <row customHeight="1" ht="11.25">
      <c r="A245" s="0" t="s">
        <v>14</v>
      </c>
      <c r="B245" s="0" t="s">
        <v>4189</v>
      </c>
      <c r="C245" s="0" t="s">
        <v>4190</v>
      </c>
      <c r="D245" s="0" t="s">
        <v>4189</v>
      </c>
      <c r="E245" s="0" t="s">
        <v>4190</v>
      </c>
      <c r="F245" s="0" t="s">
        <v>4172</v>
      </c>
      <c r="G245" s="0" t="s">
        <v>4191</v>
      </c>
    </row>
    <row customHeight="1" ht="11.25">
      <c r="A246" s="0" t="s">
        <v>14</v>
      </c>
      <c r="B246" s="0" t="s">
        <v>4192</v>
      </c>
      <c r="C246" s="0" t="s">
        <v>4193</v>
      </c>
      <c r="D246" s="0" t="s">
        <v>4192</v>
      </c>
      <c r="E246" s="0" t="s">
        <v>4193</v>
      </c>
      <c r="F246" s="0" t="s">
        <v>4172</v>
      </c>
      <c r="G246" s="0" t="s">
        <v>4194</v>
      </c>
    </row>
    <row customHeight="1" ht="11.25">
      <c r="A247" s="0" t="s">
        <v>14</v>
      </c>
      <c r="B247" s="0" t="s">
        <v>4195</v>
      </c>
      <c r="C247" s="0" t="s">
        <v>4196</v>
      </c>
      <c r="D247" s="0" t="s">
        <v>4195</v>
      </c>
      <c r="E247" s="0" t="s">
        <v>4196</v>
      </c>
      <c r="F247" s="0" t="s">
        <v>4172</v>
      </c>
      <c r="G247" s="0" t="s">
        <v>4197</v>
      </c>
    </row>
    <row customHeight="1" ht="11.25">
      <c r="A248" s="0" t="s">
        <v>14</v>
      </c>
      <c r="B248" s="0" t="s">
        <v>4198</v>
      </c>
      <c r="C248" s="0" t="s">
        <v>4199</v>
      </c>
      <c r="D248" s="0" t="s">
        <v>4198</v>
      </c>
      <c r="E248" s="0" t="s">
        <v>4199</v>
      </c>
      <c r="F248" s="0" t="s">
        <v>4172</v>
      </c>
      <c r="G248" s="0" t="s">
        <v>4200</v>
      </c>
    </row>
    <row customHeight="1" ht="11.25">
      <c r="A249" s="0" t="s">
        <v>14</v>
      </c>
      <c r="B249" s="0" t="s">
        <v>4201</v>
      </c>
      <c r="C249" s="0" t="s">
        <v>4202</v>
      </c>
      <c r="D249" s="0" t="s">
        <v>4201</v>
      </c>
      <c r="E249" s="0" t="s">
        <v>4202</v>
      </c>
      <c r="F249" s="0" t="s">
        <v>4172</v>
      </c>
      <c r="G249" s="0" t="s">
        <v>4203</v>
      </c>
    </row>
    <row customHeight="1" ht="11.25">
      <c r="A250" s="0" t="s">
        <v>14</v>
      </c>
      <c r="B250" s="0" t="s">
        <v>4204</v>
      </c>
      <c r="C250" s="0" t="s">
        <v>4205</v>
      </c>
      <c r="D250" s="0" t="s">
        <v>4204</v>
      </c>
      <c r="E250" s="0" t="s">
        <v>4205</v>
      </c>
      <c r="F250" s="0" t="s">
        <v>4172</v>
      </c>
      <c r="G250" s="0" t="s">
        <v>4206</v>
      </c>
    </row>
    <row customHeight="1" ht="11.25">
      <c r="A251" s="0" t="s">
        <v>14</v>
      </c>
      <c r="B251" s="0" t="s">
        <v>4207</v>
      </c>
      <c r="C251" s="0" t="s">
        <v>4208</v>
      </c>
      <c r="D251" s="0" t="s">
        <v>4207</v>
      </c>
      <c r="E251" s="0" t="s">
        <v>4208</v>
      </c>
      <c r="F251" s="0" t="s">
        <v>4172</v>
      </c>
      <c r="G251" s="0" t="s">
        <v>4209</v>
      </c>
    </row>
    <row customHeight="1" ht="11.25">
      <c r="A252" s="0" t="s">
        <v>14</v>
      </c>
      <c r="B252" s="0" t="s">
        <v>4210</v>
      </c>
      <c r="C252" s="0" t="s">
        <v>4211</v>
      </c>
      <c r="D252" s="0" t="s">
        <v>4210</v>
      </c>
      <c r="E252" s="0" t="s">
        <v>4211</v>
      </c>
      <c r="F252" s="0" t="s">
        <v>4172</v>
      </c>
      <c r="G252" s="0" t="s">
        <v>4212</v>
      </c>
    </row>
    <row customHeight="1" ht="11.25">
      <c r="A253" s="0" t="s">
        <v>14</v>
      </c>
      <c r="B253" s="0" t="s">
        <v>4213</v>
      </c>
      <c r="C253" s="0" t="s">
        <v>4214</v>
      </c>
      <c r="D253" s="0" t="s">
        <v>4213</v>
      </c>
      <c r="E253" s="0" t="s">
        <v>4214</v>
      </c>
      <c r="F253" s="0" t="s">
        <v>4172</v>
      </c>
      <c r="G253" s="0" t="s">
        <v>4215</v>
      </c>
    </row>
    <row customHeight="1" ht="11.25">
      <c r="A254" s="0" t="s">
        <v>14</v>
      </c>
      <c r="B254" s="0" t="s">
        <v>4216</v>
      </c>
      <c r="C254" s="0" t="s">
        <v>4217</v>
      </c>
      <c r="D254" s="0" t="s">
        <v>4216</v>
      </c>
      <c r="E254" s="0" t="s">
        <v>4217</v>
      </c>
      <c r="F254" s="0" t="s">
        <v>4172</v>
      </c>
      <c r="G254" s="0" t="s">
        <v>4218</v>
      </c>
    </row>
    <row customHeight="1" ht="11.25">
      <c r="A255" s="0" t="s">
        <v>14</v>
      </c>
      <c r="B255" s="0" t="s">
        <v>4219</v>
      </c>
      <c r="C255" s="0" t="s">
        <v>4220</v>
      </c>
      <c r="D255" s="0" t="s">
        <v>4219</v>
      </c>
      <c r="E255" s="0" t="s">
        <v>4220</v>
      </c>
      <c r="F255" s="0" t="s">
        <v>4172</v>
      </c>
      <c r="G255" s="0" t="s">
        <v>4221</v>
      </c>
    </row>
    <row customHeight="1" ht="11.25">
      <c r="A256" s="0" t="s">
        <v>14</v>
      </c>
      <c r="B256" s="0" t="s">
        <v>4222</v>
      </c>
      <c r="C256" s="0" t="s">
        <v>4223</v>
      </c>
      <c r="D256" s="0" t="s">
        <v>4222</v>
      </c>
      <c r="E256" s="0" t="s">
        <v>4223</v>
      </c>
      <c r="F256" s="0" t="s">
        <v>4172</v>
      </c>
      <c r="G256" s="0" t="s">
        <v>4224</v>
      </c>
    </row>
    <row customHeight="1" ht="11.25">
      <c r="A257" s="0" t="s">
        <v>14</v>
      </c>
      <c r="B257" s="0" t="s">
        <v>4225</v>
      </c>
      <c r="C257" s="0" t="s">
        <v>4226</v>
      </c>
      <c r="D257" s="0" t="s">
        <v>4225</v>
      </c>
      <c r="E257" s="0" t="s">
        <v>4226</v>
      </c>
      <c r="F257" s="0" t="s">
        <v>4172</v>
      </c>
      <c r="G257" s="0" t="s">
        <v>4227</v>
      </c>
    </row>
    <row customHeight="1" ht="11.25">
      <c r="A258" s="0" t="s">
        <v>14</v>
      </c>
      <c r="B258" s="0" t="s">
        <v>4228</v>
      </c>
      <c r="C258" s="0" t="s">
        <v>4229</v>
      </c>
      <c r="D258" s="0" t="s">
        <v>4228</v>
      </c>
      <c r="E258" s="0" t="s">
        <v>4229</v>
      </c>
      <c r="F258" s="0" t="s">
        <v>4172</v>
      </c>
      <c r="G258" s="0" t="s">
        <v>4230</v>
      </c>
    </row>
    <row customHeight="1" ht="11.25">
      <c r="A259" s="0" t="s">
        <v>14</v>
      </c>
      <c r="B259" s="0" t="s">
        <v>4231</v>
      </c>
      <c r="C259" s="0" t="s">
        <v>4232</v>
      </c>
      <c r="D259" s="0" t="s">
        <v>4231</v>
      </c>
      <c r="E259" s="0" t="s">
        <v>4232</v>
      </c>
      <c r="F259" s="0" t="s">
        <v>4172</v>
      </c>
      <c r="G259" s="0" t="s">
        <v>4233</v>
      </c>
    </row>
    <row customHeight="1" ht="11.25">
      <c r="A260" s="0" t="s">
        <v>14</v>
      </c>
      <c r="B260" s="0" t="s">
        <v>4234</v>
      </c>
      <c r="C260" s="0" t="s">
        <v>4235</v>
      </c>
      <c r="D260" s="0" t="s">
        <v>4234</v>
      </c>
      <c r="E260" s="0" t="s">
        <v>4235</v>
      </c>
      <c r="F260" s="0" t="s">
        <v>4172</v>
      </c>
      <c r="G260" s="0" t="s">
        <v>4236</v>
      </c>
    </row>
    <row customHeight="1" ht="11.25">
      <c r="A261" s="0" t="s">
        <v>14</v>
      </c>
      <c r="B261" s="0" t="s">
        <v>4237</v>
      </c>
      <c r="C261" s="0" t="s">
        <v>4238</v>
      </c>
      <c r="D261" s="0" t="s">
        <v>4237</v>
      </c>
      <c r="E261" s="0" t="s">
        <v>4238</v>
      </c>
      <c r="F261" s="0" t="s">
        <v>4172</v>
      </c>
      <c r="G261" s="0" t="s">
        <v>4239</v>
      </c>
    </row>
    <row customHeight="1" ht="11.25">
      <c r="A262" s="0" t="s">
        <v>14</v>
      </c>
      <c r="B262" s="0" t="s">
        <v>4240</v>
      </c>
      <c r="C262" s="0" t="s">
        <v>4241</v>
      </c>
      <c r="D262" s="0" t="s">
        <v>4240</v>
      </c>
      <c r="E262" s="0" t="s">
        <v>4241</v>
      </c>
      <c r="F262" s="0" t="s">
        <v>4172</v>
      </c>
      <c r="G262" s="0" t="s">
        <v>4242</v>
      </c>
    </row>
    <row customHeight="1" ht="11.25">
      <c r="A263" s="0" t="s">
        <v>14</v>
      </c>
      <c r="B263" s="0" t="s">
        <v>4243</v>
      </c>
      <c r="C263" s="0" t="s">
        <v>4244</v>
      </c>
      <c r="D263" s="0" t="s">
        <v>4243</v>
      </c>
      <c r="E263" s="0" t="s">
        <v>4244</v>
      </c>
      <c r="F263" s="0" t="s">
        <v>4172</v>
      </c>
      <c r="G263" s="0" t="s">
        <v>4245</v>
      </c>
    </row>
    <row customHeight="1" ht="11.25">
      <c r="A264" s="0" t="s">
        <v>14</v>
      </c>
      <c r="B264" s="0" t="s">
        <v>4246</v>
      </c>
      <c r="C264" s="0" t="s">
        <v>4247</v>
      </c>
      <c r="D264" s="0" t="s">
        <v>4248</v>
      </c>
      <c r="E264" s="0" t="s">
        <v>4249</v>
      </c>
      <c r="F264" s="0" t="s">
        <v>3531</v>
      </c>
      <c r="G264" s="0" t="s">
        <v>4250</v>
      </c>
    </row>
    <row customHeight="1" ht="11.25">
      <c r="A265" s="0" t="s">
        <v>14</v>
      </c>
      <c r="B265" s="0" t="s">
        <v>4246</v>
      </c>
      <c r="C265" s="0" t="s">
        <v>4247</v>
      </c>
      <c r="D265" s="0" t="s">
        <v>4251</v>
      </c>
      <c r="E265" s="0" t="s">
        <v>4252</v>
      </c>
      <c r="F265" s="0" t="s">
        <v>3531</v>
      </c>
      <c r="G265" s="0" t="s">
        <v>4253</v>
      </c>
    </row>
    <row customHeight="1" ht="11.25">
      <c r="A266" s="0" t="s">
        <v>14</v>
      </c>
      <c r="B266" s="0" t="s">
        <v>4246</v>
      </c>
      <c r="C266" s="0" t="s">
        <v>4247</v>
      </c>
      <c r="D266" s="0" t="s">
        <v>4254</v>
      </c>
      <c r="E266" s="0" t="s">
        <v>4255</v>
      </c>
      <c r="F266" s="0" t="s">
        <v>3531</v>
      </c>
      <c r="G266" s="0" t="s">
        <v>4256</v>
      </c>
    </row>
    <row customHeight="1" ht="11.25">
      <c r="A267" s="0" t="s">
        <v>14</v>
      </c>
      <c r="B267" s="0" t="s">
        <v>4246</v>
      </c>
      <c r="C267" s="0" t="s">
        <v>4247</v>
      </c>
      <c r="D267" s="0" t="s">
        <v>4257</v>
      </c>
      <c r="E267" s="0" t="s">
        <v>4258</v>
      </c>
      <c r="F267" s="0" t="s">
        <v>3531</v>
      </c>
      <c r="G267" s="0" t="s">
        <v>4259</v>
      </c>
    </row>
    <row customHeight="1" ht="11.25">
      <c r="A268" s="0" t="s">
        <v>14</v>
      </c>
      <c r="B268" s="0" t="s">
        <v>4246</v>
      </c>
      <c r="C268" s="0" t="s">
        <v>4247</v>
      </c>
      <c r="D268" s="0" t="s">
        <v>4260</v>
      </c>
      <c r="E268" s="0" t="s">
        <v>4261</v>
      </c>
      <c r="F268" s="0" t="s">
        <v>3531</v>
      </c>
      <c r="G268" s="0" t="s">
        <v>4262</v>
      </c>
    </row>
    <row customHeight="1" ht="11.25">
      <c r="A269" s="0" t="s">
        <v>14</v>
      </c>
      <c r="B269" s="0" t="s">
        <v>4246</v>
      </c>
      <c r="C269" s="0" t="s">
        <v>4247</v>
      </c>
      <c r="D269" s="0" t="s">
        <v>4263</v>
      </c>
      <c r="E269" s="0" t="s">
        <v>4264</v>
      </c>
      <c r="F269" s="0" t="s">
        <v>3531</v>
      </c>
      <c r="G269" s="0" t="s">
        <v>4265</v>
      </c>
    </row>
    <row customHeight="1" ht="11.25">
      <c r="A270" s="0" t="s">
        <v>14</v>
      </c>
      <c r="B270" s="0" t="s">
        <v>4246</v>
      </c>
      <c r="C270" s="0" t="s">
        <v>4247</v>
      </c>
      <c r="D270" s="0" t="s">
        <v>3655</v>
      </c>
      <c r="E270" s="0" t="s">
        <v>4266</v>
      </c>
      <c r="F270" s="0" t="s">
        <v>3531</v>
      </c>
      <c r="G270" s="0" t="s">
        <v>4267</v>
      </c>
    </row>
    <row customHeight="1" ht="11.25">
      <c r="A271" s="0" t="s">
        <v>14</v>
      </c>
      <c r="B271" s="0" t="s">
        <v>4246</v>
      </c>
      <c r="C271" s="0" t="s">
        <v>4247</v>
      </c>
      <c r="D271" s="0" t="s">
        <v>4268</v>
      </c>
      <c r="E271" s="0" t="s">
        <v>4269</v>
      </c>
      <c r="F271" s="0" t="s">
        <v>3531</v>
      </c>
      <c r="G271" s="0" t="s">
        <v>4270</v>
      </c>
    </row>
    <row customHeight="1" ht="11.25">
      <c r="A272" s="0" t="s">
        <v>14</v>
      </c>
      <c r="B272" s="0" t="s">
        <v>4246</v>
      </c>
      <c r="C272" s="0" t="s">
        <v>4247</v>
      </c>
      <c r="D272" s="0" t="s">
        <v>4246</v>
      </c>
      <c r="E272" s="0" t="s">
        <v>4247</v>
      </c>
      <c r="F272" s="0" t="s">
        <v>3532</v>
      </c>
      <c r="G272" s="0" t="s">
        <v>4271</v>
      </c>
    </row>
    <row customHeight="1" ht="11.25">
      <c r="A273" s="0" t="s">
        <v>14</v>
      </c>
      <c r="B273" s="0" t="s">
        <v>4246</v>
      </c>
      <c r="C273" s="0" t="s">
        <v>4247</v>
      </c>
      <c r="D273" s="0" t="s">
        <v>4272</v>
      </c>
      <c r="E273" s="0" t="s">
        <v>4273</v>
      </c>
      <c r="F273" s="0" t="s">
        <v>3531</v>
      </c>
      <c r="G273" s="0" t="s">
        <v>4274</v>
      </c>
    </row>
    <row customHeight="1" ht="11.25">
      <c r="A274" s="0" t="s">
        <v>14</v>
      </c>
      <c r="B274" s="0" t="s">
        <v>4246</v>
      </c>
      <c r="C274" s="0" t="s">
        <v>4247</v>
      </c>
      <c r="D274" s="0" t="s">
        <v>4275</v>
      </c>
      <c r="E274" s="0" t="s">
        <v>4276</v>
      </c>
      <c r="F274" s="0" t="s">
        <v>3531</v>
      </c>
      <c r="G274" s="0" t="s">
        <v>4277</v>
      </c>
    </row>
    <row customHeight="1" ht="11.25">
      <c r="A275" s="0" t="s">
        <v>14</v>
      </c>
      <c r="B275" s="0" t="s">
        <v>4246</v>
      </c>
      <c r="C275" s="0" t="s">
        <v>4247</v>
      </c>
      <c r="D275" s="0" t="s">
        <v>4278</v>
      </c>
      <c r="E275" s="0" t="s">
        <v>4279</v>
      </c>
      <c r="F275" s="0" t="s">
        <v>3531</v>
      </c>
      <c r="G275" s="0" t="s">
        <v>4280</v>
      </c>
    </row>
    <row customHeight="1" ht="11.25">
      <c r="A276" s="0" t="s">
        <v>14</v>
      </c>
      <c r="B276" s="0" t="s">
        <v>4246</v>
      </c>
      <c r="C276" s="0" t="s">
        <v>4247</v>
      </c>
      <c r="D276" s="0" t="s">
        <v>4281</v>
      </c>
      <c r="E276" s="0" t="s">
        <v>4282</v>
      </c>
      <c r="F276" s="0" t="s">
        <v>3531</v>
      </c>
      <c r="G276" s="0" t="s">
        <v>4283</v>
      </c>
    </row>
    <row customHeight="1" ht="11.25">
      <c r="A277" s="0" t="s">
        <v>14</v>
      </c>
      <c r="B277" s="0" t="s">
        <v>4246</v>
      </c>
      <c r="C277" s="0" t="s">
        <v>4247</v>
      </c>
      <c r="D277" s="0" t="s">
        <v>4284</v>
      </c>
      <c r="E277" s="0" t="s">
        <v>4285</v>
      </c>
      <c r="F277" s="0" t="s">
        <v>3531</v>
      </c>
      <c r="G277" s="0" t="s">
        <v>4286</v>
      </c>
    </row>
    <row customHeight="1" ht="11.25">
      <c r="A278" s="0" t="s">
        <v>14</v>
      </c>
      <c r="B278" s="0" t="s">
        <v>4246</v>
      </c>
      <c r="C278" s="0" t="s">
        <v>4247</v>
      </c>
      <c r="D278" s="0" t="s">
        <v>4287</v>
      </c>
      <c r="E278" s="0" t="s">
        <v>4288</v>
      </c>
      <c r="F278" s="0" t="s">
        <v>3531</v>
      </c>
      <c r="G278" s="0" t="s">
        <v>4289</v>
      </c>
    </row>
    <row customHeight="1" ht="11.25">
      <c r="A279" s="0" t="s">
        <v>14</v>
      </c>
      <c r="B279" s="0" t="s">
        <v>4246</v>
      </c>
      <c r="C279" s="0" t="s">
        <v>4247</v>
      </c>
      <c r="D279" s="0" t="s">
        <v>4290</v>
      </c>
      <c r="E279" s="0" t="s">
        <v>4291</v>
      </c>
      <c r="F279" s="0" t="s">
        <v>3531</v>
      </c>
      <c r="G279" s="0" t="s">
        <v>4292</v>
      </c>
    </row>
    <row customHeight="1" ht="11.25">
      <c r="A280" s="0" t="s">
        <v>14</v>
      </c>
      <c r="B280" s="0" t="s">
        <v>4246</v>
      </c>
      <c r="C280" s="0" t="s">
        <v>4247</v>
      </c>
      <c r="D280" s="0" t="s">
        <v>4293</v>
      </c>
      <c r="E280" s="0" t="s">
        <v>4294</v>
      </c>
      <c r="F280" s="0" t="s">
        <v>3531</v>
      </c>
      <c r="G280" s="0" t="s">
        <v>4295</v>
      </c>
    </row>
    <row customHeight="1" ht="11.25">
      <c r="A281" s="0" t="s">
        <v>14</v>
      </c>
      <c r="B281" s="0" t="s">
        <v>4246</v>
      </c>
      <c r="C281" s="0" t="s">
        <v>4247</v>
      </c>
      <c r="D281" s="0" t="s">
        <v>4296</v>
      </c>
      <c r="E281" s="0" t="s">
        <v>4297</v>
      </c>
      <c r="F281" s="0" t="s">
        <v>3531</v>
      </c>
      <c r="G281" s="0" t="s">
        <v>4298</v>
      </c>
    </row>
    <row customHeight="1" ht="11.25">
      <c r="A282" s="0" t="s">
        <v>14</v>
      </c>
      <c r="B282" s="0" t="s">
        <v>4299</v>
      </c>
      <c r="C282" s="0" t="s">
        <v>4300</v>
      </c>
      <c r="D282" s="0" t="s">
        <v>4301</v>
      </c>
      <c r="E282" s="0" t="s">
        <v>4302</v>
      </c>
      <c r="F282" s="0" t="s">
        <v>3531</v>
      </c>
      <c r="G282" s="0" t="s">
        <v>4303</v>
      </c>
    </row>
    <row customHeight="1" ht="11.25">
      <c r="A283" s="0" t="s">
        <v>14</v>
      </c>
      <c r="B283" s="0" t="s">
        <v>4299</v>
      </c>
      <c r="C283" s="0" t="s">
        <v>4300</v>
      </c>
      <c r="D283" s="0" t="s">
        <v>4304</v>
      </c>
      <c r="E283" s="0" t="s">
        <v>4305</v>
      </c>
      <c r="F283" s="0" t="s">
        <v>3531</v>
      </c>
      <c r="G283" s="0" t="s">
        <v>4306</v>
      </c>
    </row>
    <row customHeight="1" ht="11.25">
      <c r="A284" s="0" t="s">
        <v>14</v>
      </c>
      <c r="B284" s="0" t="s">
        <v>4299</v>
      </c>
      <c r="C284" s="0" t="s">
        <v>4300</v>
      </c>
      <c r="D284" s="0" t="s">
        <v>4307</v>
      </c>
      <c r="E284" s="0" t="s">
        <v>4308</v>
      </c>
      <c r="F284" s="0" t="s">
        <v>3531</v>
      </c>
      <c r="G284" s="0" t="s">
        <v>4309</v>
      </c>
    </row>
    <row customHeight="1" ht="11.25">
      <c r="A285" s="0" t="s">
        <v>14</v>
      </c>
      <c r="B285" s="0" t="s">
        <v>4299</v>
      </c>
      <c r="C285" s="0" t="s">
        <v>4300</v>
      </c>
      <c r="D285" s="0" t="s">
        <v>4310</v>
      </c>
      <c r="E285" s="0" t="s">
        <v>4311</v>
      </c>
      <c r="F285" s="0" t="s">
        <v>3531</v>
      </c>
      <c r="G285" s="0" t="s">
        <v>4312</v>
      </c>
    </row>
    <row customHeight="1" ht="11.25">
      <c r="A286" s="0" t="s">
        <v>14</v>
      </c>
      <c r="B286" s="0" t="s">
        <v>4299</v>
      </c>
      <c r="C286" s="0" t="s">
        <v>4300</v>
      </c>
      <c r="D286" s="0" t="s">
        <v>4313</v>
      </c>
      <c r="E286" s="0" t="s">
        <v>4314</v>
      </c>
      <c r="F286" s="0" t="s">
        <v>3531</v>
      </c>
      <c r="G286" s="0" t="s">
        <v>4315</v>
      </c>
    </row>
    <row customHeight="1" ht="11.25">
      <c r="A287" s="0" t="s">
        <v>14</v>
      </c>
      <c r="B287" s="0" t="s">
        <v>4299</v>
      </c>
      <c r="C287" s="0" t="s">
        <v>4300</v>
      </c>
      <c r="D287" s="0" t="s">
        <v>4299</v>
      </c>
      <c r="E287" s="0" t="s">
        <v>4300</v>
      </c>
      <c r="F287" s="0" t="s">
        <v>3532</v>
      </c>
      <c r="G287" s="0" t="s">
        <v>4316</v>
      </c>
    </row>
    <row customHeight="1" ht="11.25">
      <c r="A288" s="0" t="s">
        <v>14</v>
      </c>
      <c r="B288" s="0" t="s">
        <v>4299</v>
      </c>
      <c r="C288" s="0" t="s">
        <v>4300</v>
      </c>
      <c r="D288" s="0" t="s">
        <v>4317</v>
      </c>
      <c r="E288" s="0" t="s">
        <v>4318</v>
      </c>
      <c r="F288" s="0" t="s">
        <v>3531</v>
      </c>
      <c r="G288" s="0" t="s">
        <v>4319</v>
      </c>
    </row>
    <row customHeight="1" ht="11.25">
      <c r="A289" s="0" t="s">
        <v>14</v>
      </c>
      <c r="B289" s="0" t="s">
        <v>4299</v>
      </c>
      <c r="C289" s="0" t="s">
        <v>4300</v>
      </c>
      <c r="D289" s="0" t="s">
        <v>4320</v>
      </c>
      <c r="E289" s="0" t="s">
        <v>4321</v>
      </c>
      <c r="F289" s="0" t="s">
        <v>3531</v>
      </c>
      <c r="G289" s="0" t="s">
        <v>4322</v>
      </c>
    </row>
    <row customHeight="1" ht="11.25">
      <c r="A290" s="0" t="s">
        <v>14</v>
      </c>
      <c r="B290" s="0" t="s">
        <v>4299</v>
      </c>
      <c r="C290" s="0" t="s">
        <v>4300</v>
      </c>
      <c r="D290" s="0" t="s">
        <v>4323</v>
      </c>
      <c r="E290" s="0" t="s">
        <v>4324</v>
      </c>
      <c r="F290" s="0" t="s">
        <v>3531</v>
      </c>
      <c r="G290" s="0" t="s">
        <v>4325</v>
      </c>
    </row>
    <row customHeight="1" ht="11.25">
      <c r="A291" s="0" t="s">
        <v>14</v>
      </c>
      <c r="B291" s="0" t="s">
        <v>4299</v>
      </c>
      <c r="C291" s="0" t="s">
        <v>4300</v>
      </c>
      <c r="D291" s="0" t="s">
        <v>4326</v>
      </c>
      <c r="E291" s="0" t="s">
        <v>4327</v>
      </c>
      <c r="F291" s="0" t="s">
        <v>3531</v>
      </c>
      <c r="G291" s="0" t="s">
        <v>4328</v>
      </c>
    </row>
    <row customHeight="1" ht="11.25">
      <c r="A292" s="0" t="s">
        <v>14</v>
      </c>
      <c r="B292" s="0" t="s">
        <v>4329</v>
      </c>
      <c r="C292" s="0" t="s">
        <v>4330</v>
      </c>
      <c r="D292" s="0" t="s">
        <v>4331</v>
      </c>
      <c r="E292" s="0" t="s">
        <v>4332</v>
      </c>
      <c r="F292" s="0" t="s">
        <v>3531</v>
      </c>
      <c r="G292" s="0" t="s">
        <v>4333</v>
      </c>
    </row>
    <row customHeight="1" ht="11.25">
      <c r="A293" s="0" t="s">
        <v>14</v>
      </c>
      <c r="B293" s="0" t="s">
        <v>4329</v>
      </c>
      <c r="C293" s="0" t="s">
        <v>4330</v>
      </c>
      <c r="D293" s="0" t="s">
        <v>4334</v>
      </c>
      <c r="E293" s="0" t="s">
        <v>4335</v>
      </c>
      <c r="F293" s="0" t="s">
        <v>3531</v>
      </c>
      <c r="G293" s="0" t="s">
        <v>4336</v>
      </c>
    </row>
    <row customHeight="1" ht="11.25">
      <c r="A294" s="0" t="s">
        <v>14</v>
      </c>
      <c r="B294" s="0" t="s">
        <v>4329</v>
      </c>
      <c r="C294" s="0" t="s">
        <v>4330</v>
      </c>
      <c r="D294" s="0" t="s">
        <v>4337</v>
      </c>
      <c r="E294" s="0" t="s">
        <v>4338</v>
      </c>
      <c r="F294" s="0" t="s">
        <v>3531</v>
      </c>
      <c r="G294" s="0" t="s">
        <v>4339</v>
      </c>
    </row>
    <row customHeight="1" ht="11.25">
      <c r="A295" s="0" t="s">
        <v>14</v>
      </c>
      <c r="B295" s="0" t="s">
        <v>4329</v>
      </c>
      <c r="C295" s="0" t="s">
        <v>4330</v>
      </c>
      <c r="D295" s="0" t="s">
        <v>4340</v>
      </c>
      <c r="E295" s="0" t="s">
        <v>4341</v>
      </c>
      <c r="F295" s="0" t="s">
        <v>3531</v>
      </c>
      <c r="G295" s="0" t="s">
        <v>4342</v>
      </c>
    </row>
    <row customHeight="1" ht="11.25">
      <c r="A296" s="0" t="s">
        <v>14</v>
      </c>
      <c r="B296" s="0" t="s">
        <v>4329</v>
      </c>
      <c r="C296" s="0" t="s">
        <v>4330</v>
      </c>
      <c r="D296" s="0" t="s">
        <v>4304</v>
      </c>
      <c r="E296" s="0" t="s">
        <v>4343</v>
      </c>
      <c r="F296" s="0" t="s">
        <v>3531</v>
      </c>
      <c r="G296" s="0" t="s">
        <v>4344</v>
      </c>
    </row>
    <row customHeight="1" ht="11.25">
      <c r="A297" s="0" t="s">
        <v>14</v>
      </c>
      <c r="B297" s="0" t="s">
        <v>4329</v>
      </c>
      <c r="C297" s="0" t="s">
        <v>4330</v>
      </c>
      <c r="D297" s="0" t="s">
        <v>4345</v>
      </c>
      <c r="E297" s="0" t="s">
        <v>4346</v>
      </c>
      <c r="F297" s="0" t="s">
        <v>3531</v>
      </c>
      <c r="G297" s="0" t="s">
        <v>4347</v>
      </c>
    </row>
    <row customHeight="1" ht="11.25">
      <c r="A298" s="0" t="s">
        <v>14</v>
      </c>
      <c r="B298" s="0" t="s">
        <v>4329</v>
      </c>
      <c r="C298" s="0" t="s">
        <v>4330</v>
      </c>
      <c r="D298" s="0" t="s">
        <v>4348</v>
      </c>
      <c r="E298" s="0" t="s">
        <v>4349</v>
      </c>
      <c r="F298" s="0" t="s">
        <v>3531</v>
      </c>
      <c r="G298" s="0" t="s">
        <v>4350</v>
      </c>
    </row>
    <row customHeight="1" ht="11.25">
      <c r="A299" s="0" t="s">
        <v>14</v>
      </c>
      <c r="B299" s="0" t="s">
        <v>4329</v>
      </c>
      <c r="C299" s="0" t="s">
        <v>4330</v>
      </c>
      <c r="D299" s="0" t="s">
        <v>4329</v>
      </c>
      <c r="E299" s="0" t="s">
        <v>4330</v>
      </c>
      <c r="F299" s="0" t="s">
        <v>3532</v>
      </c>
      <c r="G299" s="0" t="s">
        <v>4351</v>
      </c>
    </row>
    <row customHeight="1" ht="11.25">
      <c r="A300" s="0" t="s">
        <v>14</v>
      </c>
      <c r="B300" s="0" t="s">
        <v>4329</v>
      </c>
      <c r="C300" s="0" t="s">
        <v>4330</v>
      </c>
      <c r="D300" s="0" t="s">
        <v>4352</v>
      </c>
      <c r="E300" s="0" t="s">
        <v>4353</v>
      </c>
      <c r="F300" s="0" t="s">
        <v>3531</v>
      </c>
      <c r="G300" s="0" t="s">
        <v>4354</v>
      </c>
    </row>
    <row customHeight="1" ht="11.25">
      <c r="A301" s="0" t="s">
        <v>14</v>
      </c>
      <c r="B301" s="0" t="s">
        <v>4355</v>
      </c>
      <c r="C301" s="0" t="s">
        <v>4356</v>
      </c>
      <c r="D301" s="0" t="s">
        <v>4357</v>
      </c>
      <c r="E301" s="0" t="s">
        <v>4358</v>
      </c>
      <c r="F301" s="0" t="s">
        <v>3531</v>
      </c>
      <c r="G301" s="0" t="s">
        <v>4359</v>
      </c>
    </row>
    <row customHeight="1" ht="11.25">
      <c r="A302" s="0" t="s">
        <v>14</v>
      </c>
      <c r="B302" s="0" t="s">
        <v>4355</v>
      </c>
      <c r="C302" s="0" t="s">
        <v>4356</v>
      </c>
      <c r="D302" s="0" t="s">
        <v>4360</v>
      </c>
      <c r="E302" s="0" t="s">
        <v>4361</v>
      </c>
      <c r="F302" s="0" t="s">
        <v>3531</v>
      </c>
      <c r="G302" s="0" t="s">
        <v>4362</v>
      </c>
    </row>
    <row customHeight="1" ht="11.25">
      <c r="A303" s="0" t="s">
        <v>14</v>
      </c>
      <c r="B303" s="0" t="s">
        <v>4355</v>
      </c>
      <c r="C303" s="0" t="s">
        <v>4356</v>
      </c>
      <c r="D303" s="0" t="s">
        <v>4363</v>
      </c>
      <c r="E303" s="0" t="s">
        <v>4364</v>
      </c>
      <c r="F303" s="0" t="s">
        <v>3531</v>
      </c>
      <c r="G303" s="0" t="s">
        <v>4365</v>
      </c>
    </row>
    <row customHeight="1" ht="11.25">
      <c r="A304" s="0" t="s">
        <v>14</v>
      </c>
      <c r="B304" s="0" t="s">
        <v>4355</v>
      </c>
      <c r="C304" s="0" t="s">
        <v>4356</v>
      </c>
      <c r="D304" s="0" t="s">
        <v>4366</v>
      </c>
      <c r="E304" s="0" t="s">
        <v>4367</v>
      </c>
      <c r="F304" s="0" t="s">
        <v>3531</v>
      </c>
      <c r="G304" s="0" t="s">
        <v>4368</v>
      </c>
    </row>
    <row customHeight="1" ht="11.25">
      <c r="A305" s="0" t="s">
        <v>14</v>
      </c>
      <c r="B305" s="0" t="s">
        <v>4355</v>
      </c>
      <c r="C305" s="0" t="s">
        <v>4356</v>
      </c>
      <c r="D305" s="0" t="s">
        <v>4369</v>
      </c>
      <c r="E305" s="0" t="s">
        <v>4370</v>
      </c>
      <c r="F305" s="0" t="s">
        <v>3531</v>
      </c>
      <c r="G305" s="0" t="s">
        <v>4371</v>
      </c>
    </row>
    <row customHeight="1" ht="11.25">
      <c r="A306" s="0" t="s">
        <v>14</v>
      </c>
      <c r="B306" s="0" t="s">
        <v>4355</v>
      </c>
      <c r="C306" s="0" t="s">
        <v>4356</v>
      </c>
      <c r="D306" s="0" t="s">
        <v>4372</v>
      </c>
      <c r="E306" s="0" t="s">
        <v>4373</v>
      </c>
      <c r="F306" s="0" t="s">
        <v>3531</v>
      </c>
      <c r="G306" s="0" t="s">
        <v>4374</v>
      </c>
    </row>
    <row customHeight="1" ht="11.25">
      <c r="A307" s="0" t="s">
        <v>14</v>
      </c>
      <c r="B307" s="0" t="s">
        <v>4355</v>
      </c>
      <c r="C307" s="0" t="s">
        <v>4356</v>
      </c>
      <c r="D307" s="0" t="s">
        <v>4375</v>
      </c>
      <c r="E307" s="0" t="s">
        <v>4376</v>
      </c>
      <c r="F307" s="0" t="s">
        <v>3531</v>
      </c>
      <c r="G307" s="0" t="s">
        <v>4377</v>
      </c>
    </row>
    <row customHeight="1" ht="11.25">
      <c r="A308" s="0" t="s">
        <v>14</v>
      </c>
      <c r="B308" s="0" t="s">
        <v>4355</v>
      </c>
      <c r="C308" s="0" t="s">
        <v>4356</v>
      </c>
      <c r="D308" s="0" t="s">
        <v>4378</v>
      </c>
      <c r="E308" s="0" t="s">
        <v>4379</v>
      </c>
      <c r="F308" s="0" t="s">
        <v>3531</v>
      </c>
      <c r="G308" s="0" t="s">
        <v>4380</v>
      </c>
    </row>
    <row customHeight="1" ht="11.25">
      <c r="A309" s="0" t="s">
        <v>14</v>
      </c>
      <c r="B309" s="0" t="s">
        <v>4355</v>
      </c>
      <c r="C309" s="0" t="s">
        <v>4356</v>
      </c>
      <c r="D309" s="0" t="s">
        <v>4381</v>
      </c>
      <c r="E309" s="0" t="s">
        <v>4382</v>
      </c>
      <c r="F309" s="0" t="s">
        <v>3531</v>
      </c>
      <c r="G309" s="0" t="s">
        <v>4383</v>
      </c>
    </row>
    <row customHeight="1" ht="11.25">
      <c r="A310" s="0" t="s">
        <v>14</v>
      </c>
      <c r="B310" s="0" t="s">
        <v>4355</v>
      </c>
      <c r="C310" s="0" t="s">
        <v>4356</v>
      </c>
      <c r="D310" s="0" t="s">
        <v>4384</v>
      </c>
      <c r="E310" s="0" t="s">
        <v>4385</v>
      </c>
      <c r="F310" s="0" t="s">
        <v>3531</v>
      </c>
      <c r="G310" s="0" t="s">
        <v>4386</v>
      </c>
    </row>
    <row customHeight="1" ht="11.25">
      <c r="A311" s="0" t="s">
        <v>14</v>
      </c>
      <c r="B311" s="0" t="s">
        <v>4355</v>
      </c>
      <c r="C311" s="0" t="s">
        <v>4356</v>
      </c>
      <c r="D311" s="0" t="s">
        <v>4387</v>
      </c>
      <c r="E311" s="0" t="s">
        <v>4388</v>
      </c>
      <c r="F311" s="0" t="s">
        <v>3531</v>
      </c>
      <c r="G311" s="0" t="s">
        <v>4389</v>
      </c>
    </row>
    <row customHeight="1" ht="11.25">
      <c r="A312" s="0" t="s">
        <v>14</v>
      </c>
      <c r="B312" s="0" t="s">
        <v>4355</v>
      </c>
      <c r="C312" s="0" t="s">
        <v>4356</v>
      </c>
      <c r="D312" s="0" t="s">
        <v>4390</v>
      </c>
      <c r="E312" s="0" t="s">
        <v>4391</v>
      </c>
      <c r="F312" s="0" t="s">
        <v>3531</v>
      </c>
      <c r="G312" s="0" t="s">
        <v>4392</v>
      </c>
    </row>
    <row customHeight="1" ht="11.25">
      <c r="A313" s="0" t="s">
        <v>14</v>
      </c>
      <c r="B313" s="0" t="s">
        <v>4355</v>
      </c>
      <c r="C313" s="0" t="s">
        <v>4356</v>
      </c>
      <c r="D313" s="0" t="s">
        <v>4393</v>
      </c>
      <c r="E313" s="0" t="s">
        <v>4394</v>
      </c>
      <c r="F313" s="0" t="s">
        <v>3531</v>
      </c>
      <c r="G313" s="0" t="s">
        <v>4395</v>
      </c>
    </row>
    <row customHeight="1" ht="11.25">
      <c r="A314" s="0" t="s">
        <v>14</v>
      </c>
      <c r="B314" s="0" t="s">
        <v>4355</v>
      </c>
      <c r="C314" s="0" t="s">
        <v>4356</v>
      </c>
      <c r="D314" s="0" t="s">
        <v>4355</v>
      </c>
      <c r="E314" s="0" t="s">
        <v>4356</v>
      </c>
      <c r="F314" s="0" t="s">
        <v>3532</v>
      </c>
      <c r="G314" s="0" t="s">
        <v>4396</v>
      </c>
    </row>
    <row customHeight="1" ht="11.25">
      <c r="A315" s="0" t="s">
        <v>14</v>
      </c>
      <c r="B315" s="0" t="s">
        <v>4355</v>
      </c>
      <c r="C315" s="0" t="s">
        <v>4356</v>
      </c>
      <c r="D315" s="0" t="s">
        <v>4397</v>
      </c>
      <c r="E315" s="0" t="s">
        <v>4398</v>
      </c>
      <c r="F315" s="0" t="s">
        <v>3531</v>
      </c>
      <c r="G315" s="0" t="s">
        <v>4399</v>
      </c>
    </row>
    <row customHeight="1" ht="11.25">
      <c r="A316" s="0" t="s">
        <v>14</v>
      </c>
      <c r="B316" s="0" t="s">
        <v>4355</v>
      </c>
      <c r="C316" s="0" t="s">
        <v>4356</v>
      </c>
      <c r="D316" s="0" t="s">
        <v>4400</v>
      </c>
      <c r="E316" s="0" t="s">
        <v>4401</v>
      </c>
      <c r="F316" s="0" t="s">
        <v>3531</v>
      </c>
      <c r="G316" s="0" t="s">
        <v>4402</v>
      </c>
    </row>
    <row customHeight="1" ht="11.25">
      <c r="A317" s="0" t="s">
        <v>14</v>
      </c>
      <c r="B317" s="0" t="s">
        <v>4355</v>
      </c>
      <c r="C317" s="0" t="s">
        <v>4356</v>
      </c>
      <c r="D317" s="0" t="s">
        <v>4403</v>
      </c>
      <c r="E317" s="0" t="s">
        <v>4404</v>
      </c>
      <c r="F317" s="0" t="s">
        <v>3531</v>
      </c>
      <c r="G317" s="0" t="s">
        <v>4405</v>
      </c>
    </row>
    <row customHeight="1" ht="11.25">
      <c r="A318" s="0" t="s">
        <v>14</v>
      </c>
      <c r="B318" s="0" t="s">
        <v>4355</v>
      </c>
      <c r="C318" s="0" t="s">
        <v>4356</v>
      </c>
      <c r="D318" s="0" t="s">
        <v>4406</v>
      </c>
      <c r="E318" s="0" t="s">
        <v>4407</v>
      </c>
      <c r="F318" s="0" t="s">
        <v>3531</v>
      </c>
      <c r="G318" s="0" t="s">
        <v>4408</v>
      </c>
    </row>
    <row customHeight="1" ht="11.25">
      <c r="A319" s="0" t="s">
        <v>14</v>
      </c>
      <c r="B319" s="0" t="s">
        <v>4409</v>
      </c>
      <c r="C319" s="0" t="s">
        <v>4410</v>
      </c>
      <c r="D319" s="0" t="s">
        <v>4411</v>
      </c>
      <c r="E319" s="0" t="s">
        <v>4412</v>
      </c>
      <c r="F319" s="0" t="s">
        <v>3531</v>
      </c>
      <c r="G319" s="0" t="s">
        <v>4413</v>
      </c>
    </row>
    <row customHeight="1" ht="11.25">
      <c r="A320" s="0" t="s">
        <v>14</v>
      </c>
      <c r="B320" s="0" t="s">
        <v>4409</v>
      </c>
      <c r="C320" s="0" t="s">
        <v>4410</v>
      </c>
      <c r="D320" s="0" t="s">
        <v>4414</v>
      </c>
      <c r="E320" s="0" t="s">
        <v>4415</v>
      </c>
      <c r="F320" s="0" t="s">
        <v>3531</v>
      </c>
      <c r="G320" s="0" t="s">
        <v>4416</v>
      </c>
    </row>
    <row customHeight="1" ht="11.25">
      <c r="A321" s="0" t="s">
        <v>14</v>
      </c>
      <c r="B321" s="0" t="s">
        <v>4409</v>
      </c>
      <c r="C321" s="0" t="s">
        <v>4410</v>
      </c>
      <c r="D321" s="0" t="s">
        <v>4417</v>
      </c>
      <c r="E321" s="0" t="s">
        <v>4418</v>
      </c>
      <c r="F321" s="0" t="s">
        <v>3531</v>
      </c>
      <c r="G321" s="0" t="s">
        <v>4419</v>
      </c>
    </row>
    <row customHeight="1" ht="11.25">
      <c r="A322" s="0" t="s">
        <v>14</v>
      </c>
      <c r="B322" s="0" t="s">
        <v>4409</v>
      </c>
      <c r="C322" s="0" t="s">
        <v>4410</v>
      </c>
      <c r="D322" s="0" t="s">
        <v>4420</v>
      </c>
      <c r="E322" s="0" t="s">
        <v>4421</v>
      </c>
      <c r="F322" s="0" t="s">
        <v>3531</v>
      </c>
      <c r="G322" s="0" t="s">
        <v>4422</v>
      </c>
    </row>
    <row customHeight="1" ht="11.25">
      <c r="A323" s="0" t="s">
        <v>14</v>
      </c>
      <c r="B323" s="0" t="s">
        <v>4409</v>
      </c>
      <c r="C323" s="0" t="s">
        <v>4410</v>
      </c>
      <c r="D323" s="0" t="s">
        <v>4423</v>
      </c>
      <c r="E323" s="0" t="s">
        <v>4424</v>
      </c>
      <c r="F323" s="0" t="s">
        <v>3531</v>
      </c>
      <c r="G323" s="0" t="s">
        <v>4425</v>
      </c>
    </row>
    <row customHeight="1" ht="11.25">
      <c r="A324" s="0" t="s">
        <v>14</v>
      </c>
      <c r="B324" s="0" t="s">
        <v>4409</v>
      </c>
      <c r="C324" s="0" t="s">
        <v>4410</v>
      </c>
      <c r="D324" s="0" t="s">
        <v>4426</v>
      </c>
      <c r="E324" s="0" t="s">
        <v>4427</v>
      </c>
      <c r="F324" s="0" t="s">
        <v>3531</v>
      </c>
      <c r="G324" s="0" t="s">
        <v>4428</v>
      </c>
    </row>
    <row customHeight="1" ht="11.25">
      <c r="A325" s="0" t="s">
        <v>14</v>
      </c>
      <c r="B325" s="0" t="s">
        <v>4409</v>
      </c>
      <c r="C325" s="0" t="s">
        <v>4410</v>
      </c>
      <c r="D325" s="0" t="s">
        <v>4429</v>
      </c>
      <c r="E325" s="0" t="s">
        <v>4430</v>
      </c>
      <c r="F325" s="0" t="s">
        <v>3531</v>
      </c>
      <c r="G325" s="0" t="s">
        <v>4431</v>
      </c>
    </row>
    <row customHeight="1" ht="11.25">
      <c r="A326" s="0" t="s">
        <v>14</v>
      </c>
      <c r="B326" s="0" t="s">
        <v>4409</v>
      </c>
      <c r="C326" s="0" t="s">
        <v>4410</v>
      </c>
      <c r="D326" s="0" t="s">
        <v>4432</v>
      </c>
      <c r="E326" s="0" t="s">
        <v>4433</v>
      </c>
      <c r="F326" s="0" t="s">
        <v>3531</v>
      </c>
      <c r="G326" s="0" t="s">
        <v>4434</v>
      </c>
    </row>
    <row customHeight="1" ht="11.25">
      <c r="A327" s="0" t="s">
        <v>14</v>
      </c>
      <c r="B327" s="0" t="s">
        <v>4409</v>
      </c>
      <c r="C327" s="0" t="s">
        <v>4410</v>
      </c>
      <c r="D327" s="0" t="s">
        <v>4435</v>
      </c>
      <c r="E327" s="0" t="s">
        <v>4436</v>
      </c>
      <c r="F327" s="0" t="s">
        <v>3531</v>
      </c>
      <c r="G327" s="0" t="s">
        <v>4437</v>
      </c>
    </row>
    <row customHeight="1" ht="11.25">
      <c r="A328" s="0" t="s">
        <v>14</v>
      </c>
      <c r="B328" s="0" t="s">
        <v>4409</v>
      </c>
      <c r="C328" s="0" t="s">
        <v>4410</v>
      </c>
      <c r="D328" s="0" t="s">
        <v>4438</v>
      </c>
      <c r="E328" s="0" t="s">
        <v>4439</v>
      </c>
      <c r="F328" s="0" t="s">
        <v>3531</v>
      </c>
      <c r="G328" s="0" t="s">
        <v>4440</v>
      </c>
    </row>
    <row customHeight="1" ht="11.25">
      <c r="A329" s="0" t="s">
        <v>14</v>
      </c>
      <c r="B329" s="0" t="s">
        <v>4409</v>
      </c>
      <c r="C329" s="0" t="s">
        <v>4410</v>
      </c>
      <c r="D329" s="0" t="s">
        <v>4441</v>
      </c>
      <c r="E329" s="0" t="s">
        <v>4442</v>
      </c>
      <c r="F329" s="0" t="s">
        <v>3531</v>
      </c>
      <c r="G329" s="0" t="s">
        <v>4443</v>
      </c>
    </row>
    <row customHeight="1" ht="11.25">
      <c r="A330" s="0" t="s">
        <v>14</v>
      </c>
      <c r="B330" s="0" t="s">
        <v>4409</v>
      </c>
      <c r="C330" s="0" t="s">
        <v>4410</v>
      </c>
      <c r="D330" s="0" t="s">
        <v>4444</v>
      </c>
      <c r="E330" s="0" t="s">
        <v>4445</v>
      </c>
      <c r="F330" s="0" t="s">
        <v>3531</v>
      </c>
      <c r="G330" s="0" t="s">
        <v>4446</v>
      </c>
    </row>
    <row customHeight="1" ht="11.25">
      <c r="A331" s="0" t="s">
        <v>14</v>
      </c>
      <c r="B331" s="0" t="s">
        <v>4409</v>
      </c>
      <c r="C331" s="0" t="s">
        <v>4410</v>
      </c>
      <c r="D331" s="0" t="s">
        <v>4447</v>
      </c>
      <c r="E331" s="0" t="s">
        <v>4448</v>
      </c>
      <c r="F331" s="0" t="s">
        <v>3531</v>
      </c>
      <c r="G331" s="0" t="s">
        <v>4449</v>
      </c>
    </row>
    <row customHeight="1" ht="11.25">
      <c r="A332" s="0" t="s">
        <v>14</v>
      </c>
      <c r="B332" s="0" t="s">
        <v>4409</v>
      </c>
      <c r="C332" s="0" t="s">
        <v>4410</v>
      </c>
      <c r="D332" s="0" t="s">
        <v>4450</v>
      </c>
      <c r="E332" s="0" t="s">
        <v>4451</v>
      </c>
      <c r="F332" s="0" t="s">
        <v>3531</v>
      </c>
      <c r="G332" s="0" t="s">
        <v>4452</v>
      </c>
    </row>
    <row customHeight="1" ht="11.25">
      <c r="A333" s="0" t="s">
        <v>14</v>
      </c>
      <c r="B333" s="0" t="s">
        <v>4409</v>
      </c>
      <c r="C333" s="0" t="s">
        <v>4410</v>
      </c>
      <c r="D333" s="0" t="s">
        <v>4409</v>
      </c>
      <c r="E333" s="0" t="s">
        <v>4410</v>
      </c>
      <c r="F333" s="0" t="s">
        <v>3532</v>
      </c>
      <c r="G333" s="0" t="s">
        <v>4453</v>
      </c>
    </row>
    <row customHeight="1" ht="11.25">
      <c r="A334" s="0" t="s">
        <v>14</v>
      </c>
      <c r="B334" s="0" t="s">
        <v>4409</v>
      </c>
      <c r="C334" s="0" t="s">
        <v>4410</v>
      </c>
      <c r="D334" s="0" t="s">
        <v>4454</v>
      </c>
      <c r="E334" s="0" t="s">
        <v>4455</v>
      </c>
      <c r="F334" s="0" t="s">
        <v>3531</v>
      </c>
      <c r="G334" s="0" t="s">
        <v>4456</v>
      </c>
    </row>
    <row customHeight="1" ht="11.25">
      <c r="A335" s="0" t="s">
        <v>14</v>
      </c>
      <c r="B335" s="0" t="s">
        <v>4457</v>
      </c>
      <c r="C335" s="0" t="s">
        <v>4458</v>
      </c>
      <c r="D335" s="0" t="s">
        <v>4459</v>
      </c>
      <c r="E335" s="0" t="s">
        <v>4460</v>
      </c>
      <c r="F335" s="0" t="s">
        <v>3531</v>
      </c>
      <c r="G335" s="0" t="s">
        <v>4461</v>
      </c>
    </row>
    <row customHeight="1" ht="11.25">
      <c r="A336" s="0" t="s">
        <v>14</v>
      </c>
      <c r="B336" s="0" t="s">
        <v>4457</v>
      </c>
      <c r="C336" s="0" t="s">
        <v>4458</v>
      </c>
      <c r="D336" s="0" t="s">
        <v>4462</v>
      </c>
      <c r="E336" s="0" t="s">
        <v>4463</v>
      </c>
      <c r="F336" s="0" t="s">
        <v>3531</v>
      </c>
      <c r="G336" s="0" t="s">
        <v>4464</v>
      </c>
    </row>
    <row customHeight="1" ht="11.25">
      <c r="A337" s="0" t="s">
        <v>14</v>
      </c>
      <c r="B337" s="0" t="s">
        <v>4457</v>
      </c>
      <c r="C337" s="0" t="s">
        <v>4458</v>
      </c>
      <c r="D337" s="0" t="s">
        <v>4465</v>
      </c>
      <c r="E337" s="0" t="s">
        <v>4466</v>
      </c>
      <c r="F337" s="0" t="s">
        <v>3531</v>
      </c>
      <c r="G337" s="0" t="s">
        <v>4467</v>
      </c>
    </row>
    <row customHeight="1" ht="11.25">
      <c r="A338" s="0" t="s">
        <v>14</v>
      </c>
      <c r="B338" s="0" t="s">
        <v>4457</v>
      </c>
      <c r="C338" s="0" t="s">
        <v>4458</v>
      </c>
      <c r="D338" s="0" t="s">
        <v>4468</v>
      </c>
      <c r="E338" s="0" t="s">
        <v>4469</v>
      </c>
      <c r="F338" s="0" t="s">
        <v>3531</v>
      </c>
      <c r="G338" s="0" t="s">
        <v>4470</v>
      </c>
    </row>
    <row customHeight="1" ht="11.25">
      <c r="A339" s="0" t="s">
        <v>14</v>
      </c>
      <c r="B339" s="0" t="s">
        <v>4457</v>
      </c>
      <c r="C339" s="0" t="s">
        <v>4458</v>
      </c>
      <c r="D339" s="0" t="s">
        <v>4471</v>
      </c>
      <c r="E339" s="0" t="s">
        <v>4472</v>
      </c>
      <c r="F339" s="0" t="s">
        <v>3531</v>
      </c>
      <c r="G339" s="0" t="s">
        <v>4473</v>
      </c>
    </row>
    <row customHeight="1" ht="11.25">
      <c r="A340" s="0" t="s">
        <v>14</v>
      </c>
      <c r="B340" s="0" t="s">
        <v>4457</v>
      </c>
      <c r="C340" s="0" t="s">
        <v>4458</v>
      </c>
      <c r="D340" s="0" t="s">
        <v>4474</v>
      </c>
      <c r="E340" s="0" t="s">
        <v>4475</v>
      </c>
      <c r="F340" s="0" t="s">
        <v>3531</v>
      </c>
      <c r="G340" s="0" t="s">
        <v>4476</v>
      </c>
    </row>
    <row customHeight="1" ht="11.25">
      <c r="A341" s="0" t="s">
        <v>14</v>
      </c>
      <c r="B341" s="0" t="s">
        <v>4457</v>
      </c>
      <c r="C341" s="0" t="s">
        <v>4458</v>
      </c>
      <c r="D341" s="0" t="s">
        <v>4477</v>
      </c>
      <c r="E341" s="0" t="s">
        <v>4478</v>
      </c>
      <c r="F341" s="0" t="s">
        <v>3531</v>
      </c>
      <c r="G341" s="0" t="s">
        <v>4479</v>
      </c>
    </row>
    <row customHeight="1" ht="11.25">
      <c r="A342" s="0" t="s">
        <v>14</v>
      </c>
      <c r="B342" s="0" t="s">
        <v>4457</v>
      </c>
      <c r="C342" s="0" t="s">
        <v>4458</v>
      </c>
      <c r="D342" s="0" t="s">
        <v>4457</v>
      </c>
      <c r="E342" s="0" t="s">
        <v>4458</v>
      </c>
      <c r="F342" s="0" t="s">
        <v>3532</v>
      </c>
      <c r="G342" s="0" t="s">
        <v>4480</v>
      </c>
    </row>
    <row customHeight="1" ht="11.25">
      <c r="A343" s="0" t="s">
        <v>14</v>
      </c>
      <c r="B343" s="0" t="s">
        <v>4457</v>
      </c>
      <c r="C343" s="0" t="s">
        <v>4458</v>
      </c>
      <c r="D343" s="0" t="s">
        <v>4481</v>
      </c>
      <c r="E343" s="0" t="s">
        <v>4482</v>
      </c>
      <c r="F343" s="0" t="s">
        <v>3531</v>
      </c>
      <c r="G343" s="0" t="s">
        <v>4483</v>
      </c>
    </row>
    <row customHeight="1" ht="11.25">
      <c r="A344" s="0" t="s">
        <v>14</v>
      </c>
      <c r="B344" s="0" t="s">
        <v>4484</v>
      </c>
      <c r="C344" s="0" t="s">
        <v>4485</v>
      </c>
      <c r="D344" s="0" t="s">
        <v>4486</v>
      </c>
      <c r="E344" s="0" t="s">
        <v>4487</v>
      </c>
      <c r="F344" s="0" t="s">
        <v>3531</v>
      </c>
      <c r="G344" s="0" t="s">
        <v>4488</v>
      </c>
    </row>
    <row customHeight="1" ht="11.25">
      <c r="A345" s="0" t="s">
        <v>14</v>
      </c>
      <c r="B345" s="0" t="s">
        <v>4484</v>
      </c>
      <c r="C345" s="0" t="s">
        <v>4485</v>
      </c>
      <c r="D345" s="0" t="s">
        <v>4489</v>
      </c>
      <c r="E345" s="0" t="s">
        <v>4490</v>
      </c>
      <c r="F345" s="0" t="s">
        <v>3531</v>
      </c>
      <c r="G345" s="0" t="s">
        <v>4491</v>
      </c>
    </row>
    <row customHeight="1" ht="11.25">
      <c r="A346" s="0" t="s">
        <v>14</v>
      </c>
      <c r="B346" s="0" t="s">
        <v>4484</v>
      </c>
      <c r="C346" s="0" t="s">
        <v>4485</v>
      </c>
      <c r="D346" s="0" t="s">
        <v>4492</v>
      </c>
      <c r="E346" s="0" t="s">
        <v>4493</v>
      </c>
      <c r="F346" s="0" t="s">
        <v>3531</v>
      </c>
      <c r="G346" s="0" t="s">
        <v>4494</v>
      </c>
    </row>
    <row customHeight="1" ht="11.25">
      <c r="A347" s="0" t="s">
        <v>14</v>
      </c>
      <c r="B347" s="0" t="s">
        <v>4484</v>
      </c>
      <c r="C347" s="0" t="s">
        <v>4485</v>
      </c>
      <c r="D347" s="0" t="s">
        <v>4495</v>
      </c>
      <c r="E347" s="0" t="s">
        <v>4496</v>
      </c>
      <c r="F347" s="0" t="s">
        <v>3531</v>
      </c>
      <c r="G347" s="0" t="s">
        <v>4497</v>
      </c>
    </row>
    <row customHeight="1" ht="11.25">
      <c r="A348" s="0" t="s">
        <v>14</v>
      </c>
      <c r="B348" s="0" t="s">
        <v>4484</v>
      </c>
      <c r="C348" s="0" t="s">
        <v>4485</v>
      </c>
      <c r="D348" s="0" t="s">
        <v>4498</v>
      </c>
      <c r="E348" s="0" t="s">
        <v>4499</v>
      </c>
      <c r="F348" s="0" t="s">
        <v>3531</v>
      </c>
      <c r="G348" s="0" t="s">
        <v>4500</v>
      </c>
    </row>
    <row customHeight="1" ht="11.25">
      <c r="A349" s="0" t="s">
        <v>14</v>
      </c>
      <c r="B349" s="0" t="s">
        <v>4484</v>
      </c>
      <c r="C349" s="0" t="s">
        <v>4485</v>
      </c>
      <c r="D349" s="0" t="s">
        <v>4501</v>
      </c>
      <c r="E349" s="0" t="s">
        <v>4502</v>
      </c>
      <c r="F349" s="0" t="s">
        <v>3531</v>
      </c>
      <c r="G349" s="0" t="s">
        <v>4503</v>
      </c>
    </row>
    <row customHeight="1" ht="11.25">
      <c r="A350" s="0" t="s">
        <v>14</v>
      </c>
      <c r="B350" s="0" t="s">
        <v>4484</v>
      </c>
      <c r="C350" s="0" t="s">
        <v>4485</v>
      </c>
      <c r="D350" s="0" t="s">
        <v>4504</v>
      </c>
      <c r="E350" s="0" t="s">
        <v>4505</v>
      </c>
      <c r="F350" s="0" t="s">
        <v>3531</v>
      </c>
      <c r="G350" s="0" t="s">
        <v>4506</v>
      </c>
    </row>
    <row customHeight="1" ht="11.25">
      <c r="A351" s="0" t="s">
        <v>14</v>
      </c>
      <c r="B351" s="0" t="s">
        <v>4484</v>
      </c>
      <c r="C351" s="0" t="s">
        <v>4485</v>
      </c>
      <c r="D351" s="0" t="s">
        <v>4507</v>
      </c>
      <c r="E351" s="0" t="s">
        <v>4508</v>
      </c>
      <c r="F351" s="0" t="s">
        <v>3531</v>
      </c>
      <c r="G351" s="0" t="s">
        <v>4509</v>
      </c>
    </row>
    <row customHeight="1" ht="11.25">
      <c r="A352" s="0" t="s">
        <v>14</v>
      </c>
      <c r="B352" s="0" t="s">
        <v>4484</v>
      </c>
      <c r="C352" s="0" t="s">
        <v>4485</v>
      </c>
      <c r="D352" s="0" t="s">
        <v>4510</v>
      </c>
      <c r="E352" s="0" t="s">
        <v>4511</v>
      </c>
      <c r="F352" s="0" t="s">
        <v>3531</v>
      </c>
      <c r="G352" s="0" t="s">
        <v>4512</v>
      </c>
    </row>
    <row customHeight="1" ht="11.25">
      <c r="A353" s="0" t="s">
        <v>14</v>
      </c>
      <c r="B353" s="0" t="s">
        <v>4484</v>
      </c>
      <c r="C353" s="0" t="s">
        <v>4485</v>
      </c>
      <c r="D353" s="0" t="s">
        <v>4513</v>
      </c>
      <c r="E353" s="0" t="s">
        <v>4514</v>
      </c>
      <c r="F353" s="0" t="s">
        <v>3531</v>
      </c>
      <c r="G353" s="0" t="s">
        <v>4515</v>
      </c>
    </row>
    <row customHeight="1" ht="11.25">
      <c r="A354" s="0" t="s">
        <v>14</v>
      </c>
      <c r="B354" s="0" t="s">
        <v>4484</v>
      </c>
      <c r="C354" s="0" t="s">
        <v>4485</v>
      </c>
      <c r="D354" s="0" t="s">
        <v>4484</v>
      </c>
      <c r="E354" s="0" t="s">
        <v>4485</v>
      </c>
      <c r="F354" s="0" t="s">
        <v>3532</v>
      </c>
      <c r="G354" s="0" t="s">
        <v>4516</v>
      </c>
    </row>
    <row customHeight="1" ht="11.25">
      <c r="A355" s="0" t="s">
        <v>14</v>
      </c>
      <c r="B355" s="0" t="s">
        <v>4484</v>
      </c>
      <c r="C355" s="0" t="s">
        <v>4485</v>
      </c>
      <c r="D355" s="0" t="s">
        <v>4517</v>
      </c>
      <c r="E355" s="0" t="s">
        <v>4518</v>
      </c>
      <c r="F355" s="0" t="s">
        <v>3531</v>
      </c>
      <c r="G355" s="0" t="s">
        <v>4519</v>
      </c>
    </row>
    <row customHeight="1" ht="11.25">
      <c r="A356" s="0" t="s">
        <v>14</v>
      </c>
      <c r="B356" s="0" t="s">
        <v>4484</v>
      </c>
      <c r="C356" s="0" t="s">
        <v>4485</v>
      </c>
      <c r="D356" s="0" t="s">
        <v>3794</v>
      </c>
      <c r="E356" s="0" t="s">
        <v>4520</v>
      </c>
      <c r="F356" s="0" t="s">
        <v>3531</v>
      </c>
      <c r="G356" s="0" t="s">
        <v>4521</v>
      </c>
    </row>
    <row customHeight="1" ht="11.25">
      <c r="A357" s="0" t="s">
        <v>14</v>
      </c>
      <c r="B357" s="0" t="s">
        <v>4522</v>
      </c>
      <c r="C357" s="0" t="s">
        <v>4523</v>
      </c>
      <c r="D357" s="0" t="s">
        <v>4524</v>
      </c>
      <c r="E357" s="0" t="s">
        <v>4525</v>
      </c>
      <c r="F357" s="0" t="s">
        <v>3531</v>
      </c>
      <c r="G357" s="0" t="s">
        <v>4526</v>
      </c>
    </row>
    <row customHeight="1" ht="11.25">
      <c r="A358" s="0" t="s">
        <v>14</v>
      </c>
      <c r="B358" s="0" t="s">
        <v>4522</v>
      </c>
      <c r="C358" s="0" t="s">
        <v>4523</v>
      </c>
      <c r="D358" s="0" t="s">
        <v>4527</v>
      </c>
      <c r="E358" s="0" t="s">
        <v>4528</v>
      </c>
      <c r="F358" s="0" t="s">
        <v>3531</v>
      </c>
      <c r="G358" s="0" t="s">
        <v>4529</v>
      </c>
    </row>
    <row customHeight="1" ht="11.25">
      <c r="A359" s="0" t="s">
        <v>14</v>
      </c>
      <c r="B359" s="0" t="s">
        <v>4522</v>
      </c>
      <c r="C359" s="0" t="s">
        <v>4523</v>
      </c>
      <c r="D359" s="0" t="s">
        <v>4530</v>
      </c>
      <c r="E359" s="0" t="s">
        <v>4531</v>
      </c>
      <c r="F359" s="0" t="s">
        <v>3531</v>
      </c>
      <c r="G359" s="0" t="s">
        <v>4532</v>
      </c>
    </row>
    <row customHeight="1" ht="11.25">
      <c r="A360" s="0" t="s">
        <v>14</v>
      </c>
      <c r="B360" s="0" t="s">
        <v>4522</v>
      </c>
      <c r="C360" s="0" t="s">
        <v>4523</v>
      </c>
      <c r="D360" s="0" t="s">
        <v>4533</v>
      </c>
      <c r="E360" s="0" t="s">
        <v>4534</v>
      </c>
      <c r="F360" s="0" t="s">
        <v>3531</v>
      </c>
      <c r="G360" s="0" t="s">
        <v>4535</v>
      </c>
    </row>
    <row customHeight="1" ht="11.25">
      <c r="A361" s="0" t="s">
        <v>14</v>
      </c>
      <c r="B361" s="0" t="s">
        <v>4522</v>
      </c>
      <c r="C361" s="0" t="s">
        <v>4523</v>
      </c>
      <c r="D361" s="0" t="s">
        <v>4536</v>
      </c>
      <c r="E361" s="0" t="s">
        <v>4537</v>
      </c>
      <c r="F361" s="0" t="s">
        <v>3531</v>
      </c>
      <c r="G361" s="0" t="s">
        <v>4538</v>
      </c>
    </row>
    <row customHeight="1" ht="11.25">
      <c r="A362" s="0" t="s">
        <v>14</v>
      </c>
      <c r="B362" s="0" t="s">
        <v>4522</v>
      </c>
      <c r="C362" s="0" t="s">
        <v>4523</v>
      </c>
      <c r="D362" s="0" t="s">
        <v>4539</v>
      </c>
      <c r="E362" s="0" t="s">
        <v>4540</v>
      </c>
      <c r="F362" s="0" t="s">
        <v>3531</v>
      </c>
      <c r="G362" s="0" t="s">
        <v>4541</v>
      </c>
    </row>
    <row customHeight="1" ht="11.25">
      <c r="A363" s="0" t="s">
        <v>14</v>
      </c>
      <c r="B363" s="0" t="s">
        <v>4522</v>
      </c>
      <c r="C363" s="0" t="s">
        <v>4523</v>
      </c>
      <c r="D363" s="0" t="s">
        <v>4542</v>
      </c>
      <c r="E363" s="0" t="s">
        <v>4543</v>
      </c>
      <c r="F363" s="0" t="s">
        <v>3531</v>
      </c>
      <c r="G363" s="0" t="s">
        <v>4544</v>
      </c>
    </row>
    <row customHeight="1" ht="11.25">
      <c r="A364" s="0" t="s">
        <v>14</v>
      </c>
      <c r="B364" s="0" t="s">
        <v>4522</v>
      </c>
      <c r="C364" s="0" t="s">
        <v>4523</v>
      </c>
      <c r="D364" s="0" t="s">
        <v>4545</v>
      </c>
      <c r="E364" s="0" t="s">
        <v>4546</v>
      </c>
      <c r="F364" s="0" t="s">
        <v>3531</v>
      </c>
      <c r="G364" s="0" t="s">
        <v>4547</v>
      </c>
    </row>
    <row customHeight="1" ht="11.25">
      <c r="A365" s="0" t="s">
        <v>14</v>
      </c>
      <c r="B365" s="0" t="s">
        <v>4522</v>
      </c>
      <c r="C365" s="0" t="s">
        <v>4523</v>
      </c>
      <c r="D365" s="0" t="s">
        <v>4548</v>
      </c>
      <c r="E365" s="0" t="s">
        <v>4549</v>
      </c>
      <c r="F365" s="0" t="s">
        <v>3531</v>
      </c>
      <c r="G365" s="0" t="s">
        <v>4550</v>
      </c>
    </row>
    <row customHeight="1" ht="11.25">
      <c r="A366" s="0" t="s">
        <v>14</v>
      </c>
      <c r="B366" s="0" t="s">
        <v>4522</v>
      </c>
      <c r="C366" s="0" t="s">
        <v>4523</v>
      </c>
      <c r="D366" s="0" t="s">
        <v>4522</v>
      </c>
      <c r="E366" s="0" t="s">
        <v>4523</v>
      </c>
      <c r="F366" s="0" t="s">
        <v>3532</v>
      </c>
      <c r="G366" s="0" t="s">
        <v>4551</v>
      </c>
    </row>
    <row customHeight="1" ht="11.25">
      <c r="A367" s="0" t="s">
        <v>14</v>
      </c>
      <c r="B367" s="0" t="s">
        <v>4522</v>
      </c>
      <c r="C367" s="0" t="s">
        <v>4523</v>
      </c>
      <c r="D367" s="0" t="s">
        <v>4552</v>
      </c>
      <c r="E367" s="0" t="s">
        <v>4553</v>
      </c>
      <c r="F367" s="0" t="s">
        <v>3531</v>
      </c>
      <c r="G367" s="0" t="s">
        <v>4554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6DCC68-6BB2-4398-FE26-E31E5CB5507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6027" width="9.140625"/>
    <col min="2" max="2" style="6027" width="84.28125" customWidth="1"/>
    <col min="3" max="3" style="6027" width="9.140625"/>
  </cols>
  <sheetData>
    <row customHeight="1" ht="11.25">
      <c r="A1" s="841" t="s">
        <v>4602</v>
      </c>
      <c r="B1" s="841" t="s">
        <v>4603</v>
      </c>
      <c r="C1" s="841" t="s">
        <v>1174</v>
      </c>
    </row>
    <row customHeight="1" ht="11.25">
      <c r="A2" s="841">
        <v>4189678</v>
      </c>
      <c r="B2" s="841" t="s">
        <v>4604</v>
      </c>
      <c r="C2" s="841" t="s">
        <v>4605</v>
      </c>
    </row>
    <row customHeight="1" ht="11.25">
      <c r="A3" s="841">
        <v>4190415</v>
      </c>
      <c r="B3" s="841" t="s">
        <v>4606</v>
      </c>
      <c r="C3" s="841" t="s">
        <v>4605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52D18-4F9F-7C8C-9C82-0A5437C7EB0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6031" width="38.421875" customWidth="1"/>
    <col min="2" max="5" style="6031" width="9.140625"/>
  </cols>
  <sheetData>
    <row customHeight="1" ht="15">
      <c r="A1" s="149" t="s">
        <v>4607</v>
      </c>
      <c r="B1" s="149" t="s">
        <v>4608</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96F2AD-6686-8087-FF8A-AABD95A551E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4609</v>
      </c>
      <c r="B1" s="0" t="b">
        <v>1</v>
      </c>
    </row>
    <row customHeight="1" ht="11.25">
      <c r="A2" s="0" t="s">
        <v>4610</v>
      </c>
      <c r="B2" s="0" t="b">
        <v>0</v>
      </c>
    </row>
    <row customHeight="1" ht="11.25">
      <c r="A3" s="0" t="s">
        <v>4611</v>
      </c>
      <c r="B3" s="0" t="b">
        <v>0</v>
      </c>
    </row>
    <row customHeight="1" ht="11.25">
      <c r="A4" s="0" t="s">
        <v>4612</v>
      </c>
      <c r="B4" s="0" t="b">
        <v>1</v>
      </c>
    </row>
    <row customHeight="1" ht="11.25">
      <c r="A5" s="0" t="s">
        <v>4613</v>
      </c>
      <c r="B5" s="0" t="b">
        <v>0</v>
      </c>
    </row>
    <row customHeight="1" ht="11.25">
      <c r="A6" s="0" t="s">
        <v>4614</v>
      </c>
      <c r="B6" s="0" t="b">
        <v>0</v>
      </c>
    </row>
    <row customHeight="1" ht="11.25">
      <c r="A7" s="0" t="s">
        <v>4615</v>
      </c>
      <c r="B7" s="0" t="b">
        <v>0</v>
      </c>
    </row>
    <row customHeight="1" ht="11.25">
      <c r="A8" s="0" t="s">
        <v>4616</v>
      </c>
      <c r="B8" s="0" t="b">
        <v>0</v>
      </c>
    </row>
    <row customHeight="1" ht="11.25">
      <c r="A9" s="0" t="s">
        <v>4617</v>
      </c>
      <c r="B9" s="0" t="b">
        <v>1</v>
      </c>
    </row>
    <row customHeight="1" ht="11.25">
      <c r="A10" s="0" t="s">
        <v>4618</v>
      </c>
      <c r="B10" s="0" t="b">
        <v>0</v>
      </c>
    </row>
    <row customHeight="1" ht="11.25">
      <c r="A11" s="0" t="s">
        <v>4619</v>
      </c>
      <c r="B11" s="0" t="b">
        <v>0</v>
      </c>
    </row>
    <row customHeight="1" ht="11.25">
      <c r="A12" s="0" t="s">
        <v>4620</v>
      </c>
      <c r="B12" s="0" t="b">
        <v>0</v>
      </c>
    </row>
    <row customHeight="1" ht="11.25">
      <c r="A13" s="0" t="s">
        <v>4621</v>
      </c>
      <c r="B13" s="0" t="b">
        <v>0</v>
      </c>
    </row>
    <row customHeight="1" ht="11.25">
      <c r="A14" s="0" t="s">
        <v>4622</v>
      </c>
      <c r="B14" s="0" t="b">
        <v>0</v>
      </c>
    </row>
    <row customHeight="1" ht="11.25">
      <c r="A15" s="0" t="s">
        <v>4623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E8990D-4E38-BDB6-8DF6-FDDB679681F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6033"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4567CF-78C4-0D56-A354-246988ADC88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6009" width="36.28125" customWidth="1"/>
    <col min="2" max="2" style="6009" width="21.140625" customWidth="1"/>
  </cols>
  <sheetData>
    <row customHeight="1" ht="11.25">
      <c r="A1" s="52" t="s">
        <v>4624</v>
      </c>
      <c r="B1" s="52" t="s">
        <v>4625</v>
      </c>
    </row>
    <row customHeight="1" ht="11.25">
      <c r="A2" s="48" t="s">
        <v>4626</v>
      </c>
      <c r="B2" s="48" t="s">
        <v>4627</v>
      </c>
    </row>
    <row customHeight="1" ht="11.25">
      <c r="A3" s="48" t="s">
        <v>4628</v>
      </c>
      <c r="B3" s="48" t="s">
        <v>4629</v>
      </c>
    </row>
    <row customHeight="1" ht="11.25">
      <c r="A4" s="48" t="s">
        <v>4630</v>
      </c>
      <c r="B4" s="48" t="s">
        <v>4631</v>
      </c>
    </row>
    <row customHeight="1" ht="11.25">
      <c r="A5" s="48" t="s">
        <v>4632</v>
      </c>
      <c r="B5" s="48" t="s">
        <v>4633</v>
      </c>
    </row>
    <row customHeight="1" ht="11.25">
      <c r="A6" s="48" t="s">
        <v>4634</v>
      </c>
      <c r="B6" s="48" t="s">
        <v>4635</v>
      </c>
    </row>
    <row customHeight="1" ht="11.25">
      <c r="A7" s="48" t="s">
        <v>4636</v>
      </c>
      <c r="B7" s="48" t="s">
        <v>4637</v>
      </c>
    </row>
    <row customHeight="1" ht="11.25">
      <c r="A8" s="48" t="s">
        <v>4638</v>
      </c>
      <c r="B8" s="48" t="s">
        <v>4639</v>
      </c>
    </row>
    <row customHeight="1" ht="11.25">
      <c r="A9" s="48" t="s">
        <v>4640</v>
      </c>
      <c r="B9" s="48" t="s">
        <v>4641</v>
      </c>
    </row>
    <row customHeight="1" ht="11.25">
      <c r="A10" s="48" t="s">
        <v>4642</v>
      </c>
      <c r="B10" s="48" t="s">
        <v>4643</v>
      </c>
    </row>
    <row customHeight="1" ht="11.25">
      <c r="A11" s="48" t="s">
        <v>4644</v>
      </c>
      <c r="B11" s="48" t="s">
        <v>4645</v>
      </c>
    </row>
    <row customHeight="1" ht="11.25">
      <c r="A12" s="48" t="s">
        <v>4646</v>
      </c>
      <c r="B12" s="48" t="s">
        <v>4647</v>
      </c>
    </row>
    <row customHeight="1" ht="11.25">
      <c r="A13" s="48" t="s">
        <v>4648</v>
      </c>
      <c r="B13" s="48" t="s">
        <v>4649</v>
      </c>
    </row>
    <row customHeight="1" ht="11.25">
      <c r="A14" s="48" t="s">
        <v>4650</v>
      </c>
      <c r="B14" s="48" t="s">
        <v>4651</v>
      </c>
    </row>
    <row customHeight="1" ht="11.25">
      <c r="A15" s="48" t="s">
        <v>4652</v>
      </c>
      <c r="B15" s="48" t="s">
        <v>4653</v>
      </c>
    </row>
    <row customHeight="1" ht="11.25">
      <c r="A16" s="48" t="s">
        <v>4654</v>
      </c>
      <c r="B16" s="48" t="s">
        <v>4655</v>
      </c>
    </row>
    <row customHeight="1" ht="11.25">
      <c r="A17" s="48" t="s">
        <v>4656</v>
      </c>
      <c r="B17" s="48" t="s">
        <v>4657</v>
      </c>
    </row>
    <row customHeight="1" ht="11.25">
      <c r="A18" s="48" t="s">
        <v>4658</v>
      </c>
      <c r="B18" s="48" t="s">
        <v>4659</v>
      </c>
    </row>
    <row customHeight="1" ht="11.25">
      <c r="A19" s="48" t="s">
        <v>4660</v>
      </c>
      <c r="B19" s="48" t="s">
        <v>4661</v>
      </c>
    </row>
    <row customHeight="1" ht="11.25">
      <c r="A20" s="48" t="s">
        <v>4662</v>
      </c>
      <c r="B20" s="48" t="s">
        <v>4663</v>
      </c>
    </row>
    <row customHeight="1" ht="11.25">
      <c r="A21" s="48" t="s">
        <v>4664</v>
      </c>
      <c r="B21" s="48" t="s">
        <v>4665</v>
      </c>
    </row>
    <row customHeight="1" ht="11.25">
      <c r="A22" s="48" t="s">
        <v>4666</v>
      </c>
      <c r="B22" s="48" t="s">
        <v>4667</v>
      </c>
    </row>
    <row customHeight="1" ht="11.25">
      <c r="A23" s="48" t="s">
        <v>4668</v>
      </c>
      <c r="B23" s="48" t="s">
        <v>4669</v>
      </c>
    </row>
    <row customHeight="1" ht="11.25">
      <c r="A24" s="48" t="s">
        <v>4670</v>
      </c>
      <c r="B24" s="48" t="s">
        <v>4671</v>
      </c>
    </row>
    <row customHeight="1" ht="11.25">
      <c r="A25" s="48" t="s">
        <v>4672</v>
      </c>
      <c r="B25" s="48" t="s">
        <v>4673</v>
      </c>
    </row>
    <row customHeight="1" ht="11.25">
      <c r="A26" s="48" t="s">
        <v>4674</v>
      </c>
      <c r="B26" s="48" t="s">
        <v>4675</v>
      </c>
    </row>
    <row customHeight="1" ht="11.25">
      <c r="A27" s="48" t="s">
        <v>4676</v>
      </c>
      <c r="B27" s="48" t="s">
        <v>4677</v>
      </c>
    </row>
    <row customHeight="1" ht="11.25">
      <c r="A28" s="48" t="s">
        <v>4678</v>
      </c>
      <c r="B28" s="48" t="s">
        <v>4679</v>
      </c>
    </row>
    <row customHeight="1" ht="11.25">
      <c r="A29" s="48" t="s">
        <v>4680</v>
      </c>
      <c r="B29" s="48" t="s">
        <v>4681</v>
      </c>
    </row>
    <row customHeight="1" ht="11.25">
      <c r="A30" s="48" t="s">
        <v>4682</v>
      </c>
      <c r="B30" s="48" t="s">
        <v>4683</v>
      </c>
    </row>
    <row customHeight="1" ht="11.25">
      <c r="A31" s="48" t="s">
        <v>4684</v>
      </c>
      <c r="B31" s="48" t="s">
        <v>4685</v>
      </c>
    </row>
    <row customHeight="1" ht="11.25">
      <c r="A32" s="48" t="s">
        <v>4686</v>
      </c>
      <c r="B32" s="48" t="s">
        <v>4687</v>
      </c>
    </row>
    <row customHeight="1" ht="11.25">
      <c r="A33" s="48" t="s">
        <v>4688</v>
      </c>
      <c r="B33" s="48" t="s">
        <v>4689</v>
      </c>
    </row>
    <row customHeight="1" ht="11.25">
      <c r="A34" s="48" t="s">
        <v>4690</v>
      </c>
      <c r="B34" s="48" t="s">
        <v>4691</v>
      </c>
    </row>
    <row customHeight="1" ht="11.25">
      <c r="A35" s="48" t="s">
        <v>4692</v>
      </c>
      <c r="B35" s="48" t="s">
        <v>4693</v>
      </c>
    </row>
    <row customHeight="1" ht="11.25">
      <c r="A36" s="48" t="s">
        <v>4694</v>
      </c>
      <c r="B36" s="48" t="s">
        <v>4695</v>
      </c>
    </row>
    <row customHeight="1" ht="11.25">
      <c r="A37" s="48" t="s">
        <v>4696</v>
      </c>
      <c r="B37" s="48" t="s">
        <v>4697</v>
      </c>
    </row>
    <row customHeight="1" ht="11.25">
      <c r="A38" s="48" t="s">
        <v>4698</v>
      </c>
      <c r="B38" s="48" t="s">
        <v>4699</v>
      </c>
    </row>
    <row customHeight="1" ht="11.25">
      <c r="A39" s="48" t="s">
        <v>4700</v>
      </c>
      <c r="B39" s="48" t="s">
        <v>4701</v>
      </c>
    </row>
    <row customHeight="1" ht="11.25">
      <c r="A40" s="48" t="s">
        <v>4702</v>
      </c>
      <c r="B40" s="48" t="s">
        <v>4703</v>
      </c>
    </row>
    <row customHeight="1" ht="11.25">
      <c r="A41" s="48" t="s">
        <v>4704</v>
      </c>
      <c r="B41" s="48" t="s">
        <v>4705</v>
      </c>
    </row>
    <row customHeight="1" ht="11.25">
      <c r="A42" s="48" t="s">
        <v>4706</v>
      </c>
      <c r="B42" s="48" t="s">
        <v>4707</v>
      </c>
    </row>
    <row customHeight="1" ht="11.25">
      <c r="A43" s="48" t="s">
        <v>4708</v>
      </c>
      <c r="B43" s="48" t="s">
        <v>4709</v>
      </c>
    </row>
    <row customHeight="1" ht="11.25">
      <c r="A44" s="48" t="s">
        <v>4710</v>
      </c>
      <c r="B44" s="48" t="s">
        <v>4711</v>
      </c>
    </row>
    <row customHeight="1" ht="11.25">
      <c r="A45" s="48" t="s">
        <v>4712</v>
      </c>
      <c r="B45" s="48" t="s">
        <v>4713</v>
      </c>
    </row>
    <row customHeight="1" ht="11.25">
      <c r="A46" s="48" t="s">
        <v>4714</v>
      </c>
      <c r="B46" s="48" t="s">
        <v>4715</v>
      </c>
    </row>
    <row customHeight="1" ht="11.25">
      <c r="A47" s="48" t="s">
        <v>4716</v>
      </c>
      <c r="B47" s="48" t="s">
        <v>4717</v>
      </c>
    </row>
    <row customHeight="1" ht="11.25">
      <c r="A48" s="48" t="s">
        <v>4718</v>
      </c>
      <c r="B48" s="48" t="s">
        <v>4719</v>
      </c>
    </row>
    <row customHeight="1" ht="11.25">
      <c r="A49" s="48" t="s">
        <v>4720</v>
      </c>
      <c r="B49" s="48" t="s">
        <v>4721</v>
      </c>
    </row>
    <row customHeight="1" ht="11.25">
      <c r="A50" s="48" t="s">
        <v>4722</v>
      </c>
      <c r="B50" s="48" t="s">
        <v>4723</v>
      </c>
    </row>
    <row customHeight="1" ht="11.25">
      <c r="A51" s="48" t="s">
        <v>4724</v>
      </c>
      <c r="B51" s="48" t="s">
        <v>4725</v>
      </c>
    </row>
    <row customHeight="1" ht="11.25">
      <c r="A52" s="48" t="s">
        <v>4726</v>
      </c>
      <c r="B52" s="48" t="s">
        <v>4727</v>
      </c>
    </row>
    <row customHeight="1" ht="11.25">
      <c r="A53" s="48" t="s">
        <v>4728</v>
      </c>
      <c r="B53" s="48" t="s">
        <v>4729</v>
      </c>
    </row>
    <row customHeight="1" ht="11.25">
      <c r="A54" s="48" t="s">
        <v>4730</v>
      </c>
      <c r="B54" s="48" t="s">
        <v>4731</v>
      </c>
    </row>
    <row customHeight="1" ht="11.25">
      <c r="A55" s="48" t="s">
        <v>4732</v>
      </c>
      <c r="B55" s="48" t="s">
        <v>4733</v>
      </c>
    </row>
    <row customHeight="1" ht="11.25">
      <c r="A56" s="48" t="s">
        <v>4734</v>
      </c>
      <c r="B56" s="48" t="s">
        <v>4735</v>
      </c>
    </row>
    <row customHeight="1" ht="11.25">
      <c r="A57" s="48" t="s">
        <v>4736</v>
      </c>
      <c r="B57" s="48" t="s">
        <v>4737</v>
      </c>
    </row>
    <row customHeight="1" ht="11.25">
      <c r="A58" s="48" t="s">
        <v>4738</v>
      </c>
      <c r="B58" s="48" t="s">
        <v>4739</v>
      </c>
    </row>
    <row customHeight="1" ht="11.25">
      <c r="A59" s="48" t="s">
        <v>4740</v>
      </c>
      <c r="B59" s="48" t="s">
        <v>4741</v>
      </c>
    </row>
    <row customHeight="1" ht="11.25">
      <c r="A60" s="48" t="s">
        <v>4742</v>
      </c>
      <c r="B60" s="48" t="s">
        <v>4743</v>
      </c>
    </row>
    <row customHeight="1" ht="11.25">
      <c r="A61" s="48"/>
      <c r="B61" s="48" t="s">
        <v>4744</v>
      </c>
    </row>
    <row customHeight="1" ht="11.25">
      <c r="A62" s="48"/>
      <c r="B62" s="48" t="s">
        <v>4745</v>
      </c>
    </row>
    <row customHeight="1" ht="11.25">
      <c r="A63" s="48"/>
      <c r="B63" s="48" t="s">
        <v>4746</v>
      </c>
    </row>
    <row customHeight="1" ht="11.25">
      <c r="A64" s="48"/>
      <c r="B64" s="48" t="s">
        <v>4747</v>
      </c>
    </row>
    <row customHeight="1" ht="11.25">
      <c r="A65" s="48"/>
      <c r="B65" s="48" t="s">
        <v>4748</v>
      </c>
    </row>
    <row customHeight="1" ht="11.25">
      <c r="A66" s="48"/>
      <c r="B66" s="48" t="s">
        <v>4749</v>
      </c>
    </row>
    <row customHeight="1" ht="11.25">
      <c r="A67" s="48"/>
      <c r="B67" s="48" t="s">
        <v>4750</v>
      </c>
    </row>
    <row customHeight="1" ht="11.25">
      <c r="A68" s="48"/>
      <c r="B68" s="48" t="s">
        <v>4751</v>
      </c>
    </row>
    <row customHeight="1" ht="11.25">
      <c r="A69" s="48"/>
      <c r="B69" s="48" t="s">
        <v>4752</v>
      </c>
    </row>
    <row customHeight="1" ht="11.25">
      <c r="A70" s="48"/>
      <c r="B70" s="48" t="s">
        <v>4753</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77CEDB-1DE1-107C-07D5-47B9CE58777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4754</v>
      </c>
    </row>
    <row customHeight="1" ht="90">
      <c r="B2" s="79" t="s">
        <v>4755</v>
      </c>
    </row>
    <row customHeight="1" ht="67.5">
      <c r="B3" s="79" t="s">
        <v>4756</v>
      </c>
    </row>
    <row customHeight="1" ht="33.75">
      <c r="B4" s="79" t="s">
        <v>4757</v>
      </c>
    </row>
    <row customHeight="1" ht="11.25">
      <c r="B5" s="79" t="s">
        <v>4758</v>
      </c>
    </row>
    <row customHeight="1" ht="22.5">
      <c r="B6" s="79" t="s">
        <v>4759</v>
      </c>
    </row>
    <row customHeight="1" ht="22.5">
      <c r="B7" s="79" t="s">
        <v>4760</v>
      </c>
    </row>
    <row customHeight="1" ht="22.5">
      <c r="B8" s="79" t="s">
        <v>4761</v>
      </c>
    </row>
    <row customHeight="1" ht="22.5">
      <c r="B9" s="79" t="s">
        <v>4762</v>
      </c>
    </row>
    <row customHeight="1" ht="56.25">
      <c r="B10" s="79" t="s">
        <v>4763</v>
      </c>
    </row>
    <row customHeight="1" ht="12.75">
      <c r="B11" s="145" t="s">
        <v>4764</v>
      </c>
    </row>
    <row customHeight="1" ht="11.25">
      <c r="B12" s="78" t="s">
        <v>4765</v>
      </c>
    </row>
    <row customHeight="1" ht="22.5">
      <c r="B13" s="79" t="s">
        <v>4766</v>
      </c>
    </row>
    <row customHeight="1" ht="67.5">
      <c r="B14" s="79" t="s">
        <v>4767</v>
      </c>
    </row>
    <row customHeight="1" ht="22.5">
      <c r="B15" s="79" t="s">
        <v>4768</v>
      </c>
    </row>
    <row customHeight="1" ht="11.25">
      <c r="B16" s="78" t="s">
        <v>4769</v>
      </c>
      <c r="D16" s="86"/>
    </row>
    <row customHeight="1" ht="33.75">
      <c r="B17" s="79" t="s">
        <v>4770</v>
      </c>
    </row>
    <row customHeight="1" ht="33.75">
      <c r="B18" s="79" t="s">
        <v>4771</v>
      </c>
    </row>
    <row customHeight="1" ht="11.25">
      <c r="B19" s="79" t="s">
        <v>4772</v>
      </c>
    </row>
    <row customHeight="1" ht="33.75">
      <c r="B20" s="79" t="s">
        <v>4773</v>
      </c>
    </row>
    <row customHeight="1" ht="11.25">
      <c r="B21" s="78" t="s">
        <v>4774</v>
      </c>
    </row>
    <row customHeight="1" ht="11.25">
      <c r="B22" s="79" t="s">
        <v>4775</v>
      </c>
    </row>
    <row r="24" customHeight="1" ht="22.5">
      <c r="B24" s="147" t="s">
        <v>4776</v>
      </c>
    </row>
    <row r="26" customHeight="1" ht="11.25">
      <c r="B26" s="78" t="s">
        <v>4777</v>
      </c>
    </row>
    <row customHeight="1" ht="22.5">
      <c r="B27" s="146" t="s">
        <v>386</v>
      </c>
    </row>
    <row customHeight="1" ht="56.25">
      <c r="B28" s="146" t="s">
        <v>4778</v>
      </c>
    </row>
    <row customHeight="1" ht="11.25">
      <c r="B29" s="196" t="s">
        <v>4779</v>
      </c>
    </row>
    <row customHeight="1" ht="22.5">
      <c r="B30" s="146" t="s">
        <v>4780</v>
      </c>
    </row>
    <row r="32" customHeight="1" ht="11.25">
      <c r="A32" s="174"/>
      <c r="B32" s="175" t="s">
        <v>4781</v>
      </c>
    </row>
    <row customHeight="1" ht="14.25">
      <c r="A33" s="176">
        <v>1</v>
      </c>
      <c r="B33" s="177" t="s">
        <v>4782</v>
      </c>
    </row>
    <row customHeight="1" ht="14.25">
      <c r="A34" s="176">
        <v>2</v>
      </c>
      <c r="B34" s="177" t="s">
        <v>4783</v>
      </c>
    </row>
    <row customHeight="1" ht="11.25">
      <c r="B35" s="175" t="s">
        <v>4784</v>
      </c>
    </row>
    <row customHeight="1" ht="11.25">
      <c r="B36" s="177" t="s">
        <v>4785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