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AYTsapina\Documents\Филиалы\Сахалин\Южная\раскрытие информации\2024\тарифная заявка декабрь\22.01\"/>
    </mc:Choice>
  </mc:AlternateContent>
  <bookViews>
    <workbookView xWindow="0" yWindow="0" windowWidth="28800" windowHeight="11700" tabRatio="870" activeTab="46"/>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state="hidden" r:id="rId42"/>
    <sheet name="Предложение" sheetId="43" r:id="rId43"/>
    <sheet name="Сведения о закупках" sheetId="44" r:id="rId44"/>
    <sheet name="Потребительские характеристики" sheetId="45" state="hidden" r:id="rId45"/>
    <sheet name="ЭД" sheetId="46" state="hidden" r:id="rId46"/>
    <sheet name="Сведения об изменении" sheetId="47"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Предложение!$L$107</definedName>
    <definedName name="OFFER_METHOD">Предложение!$K$24:$K$105</definedName>
    <definedName name="OFFER_METHOD_FLAG">TEHSHEET!$L$6</definedName>
    <definedName name="OFFER_TARIFF_A_1">Предложение!$24:$39</definedName>
    <definedName name="OFFER_TARIFF_A_2">Предложение!$109:$124</definedName>
    <definedName name="OFFER_TARIFF_A_3">Предложение!$192:$207</definedName>
    <definedName name="OFFER_TARIFF_A_4">Предложение!$275:$290</definedName>
    <definedName name="OFFER_TARIFF_A_5">Предложение!$358:$373</definedName>
    <definedName name="OFFER_TARIFF_A_COLDVSNA_1">Предложение!$73:$75</definedName>
    <definedName name="OFFER_TARIFF_A_COLDVSNA_2">Предложение!$158:$160</definedName>
    <definedName name="OFFER_TARIFF_A_COLDVSNA_3">Предложение!$241:$243</definedName>
    <definedName name="OFFER_TARIFF_A_COLDVSNA_4">Предложение!$324:$326</definedName>
    <definedName name="OFFER_TARIFF_A_COLDVSNA_5">Предложение!$407:$409</definedName>
    <definedName name="OFFER_TARIFF_A_HOTVSNA_1">Предложение!$88:$90</definedName>
    <definedName name="OFFER_TARIFF_A_HOTVSNA_2">Предложение!$173:$175</definedName>
    <definedName name="OFFER_TARIFF_A_HOTVSNA_3">Предложение!$256:$258</definedName>
    <definedName name="OFFER_TARIFF_A_HOTVSNA_4">Предложение!$339:$341</definedName>
    <definedName name="OFFER_TARIFF_A_HOTVSNA_5">Предложение!$422:$424</definedName>
    <definedName name="OFFER_TARIFF_A_VOTV_1">Предложение!$97:$99</definedName>
    <definedName name="OFFER_TARIFF_A_VOTV_2">Предложение!$182:$184</definedName>
    <definedName name="OFFER_TARIFF_A_VOTV_3">Предложение!$265:$267</definedName>
    <definedName name="OFFER_TARIFF_A_VOTV_4">Предложение!$348:$350</definedName>
    <definedName name="OFFER_TARIFF_A_VOTV_5">Предложение!$431:$433</definedName>
    <definedName name="OFFER_TARIFF_B_1">Предложение!$40:$54</definedName>
    <definedName name="OFFER_TARIFF_B_2">Предложение!$125:$139</definedName>
    <definedName name="OFFER_TARIFF_B_3">Предложение!$208:$222</definedName>
    <definedName name="OFFER_TARIFF_B_4">Предложение!$291:$305</definedName>
    <definedName name="OFFER_TARIFF_B_5">Предложение!$374:$388</definedName>
    <definedName name="OFFER_TARIFF_B_COLDVSNA_1">Предложение!$76:$78</definedName>
    <definedName name="OFFER_TARIFF_B_COLDVSNA_2">Предложение!$161:$163</definedName>
    <definedName name="OFFER_TARIFF_B_COLDVSNA_3">Предложение!$244:$246</definedName>
    <definedName name="OFFER_TARIFF_B_COLDVSNA_4">Предложение!$327:$329</definedName>
    <definedName name="OFFER_TARIFF_B_COLDVSNA_5">Предложение!$410:$412</definedName>
    <definedName name="OFFER_TARIFF_B_HOTVSNA_1">Предложение!$91:$93</definedName>
    <definedName name="OFFER_TARIFF_B_HOTVSNA_2">Предложение!$176:$178</definedName>
    <definedName name="OFFER_TARIFF_B_HOTVSNA_3">Предложение!$259:$261</definedName>
    <definedName name="OFFER_TARIFF_B_HOTVSNA_4">Предложение!$342:$344</definedName>
    <definedName name="OFFER_TARIFF_B_HOTVSNA_5">Предложение!$425:$427</definedName>
    <definedName name="OFFER_TARIFF_B_VOTV_1">Предложение!$100:$102</definedName>
    <definedName name="OFFER_TARIFF_B_VOTV_2">Предложение!$185:$187</definedName>
    <definedName name="OFFER_TARIFF_B_VOTV_3">Предложение!$268:$270</definedName>
    <definedName name="OFFER_TARIFF_B_VOTV_4">Предложение!$351:$353</definedName>
    <definedName name="OFFER_TARIFF_B_VOTV_5">Предложение!$434:$436</definedName>
    <definedName name="OFFER_TARIFF_C_1">Предложение!$55:$57</definedName>
    <definedName name="OFFER_TARIFF_C_2">Предложение!$140:$142</definedName>
    <definedName name="OFFER_TARIFF_C_3">Предложение!$223:$225</definedName>
    <definedName name="OFFER_TARIFF_C_4">Предложение!$306:$308</definedName>
    <definedName name="OFFER_TARIFF_C_5">Предложение!$389:$391</definedName>
    <definedName name="OFFER_TARIFF_C_COLDVSNA_1">Предложение!$79:$81</definedName>
    <definedName name="OFFER_TARIFF_C_COLDVSNA_2">Предложение!$164:$166</definedName>
    <definedName name="OFFER_TARIFF_C_COLDVSNA_3">Предложение!$247:$249</definedName>
    <definedName name="OFFER_TARIFF_C_COLDVSNA_4">Предложение!$330:$332</definedName>
    <definedName name="OFFER_TARIFF_C_COLDVSNA_5">Предложение!$413:$415</definedName>
    <definedName name="OFFER_TARIFF_C_HOTVSNA_1">Предложение!$94:$96</definedName>
    <definedName name="OFFER_TARIFF_C_HOTVSNA_2">Предложение!$179:$181</definedName>
    <definedName name="OFFER_TARIFF_C_HOTVSNA_3">Предложение!$262:$264</definedName>
    <definedName name="OFFER_TARIFF_C_HOTVSNA_4">Предложение!$345:$347</definedName>
    <definedName name="OFFER_TARIFF_C_HOTVSNA_5">Предложение!$428:$430</definedName>
    <definedName name="OFFER_TARIFF_C_VOTV_1">Предложение!$103:$105</definedName>
    <definedName name="OFFER_TARIFF_C_VOTV_2">Предложение!$188:$190</definedName>
    <definedName name="OFFER_TARIFF_C_VOTV_3">Предложение!$271:$273</definedName>
    <definedName name="OFFER_TARIFF_C_VOTV_4">Предложение!$354:$356</definedName>
    <definedName name="OFFER_TARIFF_C_VOTV_5">Предложение!$437:$439</definedName>
    <definedName name="OFFER_TARIFF_D_1">Предложение!$58:$60</definedName>
    <definedName name="OFFER_TARIFF_D_2">Предложение!$143:$145</definedName>
    <definedName name="OFFER_TARIFF_D_3">Предложение!$226:$228</definedName>
    <definedName name="OFFER_TARIFF_D_4">Предложение!$309:$311</definedName>
    <definedName name="OFFER_TARIFF_D_5">Предложение!$392:$394</definedName>
    <definedName name="OFFER_TARIFF_D_COLDVSNA_1">Предложение!$82:$84</definedName>
    <definedName name="OFFER_TARIFF_D_COLDVSNA_2">Предложение!$167:$169</definedName>
    <definedName name="OFFER_TARIFF_D_COLDVSNA_3">Предложение!$250:$252</definedName>
    <definedName name="OFFER_TARIFF_D_COLDVSNA_4">Предложение!$333:$335</definedName>
    <definedName name="OFFER_TARIFF_D_COLDVSNA_5">Предложение!$416:$418</definedName>
    <definedName name="OFFER_TARIFF_E_COLDVSNA_1">Предложение!$85:$87</definedName>
    <definedName name="OFFER_TARIFF_E_COLDVSNA_2">Предложение!$170:$172</definedName>
    <definedName name="OFFER_TARIFF_E_COLDVSNA_3">Предложение!$253:$255</definedName>
    <definedName name="OFFER_TARIFF_E_COLDVSNA_4">Предложение!$336:$338</definedName>
    <definedName name="OFFER_TARIFF_E_COLDVSNA_5">Предложение!$419:$421</definedName>
    <definedName name="OFFER_TARIFF_E1_1">Предложение!$61:$63</definedName>
    <definedName name="OFFER_TARIFF_E1_2">Предложение!$146:$148</definedName>
    <definedName name="OFFER_TARIFF_E1_3">Предложение!$229:$231</definedName>
    <definedName name="OFFER_TARIFF_E1_4">Предложение!$312:$314</definedName>
    <definedName name="OFFER_TARIFF_E1_5">Предложение!$395:$397</definedName>
    <definedName name="OFFER_TARIFF_E2_1">Предложение!$64:$66</definedName>
    <definedName name="OFFER_TARIFF_E2_2">Предложение!$149:$151</definedName>
    <definedName name="OFFER_TARIFF_E2_3">Предложение!$232:$234</definedName>
    <definedName name="OFFER_TARIFF_E2_4">Предложение!$315:$317</definedName>
    <definedName name="OFFER_TARIFF_E2_5">Предложение!$398:$400</definedName>
    <definedName name="OFFER_TARIFF_F_1">Предложение!$67:$69</definedName>
    <definedName name="OFFER_TARIFF_F_2">Предложение!$152:$154</definedName>
    <definedName name="OFFER_TARIFF_F_3">Предложение!$235:$237</definedName>
    <definedName name="OFFER_TARIFF_F_4">Предложение!$318:$320</definedName>
    <definedName name="OFFER_TARIFF_F_5">Предложение!$401:$403</definedName>
    <definedName name="OFFER_TARIFF_G_1">Предложение!$70:$72</definedName>
    <definedName name="OFFER_TARIFF_G_2">Предложение!$155:$157</definedName>
    <definedName name="OFFER_TARIFF_G_3">Предложение!$238:$240</definedName>
    <definedName name="OFFER_TARIFF_G_4">Предложение!$321:$323</definedName>
    <definedName name="OFFER_TARIFF_G_5">Предложение!$404:$406</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Предложение!$G$75</definedName>
    <definedName name="pIns_PT_VTAR_A_COLDVSNA_OFFER_2">Предложение!$G$160</definedName>
    <definedName name="pIns_PT_VTAR_A_COLDVSNA_OFFER_3">Предложение!$G$243</definedName>
    <definedName name="pIns_PT_VTAR_A_COLDVSNA_OFFER_4">Предложение!$G$326</definedName>
    <definedName name="pIns_PT_VTAR_A_COLDVSNA_OFFER_5">Предложение!$G$409</definedName>
    <definedName name="pIns_PT_VTAR_A_COLDVSNA_OFFER5">Предложение!$G$409</definedName>
    <definedName name="pIns_PT_VTAR_A_HOTVSNA">'ГВС. Т-гор.вода'!$T$53</definedName>
    <definedName name="pIns_PT_VTAR_A_HOTVSNA_OFFER_1">Предложение!$G$90</definedName>
    <definedName name="pIns_PT_VTAR_A_HOTVSNA_OFFER_2">Предложение!$G$175</definedName>
    <definedName name="pIns_PT_VTAR_A_HOTVSNA_OFFER_3">Предложение!$G$258</definedName>
    <definedName name="pIns_PT_VTAR_A_HOTVSNA_OFFER_4">Предложение!$G$341</definedName>
    <definedName name="pIns_PT_VTAR_A_HOTVSNA_OFFER_5">Предложение!$G$424</definedName>
    <definedName name="pIns_PT_VTAR_A_OFFER_1">Предложение!$G$39</definedName>
    <definedName name="pIns_PT_VTAR_A_OFFER_2">Предложение!$G$124</definedName>
    <definedName name="pIns_PT_VTAR_A_OFFER_3">Предложение!$G$207</definedName>
    <definedName name="pIns_PT_VTAR_A_OFFER_4">Предложение!$G$290</definedName>
    <definedName name="pIns_PT_VTAR_A_OFFER_5">Предложение!$G$373</definedName>
    <definedName name="pIns_PT_VTAR_A_VOTV">'ВО. Т-во'!$T$53</definedName>
    <definedName name="pIns_PT_VTAR_A_VOTV_OFFER_1">Предложение!$G$99</definedName>
    <definedName name="pIns_PT_VTAR_A_VOTV_OFFER_2">Предложение!$G$184</definedName>
    <definedName name="pIns_PT_VTAR_A_VOTV_OFFER_3">Предложение!$G$267</definedName>
    <definedName name="pIns_PT_VTAR_A_VOTV_OFFER_4">Предложение!$G$350</definedName>
    <definedName name="pIns_PT_VTAR_A_VOTV_OFFER_5">Предложение!$G$433</definedName>
    <definedName name="pIns_PT_VTAR_B">'ТС. Т-ТЭ | ТСО'!$T$57</definedName>
    <definedName name="pIns_PT_VTAR_B_COLDVSNA">'ХВС. Т-тех'!$T$53</definedName>
    <definedName name="pIns_PT_VTAR_B_COLDVSNA_OFFER_1">Предложение!$G$78</definedName>
    <definedName name="pIns_PT_VTAR_B_COLDVSNA_OFFER_2">Предложение!$G$163</definedName>
    <definedName name="pIns_PT_VTAR_B_COLDVSNA_OFFER_3">Предложение!$G$246</definedName>
    <definedName name="pIns_PT_VTAR_B_COLDVSNA_OFFER_4">Предложение!$G$329</definedName>
    <definedName name="pIns_PT_VTAR_B_COLDVSNA_OFFER_5">Предложение!$G$412</definedName>
    <definedName name="pIns_PT_VTAR_B_HOTVSNA">'ГВС. Т-транс'!$T$53</definedName>
    <definedName name="pIns_PT_VTAR_B_HOTVSNA_OFFER_1">Предложение!$G$93</definedName>
    <definedName name="pIns_PT_VTAR_B_HOTVSNA_OFFER_2">Предложение!$G$178</definedName>
    <definedName name="pIns_PT_VTAR_B_HOTVSNA_OFFER_3">Предложение!$G$261</definedName>
    <definedName name="pIns_PT_VTAR_B_HOTVSNA_OFFER_4">Предложение!$G$344</definedName>
    <definedName name="pIns_PT_VTAR_B_HOTVSNA_OFFER_5">Предложение!$G$427</definedName>
    <definedName name="pIns_PT_VTAR_B_OFFER_1">Предложение!$G$54</definedName>
    <definedName name="pIns_PT_VTAR_B_OFFER_2">Предложение!$G$139</definedName>
    <definedName name="pIns_PT_VTAR_B_OFFER_3">Предложение!$G$222</definedName>
    <definedName name="pIns_PT_VTAR_B_OFFER_4">Предложение!$G$305</definedName>
    <definedName name="pIns_PT_VTAR_B_OFFER_5">Предложение!$G$388</definedName>
    <definedName name="pIns_PT_VTAR_B_VOTV">'ВО. Т-транс'!$T$53</definedName>
    <definedName name="pIns_PT_VTAR_B_VOTV_OFFER_1">Предложение!$G$102</definedName>
    <definedName name="pIns_PT_VTAR_B_VOTV_OFFER_2">Предложение!$G$187</definedName>
    <definedName name="pIns_PT_VTAR_B_VOTV_OFFER_3">Предложение!$G$270</definedName>
    <definedName name="pIns_PT_VTAR_B_VOTV_OFFER_4">Предложение!$G$353</definedName>
    <definedName name="pIns_PT_VTAR_B_VOTV_OFFER_5">Предложение!$G$436</definedName>
    <definedName name="pIns_PT_VTAR_C">'ТС. Т-ТН'!$T$57</definedName>
    <definedName name="pIns_PT_VTAR_C_COLDVSNA">'ХВС. Т-транс'!$T$53</definedName>
    <definedName name="pIns_PT_VTAR_C_COLDVSNA_OFFER_1">Предложение!$G$81</definedName>
    <definedName name="pIns_PT_VTAR_C_COLDVSNA_OFFER_2">Предложение!$G$166</definedName>
    <definedName name="pIns_PT_VTAR_C_COLDVSNA_OFFER_3">Предложение!$G$249</definedName>
    <definedName name="pIns_PT_VTAR_C_COLDVSNA_OFFER_4">Предложение!$G$332</definedName>
    <definedName name="pIns_PT_VTAR_C_COLDVSNA_OFFER_5">Предложение!$G$415</definedName>
    <definedName name="pIns_PT_VTAR_C_HOTVSNA">'ГВС. Т-подкл'!$T$63</definedName>
    <definedName name="pIns_PT_VTAR_C_HOTVSNA_OFFER_1">Предложение!$G$96</definedName>
    <definedName name="pIns_PT_VTAR_C_HOTVSNA_OFFER_2">Предложение!$G$181</definedName>
    <definedName name="pIns_PT_VTAR_C_HOTVSNA_OFFER_3">Предложение!$G$264</definedName>
    <definedName name="pIns_PT_VTAR_C_HOTVSNA_OFFER_4">Предложение!$G$347</definedName>
    <definedName name="pIns_PT_VTAR_C_HOTVSNA_OFFER_5">Предложение!$G$430</definedName>
    <definedName name="pIns_PT_VTAR_C_OFFER_1">Предложение!$G$57</definedName>
    <definedName name="pIns_PT_VTAR_C_OFFER_2">Предложение!$G$142</definedName>
    <definedName name="pIns_PT_VTAR_C_OFFER_3">Предложение!$G$225</definedName>
    <definedName name="pIns_PT_VTAR_C_OFFER_4">Предложение!$G$308</definedName>
    <definedName name="pIns_PT_VTAR_C_OFFER_5">Предложение!$G$391</definedName>
    <definedName name="pIns_PT_VTAR_C_VOTV">'ВО. Т-подкл'!$T$63</definedName>
    <definedName name="pIns_PT_VTAR_C_VOTV_OFFER_1">Предложение!$G$105</definedName>
    <definedName name="pIns_PT_VTAR_C_VOTV_OFFER_2">Предложение!$G$190</definedName>
    <definedName name="pIns_PT_VTAR_C_VOTV_OFFER_3">Предложение!$G$273</definedName>
    <definedName name="pIns_PT_VTAR_C_VOTV_OFFER_4">Предложение!$G$356</definedName>
    <definedName name="pIns_PT_VTAR_C_VOTV_OFFER_5">Предложение!$G$439</definedName>
    <definedName name="pIns_PT_VTAR_D">'ТС. Т-гор.вода'!$V$65</definedName>
    <definedName name="pIns_PT_VTAR_D_COLDVSNA">'ХВС. Т-подвоз'!$T$53</definedName>
    <definedName name="pIns_PT_VTAR_D_COLDVSNA_OFFER_1">Предложение!$G$84</definedName>
    <definedName name="pIns_PT_VTAR_D_COLDVSNA_OFFER_2">Предложение!$G$169</definedName>
    <definedName name="pIns_PT_VTAR_D_COLDVSNA_OFFER_3">Предложение!$G$252</definedName>
    <definedName name="pIns_PT_VTAR_D_COLDVSNA_OFFER_4">Предложение!$G$335</definedName>
    <definedName name="pIns_PT_VTAR_D_COLDVSNA_OFFER_5">Предложение!$G$418</definedName>
    <definedName name="pIns_PT_VTAR_D_OFFER_1">Предложение!$G$60</definedName>
    <definedName name="pIns_PT_VTAR_D_OFFER_2">Предложение!$G$145</definedName>
    <definedName name="pIns_PT_VTAR_D_OFFER_3">Предложение!$G$228</definedName>
    <definedName name="pIns_PT_VTAR_D_OFFER_4">Предложение!$G$311</definedName>
    <definedName name="pIns_PT_VTAR_D_OFFER_5">Предложение!$G$394</definedName>
    <definedName name="pIns_PT_VTAR_E_COLDVSNA">'ХВС. Т-подкл'!$T$63</definedName>
    <definedName name="pIns_PT_VTAR_E_COLDVSNA_OFFER_1">Предложение!$G$87</definedName>
    <definedName name="pIns_PT_VTAR_E_COLDVSNA_OFFER_2">Предложение!$G$172</definedName>
    <definedName name="pIns_PT_VTAR_E_COLDVSNA_OFFER_3">Предложение!$G$255</definedName>
    <definedName name="pIns_PT_VTAR_E_COLDVSNA_OFFER_4">Предложение!$G$338</definedName>
    <definedName name="pIns_PT_VTAR_E_COLDVSNA_OFFER_5">Предложение!$G$421</definedName>
    <definedName name="pIns_PT_VTAR_E1">'ТС. Т-передача ТЭ'!$T$57</definedName>
    <definedName name="pIns_PT_VTAR_E1_OFFER_1">Предложение!$G$63</definedName>
    <definedName name="pIns_PT_VTAR_E1_OFFER_2">Предложение!$G$148</definedName>
    <definedName name="pIns_PT_VTAR_E1_OFFER_3">Предложение!$G$231</definedName>
    <definedName name="pIns_PT_VTAR_E1_OFFER_4">Предложение!$G$314</definedName>
    <definedName name="pIns_PT_VTAR_E1_OFFER_5">Предложение!$G$397</definedName>
    <definedName name="pIns_PT_VTAR_E2">'ТС. Т-передача ТН'!$T$57</definedName>
    <definedName name="pIns_PT_VTAR_E2_OFFER_1">Предложение!$G$66</definedName>
    <definedName name="pIns_PT_VTAR_E2_OFFER_2">Предложение!$G$151</definedName>
    <definedName name="pIns_PT_VTAR_E2_OFFER_3">Предложение!$G$234</definedName>
    <definedName name="pIns_PT_VTAR_E2_OFFER_4">Предложение!$G$317</definedName>
    <definedName name="pIns_PT_VTAR_E2_OFFER_5">Предложение!$G$400</definedName>
    <definedName name="pIns_PT_VTAR_F">'ТС. Резерв мощности'!$T$57</definedName>
    <definedName name="pIns_PT_VTAR_F_OFFER_1">Предложение!$G$69</definedName>
    <definedName name="pIns_PT_VTAR_F_OFFER_2">Предложение!$G$154</definedName>
    <definedName name="pIns_PT_VTAR_F_OFFER_3">Предложение!$G$237</definedName>
    <definedName name="pIns_PT_VTAR_F_OFFER_4">Предложение!$G$320</definedName>
    <definedName name="pIns_PT_VTAR_F_OFFER_5">Предложение!$G$403</definedName>
    <definedName name="pIns_PT_VTAR_G">'ТС. Т-подкл'!$T$62</definedName>
    <definedName name="pIns_PT_VTAR_G_OFFER_1">Предложение!$G$72</definedName>
    <definedName name="pIns_PT_VTAR_G_OFFER_2">Предложение!$G$157</definedName>
    <definedName name="pIns_PT_VTAR_G_OFFER_3">Предложение!$G$240</definedName>
    <definedName name="pIns_PT_VTAR_G_OFFER_4">Предложение!$G$323</definedName>
    <definedName name="pIns_PT_VTAR_G_OFFER_5">Предложение!$G$406</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&gt;=25МВт'!$ID$39</definedName>
    <definedName name="pIns_ver_HEAT_TARIFF_B">'ТС. Т-ТЭ | ТСО'!$EL$39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REESTR_IP!$A$2:$D$27</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Q18" i="60"/>
  <c r="R18" i="60" s="1"/>
  <c r="S18" i="60" s="1"/>
  <c r="T18" i="60" s="1"/>
  <c r="V18" i="60" s="1"/>
  <c r="W18" i="60" s="1"/>
  <c r="X18" i="60" s="1"/>
  <c r="O18" i="60"/>
  <c r="N18" i="60"/>
  <c r="O11" i="60"/>
  <c r="O10" i="60"/>
  <c r="O9" i="60"/>
  <c r="O8" i="60"/>
  <c r="L6" i="60"/>
  <c r="AA32" i="59"/>
  <c r="AA31" i="59"/>
  <c r="AA30" i="59"/>
  <c r="AA29" i="59"/>
  <c r="AA28" i="59"/>
  <c r="AA27" i="59"/>
  <c r="AA26" i="59"/>
  <c r="R26" i="59"/>
  <c r="AA25" i="59"/>
  <c r="AA24" i="59"/>
  <c r="AA23" i="59"/>
  <c r="AA22" i="59"/>
  <c r="O22" i="59"/>
  <c r="L22" i="59"/>
  <c r="F23" i="59" s="1"/>
  <c r="AA21" i="59"/>
  <c r="O21" i="59"/>
  <c r="L21" i="59"/>
  <c r="AA20" i="59"/>
  <c r="O20" i="59"/>
  <c r="L20" i="59"/>
  <c r="AA19" i="59"/>
  <c r="O19" i="59"/>
  <c r="L19" i="59"/>
  <c r="R18" i="59"/>
  <c r="S18" i="59" s="1"/>
  <c r="T18" i="59" s="1"/>
  <c r="V18" i="59" s="1"/>
  <c r="W18" i="59" s="1"/>
  <c r="X18" i="59" s="1"/>
  <c r="Q18" i="59"/>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O18" i="58"/>
  <c r="N18" i="58"/>
  <c r="O11" i="58"/>
  <c r="O10" i="58"/>
  <c r="O9" i="58"/>
  <c r="O8" i="58"/>
  <c r="L6" i="58"/>
  <c r="M148" i="57"/>
  <c r="K101" i="57"/>
  <c r="N101" i="57" s="1"/>
  <c r="J101" i="57"/>
  <c r="M101" i="57" s="1"/>
  <c r="I101" i="57"/>
  <c r="L101" i="57" s="1"/>
  <c r="K100" i="57"/>
  <c r="N100" i="57" s="1"/>
  <c r="J100" i="57"/>
  <c r="M100" i="57" s="1"/>
  <c r="I100" i="57"/>
  <c r="L100" i="57" s="1"/>
  <c r="K99" i="57"/>
  <c r="N99" i="57" s="1"/>
  <c r="J99" i="57"/>
  <c r="M99" i="57" s="1"/>
  <c r="I99" i="57"/>
  <c r="L99" i="57" s="1"/>
  <c r="K98" i="57"/>
  <c r="N98" i="57" s="1"/>
  <c r="J98" i="57"/>
  <c r="M98" i="57" s="1"/>
  <c r="I98" i="57"/>
  <c r="L98" i="57" s="1"/>
  <c r="K97" i="57"/>
  <c r="N97" i="57" s="1"/>
  <c r="J97" i="57"/>
  <c r="M97" i="57" s="1"/>
  <c r="I97" i="57"/>
  <c r="L97" i="57" s="1"/>
  <c r="K96" i="57"/>
  <c r="N96" i="57" s="1"/>
  <c r="J96" i="57"/>
  <c r="M96" i="57" s="1"/>
  <c r="I96" i="57"/>
  <c r="L96" i="57" s="1"/>
  <c r="K95" i="57"/>
  <c r="N95" i="57" s="1"/>
  <c r="J95" i="57"/>
  <c r="M95" i="57" s="1"/>
  <c r="I95" i="57"/>
  <c r="L95" i="57" s="1"/>
  <c r="K94" i="57"/>
  <c r="N94" i="57" s="1"/>
  <c r="J94" i="57"/>
  <c r="M94" i="57" s="1"/>
  <c r="I94" i="57"/>
  <c r="L94" i="57" s="1"/>
  <c r="K93" i="57"/>
  <c r="N93" i="57" s="1"/>
  <c r="J93" i="57"/>
  <c r="M93" i="57" s="1"/>
  <c r="I93" i="57"/>
  <c r="L93" i="57" s="1"/>
  <c r="K92" i="57"/>
  <c r="N92" i="57" s="1"/>
  <c r="J92" i="57"/>
  <c r="M92" i="57" s="1"/>
  <c r="I92" i="57"/>
  <c r="L92" i="57" s="1"/>
  <c r="K91" i="57"/>
  <c r="N91" i="57" s="1"/>
  <c r="J91" i="57"/>
  <c r="M91" i="57" s="1"/>
  <c r="I91" i="57"/>
  <c r="L91" i="57" s="1"/>
  <c r="K90" i="57"/>
  <c r="N90" i="57" s="1"/>
  <c r="J90" i="57"/>
  <c r="M90" i="57" s="1"/>
  <c r="I90" i="57"/>
  <c r="L90" i="57" s="1"/>
  <c r="K89" i="57"/>
  <c r="N89" i="57" s="1"/>
  <c r="J89" i="57"/>
  <c r="M89" i="57" s="1"/>
  <c r="I89" i="57"/>
  <c r="L89" i="57" s="1"/>
  <c r="K88" i="57"/>
  <c r="N88" i="57" s="1"/>
  <c r="J88" i="57"/>
  <c r="M88" i="57" s="1"/>
  <c r="I88" i="57"/>
  <c r="L88" i="57" s="1"/>
  <c r="K87" i="57"/>
  <c r="N87" i="57" s="1"/>
  <c r="J87" i="57"/>
  <c r="M87" i="57" s="1"/>
  <c r="I87" i="57"/>
  <c r="L87" i="57" s="1"/>
  <c r="K86" i="57"/>
  <c r="N86" i="57" s="1"/>
  <c r="J86" i="57"/>
  <c r="M86" i="57" s="1"/>
  <c r="I86" i="57"/>
  <c r="L86" i="57" s="1"/>
  <c r="K85" i="57"/>
  <c r="N85" i="57" s="1"/>
  <c r="J85" i="57"/>
  <c r="M85" i="57" s="1"/>
  <c r="I85" i="57"/>
  <c r="L85" i="57" s="1"/>
  <c r="K84" i="57"/>
  <c r="N84" i="57" s="1"/>
  <c r="J84" i="57"/>
  <c r="M84" i="57" s="1"/>
  <c r="I84" i="57"/>
  <c r="L84" i="57" s="1"/>
  <c r="K83" i="57"/>
  <c r="N83" i="57" s="1"/>
  <c r="J83" i="57"/>
  <c r="M83" i="57" s="1"/>
  <c r="I83" i="57"/>
  <c r="L83" i="57" s="1"/>
  <c r="K82" i="57"/>
  <c r="N82" i="57" s="1"/>
  <c r="J82" i="57"/>
  <c r="M82" i="57" s="1"/>
  <c r="I82" i="57"/>
  <c r="L82" i="57" s="1"/>
  <c r="K81" i="57"/>
  <c r="N81" i="57" s="1"/>
  <c r="J81" i="57"/>
  <c r="M81" i="57" s="1"/>
  <c r="I81" i="57"/>
  <c r="L81" i="57" s="1"/>
  <c r="K80" i="57"/>
  <c r="N80" i="57" s="1"/>
  <c r="J80" i="57"/>
  <c r="M80" i="57" s="1"/>
  <c r="I80" i="57"/>
  <c r="L80" i="57" s="1"/>
  <c r="K79" i="57"/>
  <c r="N79" i="57" s="1"/>
  <c r="J79" i="57"/>
  <c r="M79" i="57" s="1"/>
  <c r="I79" i="57"/>
  <c r="L79" i="57" s="1"/>
  <c r="K78" i="57"/>
  <c r="N78" i="57" s="1"/>
  <c r="J78" i="57"/>
  <c r="M78" i="57" s="1"/>
  <c r="I78" i="57"/>
  <c r="L78" i="57" s="1"/>
  <c r="K77" i="57"/>
  <c r="N77" i="57" s="1"/>
  <c r="J77" i="57"/>
  <c r="M77" i="57" s="1"/>
  <c r="I77" i="57"/>
  <c r="L77" i="57" s="1"/>
  <c r="K76" i="57"/>
  <c r="N76" i="57" s="1"/>
  <c r="J76" i="57"/>
  <c r="M76" i="57" s="1"/>
  <c r="I76" i="57"/>
  <c r="L76" i="57" s="1"/>
  <c r="K75" i="57"/>
  <c r="N75" i="57" s="1"/>
  <c r="J75" i="57"/>
  <c r="M75" i="57" s="1"/>
  <c r="I75" i="57"/>
  <c r="L75" i="57" s="1"/>
  <c r="K74" i="57"/>
  <c r="N74" i="57" s="1"/>
  <c r="J74" i="57"/>
  <c r="M74" i="57" s="1"/>
  <c r="I74" i="57"/>
  <c r="L74" i="57" s="1"/>
  <c r="K73" i="57"/>
  <c r="N73" i="57" s="1"/>
  <c r="J73" i="57"/>
  <c r="M73" i="57" s="1"/>
  <c r="I73" i="57"/>
  <c r="L73" i="57" s="1"/>
  <c r="K72" i="57"/>
  <c r="N72" i="57" s="1"/>
  <c r="J72" i="57"/>
  <c r="M72" i="57" s="1"/>
  <c r="I72" i="57"/>
  <c r="L72" i="57" s="1"/>
  <c r="K71" i="57"/>
  <c r="N71" i="57" s="1"/>
  <c r="J71" i="57"/>
  <c r="M71" i="57" s="1"/>
  <c r="I71" i="57"/>
  <c r="L71" i="57" s="1"/>
  <c r="K70" i="57"/>
  <c r="N70" i="57" s="1"/>
  <c r="J70" i="57"/>
  <c r="M70" i="57" s="1"/>
  <c r="I70" i="57"/>
  <c r="L70" i="57" s="1"/>
  <c r="K69" i="57"/>
  <c r="N69" i="57" s="1"/>
  <c r="J69" i="57"/>
  <c r="M69" i="57" s="1"/>
  <c r="I69" i="57"/>
  <c r="L69" i="57" s="1"/>
  <c r="K68" i="57"/>
  <c r="N68" i="57" s="1"/>
  <c r="J68" i="57"/>
  <c r="M68" i="57" s="1"/>
  <c r="I68" i="57"/>
  <c r="L68" i="57" s="1"/>
  <c r="K67" i="57"/>
  <c r="N67" i="57" s="1"/>
  <c r="J67" i="57"/>
  <c r="M67" i="57" s="1"/>
  <c r="I67" i="57"/>
  <c r="L67" i="57" s="1"/>
  <c r="K66" i="57"/>
  <c r="N66" i="57" s="1"/>
  <c r="J66" i="57"/>
  <c r="M66" i="57" s="1"/>
  <c r="I66" i="57"/>
  <c r="L66" i="57" s="1"/>
  <c r="K65" i="57"/>
  <c r="N65" i="57" s="1"/>
  <c r="J65" i="57"/>
  <c r="M65" i="57" s="1"/>
  <c r="I65" i="57"/>
  <c r="L65" i="57" s="1"/>
  <c r="K64" i="57"/>
  <c r="N64" i="57" s="1"/>
  <c r="J64" i="57"/>
  <c r="M64" i="57" s="1"/>
  <c r="I64" i="57"/>
  <c r="L64" i="57" s="1"/>
  <c r="K63" i="57"/>
  <c r="N63" i="57" s="1"/>
  <c r="J63" i="57"/>
  <c r="M63" i="57" s="1"/>
  <c r="I63" i="57"/>
  <c r="L63" i="57" s="1"/>
  <c r="K62" i="57"/>
  <c r="N62" i="57" s="1"/>
  <c r="J62" i="57"/>
  <c r="M62" i="57" s="1"/>
  <c r="I62" i="57"/>
  <c r="L62" i="57" s="1"/>
  <c r="K61" i="57"/>
  <c r="N61" i="57" s="1"/>
  <c r="J61" i="57"/>
  <c r="M61" i="57" s="1"/>
  <c r="I61" i="57"/>
  <c r="L61" i="57" s="1"/>
  <c r="K60" i="57"/>
  <c r="N60" i="57" s="1"/>
  <c r="J60" i="57"/>
  <c r="M60" i="57" s="1"/>
  <c r="I60" i="57"/>
  <c r="L60" i="57" s="1"/>
  <c r="K59" i="57"/>
  <c r="N59" i="57" s="1"/>
  <c r="J59" i="57"/>
  <c r="M59" i="57" s="1"/>
  <c r="I59" i="57"/>
  <c r="L59" i="57" s="1"/>
  <c r="K58" i="57"/>
  <c r="N58" i="57" s="1"/>
  <c r="J58" i="57"/>
  <c r="M58" i="57" s="1"/>
  <c r="I58" i="57"/>
  <c r="L58" i="57" s="1"/>
  <c r="K57" i="57"/>
  <c r="N57" i="57" s="1"/>
  <c r="J57" i="57"/>
  <c r="M57" i="57" s="1"/>
  <c r="I57" i="57"/>
  <c r="L57" i="57" s="1"/>
  <c r="K56" i="57"/>
  <c r="N56" i="57" s="1"/>
  <c r="J56" i="57"/>
  <c r="M56" i="57" s="1"/>
  <c r="I56" i="57"/>
  <c r="L56" i="57" s="1"/>
  <c r="K55" i="57"/>
  <c r="N55" i="57" s="1"/>
  <c r="J55" i="57"/>
  <c r="M55" i="57" s="1"/>
  <c r="I55" i="57"/>
  <c r="L55" i="57" s="1"/>
  <c r="K54" i="57"/>
  <c r="N54" i="57" s="1"/>
  <c r="J54" i="57"/>
  <c r="M54" i="57" s="1"/>
  <c r="I54" i="57"/>
  <c r="L54" i="57" s="1"/>
  <c r="K53" i="57"/>
  <c r="N53" i="57" s="1"/>
  <c r="J53" i="57"/>
  <c r="M53" i="57" s="1"/>
  <c r="I53" i="57"/>
  <c r="L53" i="57" s="1"/>
  <c r="K52" i="57"/>
  <c r="N52" i="57" s="1"/>
  <c r="J52" i="57"/>
  <c r="M52" i="57" s="1"/>
  <c r="I52" i="57"/>
  <c r="L52" i="57" s="1"/>
  <c r="K51" i="57"/>
  <c r="N51" i="57" s="1"/>
  <c r="J51" i="57"/>
  <c r="M51" i="57" s="1"/>
  <c r="I51" i="57"/>
  <c r="L51" i="57" s="1"/>
  <c r="K50" i="57"/>
  <c r="N50" i="57" s="1"/>
  <c r="J50" i="57"/>
  <c r="M50" i="57" s="1"/>
  <c r="I50" i="57"/>
  <c r="L50" i="57" s="1"/>
  <c r="K49" i="57"/>
  <c r="N49" i="57" s="1"/>
  <c r="J49" i="57"/>
  <c r="M49" i="57" s="1"/>
  <c r="I49" i="57"/>
  <c r="L49" i="57" s="1"/>
  <c r="K48" i="57"/>
  <c r="N48" i="57" s="1"/>
  <c r="J48" i="57"/>
  <c r="M48" i="57" s="1"/>
  <c r="I48" i="57"/>
  <c r="L48" i="57" s="1"/>
  <c r="K47" i="57"/>
  <c r="N47" i="57" s="1"/>
  <c r="J47" i="57"/>
  <c r="M47" i="57" s="1"/>
  <c r="I47" i="57"/>
  <c r="L47" i="57" s="1"/>
  <c r="K46" i="57"/>
  <c r="N46" i="57" s="1"/>
  <c r="J46" i="57"/>
  <c r="M46" i="57" s="1"/>
  <c r="I46" i="57"/>
  <c r="L46" i="57" s="1"/>
  <c r="K45" i="57"/>
  <c r="N45" i="57" s="1"/>
  <c r="J45" i="57"/>
  <c r="M45" i="57" s="1"/>
  <c r="I45" i="57"/>
  <c r="L45" i="57" s="1"/>
  <c r="K44" i="57"/>
  <c r="N44" i="57" s="1"/>
  <c r="J44" i="57"/>
  <c r="M44" i="57" s="1"/>
  <c r="I44" i="57"/>
  <c r="L44" i="57" s="1"/>
  <c r="K43" i="57"/>
  <c r="N43" i="57" s="1"/>
  <c r="J43" i="57"/>
  <c r="M43" i="57" s="1"/>
  <c r="I43" i="57"/>
  <c r="L43" i="57" s="1"/>
  <c r="K42" i="57"/>
  <c r="N42" i="57" s="1"/>
  <c r="J42" i="57"/>
  <c r="M42" i="57" s="1"/>
  <c r="I42" i="57"/>
  <c r="L42" i="57" s="1"/>
  <c r="K41" i="57"/>
  <c r="N41" i="57" s="1"/>
  <c r="J41" i="57"/>
  <c r="M41" i="57" s="1"/>
  <c r="I41" i="57"/>
  <c r="L41" i="57" s="1"/>
  <c r="K40" i="57"/>
  <c r="N40" i="57" s="1"/>
  <c r="J40" i="57"/>
  <c r="M40" i="57" s="1"/>
  <c r="I40" i="57"/>
  <c r="L40" i="57" s="1"/>
  <c r="K39" i="57"/>
  <c r="N39" i="57" s="1"/>
  <c r="J58" i="30" s="1"/>
  <c r="J39" i="57"/>
  <c r="M39" i="57" s="1"/>
  <c r="F58" i="30" s="1"/>
  <c r="I39" i="57"/>
  <c r="L39" i="57" s="1"/>
  <c r="K38" i="57"/>
  <c r="N38" i="57" s="1"/>
  <c r="J38" i="57"/>
  <c r="M38" i="57" s="1"/>
  <c r="F57" i="30" s="1"/>
  <c r="I38" i="57"/>
  <c r="L38" i="57" s="1"/>
  <c r="K37" i="57"/>
  <c r="N37" i="57" s="1"/>
  <c r="J56" i="30" s="1"/>
  <c r="J37" i="57"/>
  <c r="M37" i="57" s="1"/>
  <c r="F56" i="30" s="1"/>
  <c r="I37" i="57"/>
  <c r="L37" i="57" s="1"/>
  <c r="K36" i="57"/>
  <c r="N36" i="57" s="1"/>
  <c r="J55" i="30" s="1"/>
  <c r="J36" i="57"/>
  <c r="M36" i="57" s="1"/>
  <c r="F55" i="30" s="1"/>
  <c r="I36" i="57"/>
  <c r="L36" i="57" s="1"/>
  <c r="K35" i="57"/>
  <c r="N35" i="57" s="1"/>
  <c r="J35" i="57"/>
  <c r="M35" i="57" s="1"/>
  <c r="F54" i="30" s="1"/>
  <c r="I35" i="57"/>
  <c r="L35" i="57" s="1"/>
  <c r="K34" i="57"/>
  <c r="N34" i="57" s="1"/>
  <c r="J53" i="30" s="1"/>
  <c r="J34" i="57"/>
  <c r="M34" i="57" s="1"/>
  <c r="F53" i="30" s="1"/>
  <c r="I34" i="57"/>
  <c r="L34" i="57" s="1"/>
  <c r="K33" i="57"/>
  <c r="N33" i="57" s="1"/>
  <c r="J52" i="30" s="1"/>
  <c r="J33" i="57"/>
  <c r="M33" i="57" s="1"/>
  <c r="F52" i="30" s="1"/>
  <c r="I33" i="57"/>
  <c r="L33" i="57" s="1"/>
  <c r="K32" i="57"/>
  <c r="N32" i="57" s="1"/>
  <c r="J32" i="57"/>
  <c r="M32" i="57" s="1"/>
  <c r="F51" i="30" s="1"/>
  <c r="I32" i="57"/>
  <c r="L32" i="57" s="1"/>
  <c r="K31" i="57"/>
  <c r="N31" i="57" s="1"/>
  <c r="J50" i="30" s="1"/>
  <c r="J31" i="57"/>
  <c r="M31" i="57" s="1"/>
  <c r="F50" i="30" s="1"/>
  <c r="I31" i="57"/>
  <c r="L31" i="57" s="1"/>
  <c r="K30" i="57"/>
  <c r="N30" i="57" s="1"/>
  <c r="J49" i="30" s="1"/>
  <c r="J30" i="57"/>
  <c r="M30" i="57" s="1"/>
  <c r="F49" i="30" s="1"/>
  <c r="I30" i="57"/>
  <c r="L30" i="57" s="1"/>
  <c r="K29" i="57"/>
  <c r="N29" i="57" s="1"/>
  <c r="J29" i="57"/>
  <c r="M29" i="57" s="1"/>
  <c r="F48" i="30" s="1"/>
  <c r="I29" i="57"/>
  <c r="L29" i="57" s="1"/>
  <c r="K28" i="57"/>
  <c r="N28" i="57" s="1"/>
  <c r="J47" i="30" s="1"/>
  <c r="J28" i="57"/>
  <c r="M28" i="57" s="1"/>
  <c r="F47" i="30" s="1"/>
  <c r="I28" i="57"/>
  <c r="L28" i="57" s="1"/>
  <c r="K27" i="57"/>
  <c r="N27" i="57" s="1"/>
  <c r="J46" i="30" s="1"/>
  <c r="J27" i="57"/>
  <c r="M27" i="57" s="1"/>
  <c r="F46" i="30" s="1"/>
  <c r="I27" i="57"/>
  <c r="L27" i="57" s="1"/>
  <c r="K26" i="57"/>
  <c r="N26" i="57" s="1"/>
  <c r="J26" i="57"/>
  <c r="M26" i="57" s="1"/>
  <c r="F45" i="30" s="1"/>
  <c r="I26" i="57"/>
  <c r="L26" i="57" s="1"/>
  <c r="K25" i="57"/>
  <c r="N25" i="57" s="1"/>
  <c r="J44" i="30" s="1"/>
  <c r="J25" i="57"/>
  <c r="M25" i="57" s="1"/>
  <c r="F44" i="30" s="1"/>
  <c r="I25" i="57"/>
  <c r="L25" i="57" s="1"/>
  <c r="K24" i="57"/>
  <c r="N24" i="57" s="1"/>
  <c r="J43" i="30" s="1"/>
  <c r="J24" i="57"/>
  <c r="M24" i="57" s="1"/>
  <c r="F43" i="30" s="1"/>
  <c r="I24" i="57"/>
  <c r="L24" i="57" s="1"/>
  <c r="K23" i="57"/>
  <c r="N23" i="57" s="1"/>
  <c r="J23" i="57"/>
  <c r="M23" i="57" s="1"/>
  <c r="F42" i="30" s="1"/>
  <c r="I23" i="57"/>
  <c r="L23" i="57" s="1"/>
  <c r="K22" i="57"/>
  <c r="N22" i="57" s="1"/>
  <c r="J41" i="30" s="1"/>
  <c r="J22" i="57"/>
  <c r="M22" i="57" s="1"/>
  <c r="F41" i="30" s="1"/>
  <c r="I22" i="57"/>
  <c r="L22" i="57" s="1"/>
  <c r="K21" i="57"/>
  <c r="N21" i="57" s="1"/>
  <c r="J21" i="57"/>
  <c r="M21" i="57" s="1"/>
  <c r="I21" i="57"/>
  <c r="L21" i="57" s="1"/>
  <c r="K20" i="57"/>
  <c r="N20" i="57" s="1"/>
  <c r="J20" i="57"/>
  <c r="M20" i="57" s="1"/>
  <c r="F32" i="30" s="1"/>
  <c r="I20" i="57"/>
  <c r="L20" i="57" s="1"/>
  <c r="K19" i="57"/>
  <c r="N19" i="57" s="1"/>
  <c r="J31" i="30" s="1"/>
  <c r="J19" i="57"/>
  <c r="M19" i="57" s="1"/>
  <c r="I19" i="57"/>
  <c r="L19" i="57" s="1"/>
  <c r="K18" i="57"/>
  <c r="N18" i="57" s="1"/>
  <c r="J18" i="57"/>
  <c r="M18" i="57" s="1"/>
  <c r="I18" i="57"/>
  <c r="L18" i="57" s="1"/>
  <c r="N16" i="57"/>
  <c r="N15" i="57"/>
  <c r="M15" i="57"/>
  <c r="N14" i="57"/>
  <c r="M14" i="57"/>
  <c r="N13" i="57"/>
  <c r="M13" i="57"/>
  <c r="N12" i="57"/>
  <c r="M12" i="57"/>
  <c r="N11" i="57"/>
  <c r="M11" i="57"/>
  <c r="N3" i="57"/>
  <c r="C34" i="56"/>
  <c r="C32" i="56"/>
  <c r="C31" i="56"/>
  <c r="C30" i="56"/>
  <c r="C29" i="56"/>
  <c r="C8" i="56"/>
  <c r="C7" i="56"/>
  <c r="C6" i="56"/>
  <c r="C5" i="56"/>
  <c r="C4" i="56"/>
  <c r="C3" i="56"/>
  <c r="C2" i="56"/>
  <c r="I53" i="55"/>
  <c r="H53" i="55"/>
  <c r="G53" i="55"/>
  <c r="I52" i="55"/>
  <c r="H52" i="55"/>
  <c r="G52" i="55"/>
  <c r="I51" i="55"/>
  <c r="I45" i="55" s="1"/>
  <c r="H51" i="55"/>
  <c r="G51" i="55"/>
  <c r="I50" i="55"/>
  <c r="H50" i="55"/>
  <c r="G50" i="55"/>
  <c r="I49" i="55"/>
  <c r="H49" i="55"/>
  <c r="G49" i="55"/>
  <c r="I48" i="55"/>
  <c r="H48" i="55"/>
  <c r="G48" i="55"/>
  <c r="I47" i="55"/>
  <c r="H47" i="55"/>
  <c r="G47" i="55"/>
  <c r="I46" i="55"/>
  <c r="K45" i="55"/>
  <c r="G36" i="55"/>
  <c r="E31" i="56" s="1"/>
  <c r="F36" i="55"/>
  <c r="U148" i="57" s="1"/>
  <c r="F32" i="55"/>
  <c r="E32" i="55"/>
  <c r="F29" i="55"/>
  <c r="E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s="1"/>
  <c r="F19" i="54"/>
  <c r="O14" i="54"/>
  <c r="M14" i="54" a="1"/>
  <c r="M14" i="54"/>
  <c r="F14" i="54"/>
  <c r="E14" i="54"/>
  <c r="E13" i="54"/>
  <c r="G13" i="54" s="1"/>
  <c r="S11" i="51" a="1"/>
  <c r="S11" i="51"/>
  <c r="G11" i="51"/>
  <c r="O9" i="51"/>
  <c r="S2" i="51" a="1"/>
  <c r="S2" i="51" s="1"/>
  <c r="G2" i="51"/>
  <c r="R10" i="50"/>
  <c r="P10" i="50" a="1"/>
  <c r="P10" i="50"/>
  <c r="K8" i="50"/>
  <c r="G8" i="50"/>
  <c r="E5" i="50"/>
  <c r="R2" i="50"/>
  <c r="P2" i="50" a="1"/>
  <c r="P2" i="50"/>
  <c r="P9" i="49"/>
  <c r="N9" i="49" a="1"/>
  <c r="N9" i="49"/>
  <c r="E5" i="49"/>
  <c r="P2" i="49"/>
  <c r="N2" i="49" a="1"/>
  <c r="N2" i="49" s="1"/>
  <c r="F12" i="48"/>
  <c r="D6" i="48"/>
  <c r="D5" i="48"/>
  <c r="I14" i="45"/>
  <c r="G14" i="45"/>
  <c r="G11" i="45"/>
  <c r="G10" i="45"/>
  <c r="G9" i="45"/>
  <c r="D6" i="45"/>
  <c r="E13" i="44"/>
  <c r="H12" i="44"/>
  <c r="E12" i="44"/>
  <c r="E11" i="44"/>
  <c r="E10" i="44"/>
  <c r="D6" i="44"/>
  <c r="D5" i="44"/>
  <c r="F357" i="43"/>
  <c r="M275" i="43"/>
  <c r="F274" i="43"/>
  <c r="M192" i="43"/>
  <c r="F191" i="43"/>
  <c r="M109" i="43"/>
  <c r="F106" i="43"/>
  <c r="M24" i="43"/>
  <c r="F23" i="43"/>
  <c r="G17" i="43"/>
  <c r="F17" i="43"/>
  <c r="G16" i="43"/>
  <c r="F16" i="43"/>
  <c r="E14" i="43"/>
  <c r="N7" i="43"/>
  <c r="N4" i="43"/>
  <c r="N1" i="43"/>
  <c r="E42" i="42"/>
  <c r="E38" i="42"/>
  <c r="E35" i="42"/>
  <c r="E32" i="42"/>
  <c r="E31" i="42"/>
  <c r="E28" i="42"/>
  <c r="E25" i="42"/>
  <c r="E24" i="42"/>
  <c r="D15" i="42"/>
  <c r="D14" i="42"/>
  <c r="G17" i="41"/>
  <c r="E16" i="41"/>
  <c r="G14" i="41"/>
  <c r="E13" i="41"/>
  <c r="E12" i="41"/>
  <c r="D6" i="41"/>
  <c r="D5" i="41"/>
  <c r="I21" i="40"/>
  <c r="F21" i="40"/>
  <c r="I19" i="40"/>
  <c r="H19" i="40"/>
  <c r="G19" i="40"/>
  <c r="F19" i="40"/>
  <c r="E19" i="40"/>
  <c r="I18" i="40"/>
  <c r="E18" i="40"/>
  <c r="I17" i="40"/>
  <c r="E17" i="40"/>
  <c r="I16" i="40"/>
  <c r="E16" i="40"/>
  <c r="I15" i="40"/>
  <c r="E15" i="40"/>
  <c r="H14" i="40"/>
  <c r="G14" i="40"/>
  <c r="G11" i="40"/>
  <c r="G10" i="40"/>
  <c r="G9" i="40"/>
  <c r="D6" i="40"/>
  <c r="D5" i="40"/>
  <c r="F2" i="40"/>
  <c r="F6" i="39"/>
  <c r="F5" i="39"/>
  <c r="H57" i="38"/>
  <c r="H56" i="38"/>
  <c r="H55" i="38"/>
  <c r="I54" i="38"/>
  <c r="H54" i="38" s="1"/>
  <c r="H53" i="38"/>
  <c r="H52" i="38"/>
  <c r="H51" i="38"/>
  <c r="H50" i="38"/>
  <c r="I49" i="38"/>
  <c r="H47" i="38"/>
  <c r="H46" i="38"/>
  <c r="H45" i="38"/>
  <c r="I44" i="38"/>
  <c r="H44" i="38"/>
  <c r="H43" i="38"/>
  <c r="H42" i="38"/>
  <c r="H41" i="38"/>
  <c r="H40" i="38"/>
  <c r="I39" i="38"/>
  <c r="H39" i="38"/>
  <c r="I38" i="38"/>
  <c r="H35" i="38"/>
  <c r="H34" i="38"/>
  <c r="H33" i="38"/>
  <c r="I32" i="38"/>
  <c r="H32" i="38"/>
  <c r="H31" i="38"/>
  <c r="H30" i="38"/>
  <c r="H29" i="38"/>
  <c r="I28" i="38"/>
  <c r="H28" i="38" s="1"/>
  <c r="H27" i="38"/>
  <c r="H26" i="38"/>
  <c r="H25" i="38"/>
  <c r="H24" i="38"/>
  <c r="H23" i="38"/>
  <c r="H22" i="38"/>
  <c r="H21" i="38"/>
  <c r="H20" i="38"/>
  <c r="H19" i="38"/>
  <c r="H18" i="38"/>
  <c r="H17" i="38"/>
  <c r="H16" i="38"/>
  <c r="I15" i="38"/>
  <c r="I36" i="38" s="1"/>
  <c r="H36" i="38" s="1"/>
  <c r="H15" i="38"/>
  <c r="H11" i="38"/>
  <c r="F6" i="38"/>
  <c r="F5" i="38"/>
  <c r="F6" i="37"/>
  <c r="F5"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I16" i="33"/>
  <c r="H16" i="33"/>
  <c r="H12" i="33"/>
  <c r="H11" i="33"/>
  <c r="H10" i="33"/>
  <c r="E7" i="33"/>
  <c r="E33" i="32"/>
  <c r="I32" i="32"/>
  <c r="I16" i="32" s="1"/>
  <c r="H32" i="32"/>
  <c r="H16" i="32"/>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J123" i="30"/>
  <c r="F123" i="30"/>
  <c r="E123" i="30"/>
  <c r="E124" i="30" s="1"/>
  <c r="J120" i="30"/>
  <c r="F120" i="30"/>
  <c r="E120" i="30"/>
  <c r="E121" i="30" s="1"/>
  <c r="J117" i="30"/>
  <c r="F117" i="30"/>
  <c r="E117" i="30"/>
  <c r="E118" i="30" s="1"/>
  <c r="J116" i="30"/>
  <c r="F116" i="30"/>
  <c r="E116" i="30"/>
  <c r="J115" i="30"/>
  <c r="F115" i="30"/>
  <c r="E115" i="30"/>
  <c r="J114" i="30"/>
  <c r="F114" i="30"/>
  <c r="E114" i="30"/>
  <c r="J113" i="30"/>
  <c r="F113" i="30"/>
  <c r="E113" i="30"/>
  <c r="J112" i="30"/>
  <c r="F112" i="30"/>
  <c r="E112" i="30"/>
  <c r="J111" i="30"/>
  <c r="F111" i="30"/>
  <c r="E111" i="30"/>
  <c r="J110" i="30"/>
  <c r="F110" i="30"/>
  <c r="E110" i="30"/>
  <c r="J109" i="30"/>
  <c r="F109" i="30"/>
  <c r="E109" i="30"/>
  <c r="J108" i="30"/>
  <c r="F108" i="30"/>
  <c r="E108" i="30"/>
  <c r="J107" i="30"/>
  <c r="F107" i="30"/>
  <c r="E107" i="30"/>
  <c r="J106" i="30"/>
  <c r="F106" i="30"/>
  <c r="E106" i="30"/>
  <c r="J105" i="30"/>
  <c r="F105" i="30"/>
  <c r="E105" i="30"/>
  <c r="J104" i="30"/>
  <c r="F104" i="30"/>
  <c r="E104" i="30"/>
  <c r="J103" i="30"/>
  <c r="F103" i="30"/>
  <c r="E103" i="30"/>
  <c r="J102" i="30"/>
  <c r="F102" i="30"/>
  <c r="E102" i="30"/>
  <c r="J99" i="30"/>
  <c r="F99" i="30"/>
  <c r="E99" i="30"/>
  <c r="E100" i="30" s="1"/>
  <c r="J98" i="30"/>
  <c r="F98" i="30"/>
  <c r="E98" i="30"/>
  <c r="J97" i="30"/>
  <c r="F97" i="30"/>
  <c r="E97" i="30"/>
  <c r="J96" i="30"/>
  <c r="F96" i="30"/>
  <c r="E96" i="30"/>
  <c r="J95" i="30"/>
  <c r="F95" i="30"/>
  <c r="E95" i="30"/>
  <c r="J94" i="30"/>
  <c r="F94" i="30"/>
  <c r="E94" i="30"/>
  <c r="J93" i="30"/>
  <c r="F93" i="30"/>
  <c r="E93" i="30"/>
  <c r="J92" i="30"/>
  <c r="F92" i="30"/>
  <c r="E92" i="30"/>
  <c r="J91" i="30"/>
  <c r="F91" i="30"/>
  <c r="E91" i="30"/>
  <c r="J90" i="30"/>
  <c r="F90" i="30"/>
  <c r="E90" i="30"/>
  <c r="J89" i="30"/>
  <c r="F89" i="30"/>
  <c r="E89" i="30"/>
  <c r="J88" i="30"/>
  <c r="F88" i="30"/>
  <c r="E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E80" i="30"/>
  <c r="J79" i="30"/>
  <c r="F79" i="30"/>
  <c r="E79" i="30"/>
  <c r="J78" i="30"/>
  <c r="F78" i="30"/>
  <c r="E78" i="30"/>
  <c r="J77" i="30"/>
  <c r="F77" i="30"/>
  <c r="E77" i="30"/>
  <c r="J76" i="30"/>
  <c r="F76" i="30"/>
  <c r="E76" i="30"/>
  <c r="J75" i="30"/>
  <c r="F75" i="30"/>
  <c r="E75" i="30"/>
  <c r="J74" i="30"/>
  <c r="F74" i="30"/>
  <c r="E74" i="30"/>
  <c r="J73" i="30"/>
  <c r="F73" i="30"/>
  <c r="E73" i="30"/>
  <c r="J72" i="30"/>
  <c r="F72" i="30"/>
  <c r="E72" i="30"/>
  <c r="J69" i="30"/>
  <c r="I69" i="30"/>
  <c r="H69" i="30"/>
  <c r="F69" i="30"/>
  <c r="E69" i="30"/>
  <c r="K69" i="30" s="1"/>
  <c r="J68" i="30"/>
  <c r="L68" i="30" s="1"/>
  <c r="F68" i="30"/>
  <c r="E68" i="30"/>
  <c r="K68" i="30" s="1"/>
  <c r="J67" i="30"/>
  <c r="F67" i="30"/>
  <c r="E67" i="30"/>
  <c r="K67" i="30" s="1"/>
  <c r="L66" i="30"/>
  <c r="J66" i="30"/>
  <c r="F66" i="30"/>
  <c r="E66" i="30"/>
  <c r="K66" i="30" s="1"/>
  <c r="J65" i="30"/>
  <c r="F65" i="30"/>
  <c r="E65" i="30"/>
  <c r="K65" i="30" s="1"/>
  <c r="J64" i="30"/>
  <c r="F64" i="30"/>
  <c r="E64" i="30"/>
  <c r="K64" i="30" s="1"/>
  <c r="J63" i="30"/>
  <c r="F63" i="30"/>
  <c r="E63" i="30"/>
  <c r="K63" i="30" s="1"/>
  <c r="J62" i="30"/>
  <c r="F62" i="30"/>
  <c r="E62" i="30"/>
  <c r="K62" i="30" s="1"/>
  <c r="J61" i="30"/>
  <c r="F61" i="30"/>
  <c r="E61" i="30"/>
  <c r="K61" i="30" s="1"/>
  <c r="J60" i="30"/>
  <c r="F60" i="30"/>
  <c r="E60" i="30"/>
  <c r="K60" i="30" s="1"/>
  <c r="J59" i="30"/>
  <c r="F59" i="30"/>
  <c r="E59" i="30"/>
  <c r="K59" i="30" s="1"/>
  <c r="E58" i="30"/>
  <c r="K58" i="30" s="1"/>
  <c r="J57" i="30"/>
  <c r="E57" i="30"/>
  <c r="K57" i="30" s="1"/>
  <c r="E56" i="30"/>
  <c r="K56" i="30" s="1"/>
  <c r="E55" i="30"/>
  <c r="K55" i="30" s="1"/>
  <c r="J54" i="30"/>
  <c r="E54" i="30"/>
  <c r="K54" i="30" s="1"/>
  <c r="E53" i="30"/>
  <c r="K53" i="30" s="1"/>
  <c r="E52" i="30"/>
  <c r="K52" i="30" s="1"/>
  <c r="J51" i="30"/>
  <c r="E51" i="30"/>
  <c r="K51" i="30" s="1"/>
  <c r="E50" i="30"/>
  <c r="K50" i="30" s="1"/>
  <c r="E49" i="30"/>
  <c r="K49" i="30" s="1"/>
  <c r="J48" i="30"/>
  <c r="E48" i="30"/>
  <c r="K48" i="30" s="1"/>
  <c r="E47" i="30"/>
  <c r="K47" i="30" s="1"/>
  <c r="E46" i="30"/>
  <c r="K46" i="30" s="1"/>
  <c r="J45" i="30"/>
  <c r="E45" i="30"/>
  <c r="K45" i="30" s="1"/>
  <c r="E44" i="30"/>
  <c r="K44" i="30" s="1"/>
  <c r="E43" i="30"/>
  <c r="K43" i="30" s="1"/>
  <c r="J42" i="30"/>
  <c r="E42" i="30"/>
  <c r="K42" i="30" s="1"/>
  <c r="E41" i="30"/>
  <c r="K41" i="30" s="1"/>
  <c r="K40" i="30"/>
  <c r="K39" i="30"/>
  <c r="K38" i="30"/>
  <c r="K37" i="30"/>
  <c r="K36" i="30"/>
  <c r="K35" i="30"/>
  <c r="K34" i="30"/>
  <c r="K33" i="30"/>
  <c r="J33" i="30"/>
  <c r="I33" i="30"/>
  <c r="H33" i="30"/>
  <c r="F33" i="30"/>
  <c r="E33" i="30"/>
  <c r="B34" i="30" s="1"/>
  <c r="J32" i="30"/>
  <c r="E32" i="30"/>
  <c r="K32" i="30" s="1"/>
  <c r="F31" i="30"/>
  <c r="E31" i="30"/>
  <c r="J30"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S8" i="29"/>
  <c r="BF7" i="29"/>
  <c r="J7" i="29"/>
  <c r="BF6" i="29"/>
  <c r="I6" i="29"/>
  <c r="BF5" i="29"/>
  <c r="BF4" i="29"/>
  <c r="AD4" i="29"/>
  <c r="S4" i="29"/>
  <c r="K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AN4" i="25"/>
  <c r="AC4" i="25"/>
  <c r="S4" i="25"/>
  <c r="I5" i="25" s="1"/>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K8" i="23"/>
  <c r="S8" i="23" s="1"/>
  <c r="BF7" i="23"/>
  <c r="J7" i="23"/>
  <c r="BF6" i="23"/>
  <c r="I6" i="23"/>
  <c r="BF5" i="23"/>
  <c r="BF4" i="23"/>
  <c r="AD4" i="23"/>
  <c r="S4" i="23"/>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AN4" i="20"/>
  <c r="AC4" i="20"/>
  <c r="S4" i="20"/>
  <c r="I5" i="20" s="1"/>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AN4" i="19"/>
  <c r="AC4" i="19"/>
  <c r="S4" i="19"/>
  <c r="I5" i="19" s="1"/>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J7" i="18"/>
  <c r="AX6" i="18"/>
  <c r="AX5" i="18"/>
  <c r="AB5" i="18"/>
  <c r="S5" i="18"/>
  <c r="K8" i="18" s="1"/>
  <c r="S8"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U49" i="17"/>
  <c r="AJ48" i="17"/>
  <c r="AK48" i="17" s="1"/>
  <c r="AL48" i="17" s="1"/>
  <c r="AM48" i="17" s="1"/>
  <c r="AO48" i="17" s="1"/>
  <c r="AP48" i="17" s="1"/>
  <c r="AQ48" i="17" s="1"/>
  <c r="AB48" i="17"/>
  <c r="AC48" i="17" s="1"/>
  <c r="AD48" i="17" s="1"/>
  <c r="AF48" i="17" s="1"/>
  <c r="AG48" i="17" s="1"/>
  <c r="AA48" i="17"/>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AT5" i="17"/>
  <c r="AG5" i="17"/>
  <c r="U5" i="17"/>
  <c r="I6" i="17" s="1"/>
  <c r="J7" i="17" s="1"/>
  <c r="AT4" i="17"/>
  <c r="AG4" i="17"/>
  <c r="U4" i="17"/>
  <c r="AT3" i="17"/>
  <c r="AG3" i="17"/>
  <c r="U3" i="17"/>
  <c r="AT2" i="17"/>
  <c r="AG2" i="17"/>
  <c r="U2" i="17"/>
  <c r="AP57" i="16"/>
  <c r="AP56" i="16"/>
  <c r="AP55" i="16"/>
  <c r="AP54" i="16"/>
  <c r="AP53" i="16"/>
  <c r="AP52" i="16"/>
  <c r="AP51" i="16"/>
  <c r="AP50" i="16"/>
  <c r="AG50" i="16"/>
  <c r="Y50" i="16"/>
  <c r="AP49" i="16"/>
  <c r="AP48" i="16"/>
  <c r="AP47" i="16"/>
  <c r="AP46" i="16"/>
  <c r="S46" i="16"/>
  <c r="J48" i="16" s="1"/>
  <c r="K49" i="16" s="1"/>
  <c r="S49" i="16" s="1"/>
  <c r="AP45" i="16"/>
  <c r="AP44" i="16"/>
  <c r="S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D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P48" i="14"/>
  <c r="AP47" i="14"/>
  <c r="AP46" i="14"/>
  <c r="S46" i="14"/>
  <c r="J48" i="14" s="1"/>
  <c r="AP45" i="14"/>
  <c r="AP44" i="14"/>
  <c r="S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S46" i="13"/>
  <c r="I47" i="13" s="1"/>
  <c r="AP45" i="13"/>
  <c r="S45" i="13"/>
  <c r="AP44" i="13"/>
  <c r="AP43" i="13"/>
  <c r="AM43" i="13"/>
  <c r="AD43" i="13"/>
  <c r="AF42" i="13"/>
  <c r="AG42" i="13" s="1"/>
  <c r="AH42" i="13" s="1"/>
  <c r="AI42" i="13" s="1"/>
  <c r="AK42" i="13" s="1"/>
  <c r="AL42" i="13" s="1"/>
  <c r="AM42" i="13" s="1"/>
  <c r="X42" i="13"/>
  <c r="Y42" i="13" s="1"/>
  <c r="Z42" i="13" s="1"/>
  <c r="AA42" i="13" s="1"/>
  <c r="AC42" i="13" s="1"/>
  <c r="AD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EP57" i="12"/>
  <c r="EP56" i="12"/>
  <c r="EP55" i="12"/>
  <c r="EP54" i="12"/>
  <c r="EP53" i="12"/>
  <c r="EP52" i="12"/>
  <c r="EP51" i="12"/>
  <c r="EP50" i="12"/>
  <c r="EG50" i="12"/>
  <c r="DY50" i="12"/>
  <c r="DQ50" i="12"/>
  <c r="DI50" i="12"/>
  <c r="DA50" i="12"/>
  <c r="CS50" i="12"/>
  <c r="CK50" i="12"/>
  <c r="CC50" i="12"/>
  <c r="BU50" i="12"/>
  <c r="BM50" i="12"/>
  <c r="BE50" i="12"/>
  <c r="AW50" i="12"/>
  <c r="AO50" i="12"/>
  <c r="AG50" i="12"/>
  <c r="Y50" i="12"/>
  <c r="EP49" i="12"/>
  <c r="EP48" i="12"/>
  <c r="EP47" i="12"/>
  <c r="EP46" i="12"/>
  <c r="EP45" i="12"/>
  <c r="EP44" i="12"/>
  <c r="EP43" i="12"/>
  <c r="EM43" i="12"/>
  <c r="EG42" i="12"/>
  <c r="EH42" i="12" s="1"/>
  <c r="EI42" i="12" s="1"/>
  <c r="EK42" i="12" s="1"/>
  <c r="EL42" i="12" s="1"/>
  <c r="EM42" i="12" s="1"/>
  <c r="EF42" i="12"/>
  <c r="DX42" i="12"/>
  <c r="DY42" i="12" s="1"/>
  <c r="DZ42" i="12" s="1"/>
  <c r="EA42" i="12" s="1"/>
  <c r="EC42" i="12" s="1"/>
  <c r="ED42" i="12" s="1"/>
  <c r="DP42" i="12"/>
  <c r="DQ42" i="12" s="1"/>
  <c r="DR42" i="12" s="1"/>
  <c r="DS42" i="12" s="1"/>
  <c r="DU42" i="12" s="1"/>
  <c r="DV42" i="12" s="1"/>
  <c r="DI42" i="12"/>
  <c r="DJ42" i="12" s="1"/>
  <c r="DK42" i="12" s="1"/>
  <c r="DM42" i="12" s="1"/>
  <c r="DN42" i="12" s="1"/>
  <c r="DH42" i="12"/>
  <c r="CZ42" i="12"/>
  <c r="DA42" i="12" s="1"/>
  <c r="DB42" i="12" s="1"/>
  <c r="DC42" i="12" s="1"/>
  <c r="DE42" i="12" s="1"/>
  <c r="DF42" i="12" s="1"/>
  <c r="CR42" i="12"/>
  <c r="CS42" i="12" s="1"/>
  <c r="CT42" i="12" s="1"/>
  <c r="CU42" i="12" s="1"/>
  <c r="CW42" i="12" s="1"/>
  <c r="CX42" i="12" s="1"/>
  <c r="CK42" i="12"/>
  <c r="CL42" i="12" s="1"/>
  <c r="CM42" i="12" s="1"/>
  <c r="CO42" i="12" s="1"/>
  <c r="CP42" i="12" s="1"/>
  <c r="CJ42" i="12"/>
  <c r="CB42" i="12"/>
  <c r="CC42" i="12" s="1"/>
  <c r="CD42" i="12" s="1"/>
  <c r="CE42" i="12" s="1"/>
  <c r="CG42" i="12" s="1"/>
  <c r="CH42" i="12" s="1"/>
  <c r="BT42" i="12"/>
  <c r="BU42" i="12" s="1"/>
  <c r="BV42" i="12" s="1"/>
  <c r="BW42" i="12" s="1"/>
  <c r="BY42" i="12" s="1"/>
  <c r="BZ42" i="12" s="1"/>
  <c r="BM42" i="12"/>
  <c r="BN42" i="12" s="1"/>
  <c r="BO42" i="12" s="1"/>
  <c r="BQ42" i="12" s="1"/>
  <c r="BR42" i="12" s="1"/>
  <c r="BL42" i="12"/>
  <c r="BD42" i="12"/>
  <c r="BE42" i="12" s="1"/>
  <c r="BF42" i="12" s="1"/>
  <c r="BG42" i="12" s="1"/>
  <c r="BI42" i="12" s="1"/>
  <c r="BJ42" i="12" s="1"/>
  <c r="AV42" i="12"/>
  <c r="AW42" i="12" s="1"/>
  <c r="AX42" i="12" s="1"/>
  <c r="AY42" i="12" s="1"/>
  <c r="BA42" i="12" s="1"/>
  <c r="BB42" i="12" s="1"/>
  <c r="AO42" i="12"/>
  <c r="AP42" i="12" s="1"/>
  <c r="AQ42" i="12" s="1"/>
  <c r="AS42" i="12" s="1"/>
  <c r="AT42" i="12" s="1"/>
  <c r="AN42" i="12"/>
  <c r="AF42" i="12"/>
  <c r="AG42" i="12" s="1"/>
  <c r="AH42" i="12" s="1"/>
  <c r="AI42" i="12" s="1"/>
  <c r="AK42" i="12" s="1"/>
  <c r="AL42" i="12" s="1"/>
  <c r="X42" i="12"/>
  <c r="Y42" i="12" s="1"/>
  <c r="Z42" i="12" s="1"/>
  <c r="AA42" i="12" s="1"/>
  <c r="AC42" i="12" s="1"/>
  <c r="AD42" i="12" s="1"/>
  <c r="U42" i="12"/>
  <c r="V42" i="12" s="1"/>
  <c r="ED35" i="12"/>
  <c r="DV35" i="12"/>
  <c r="DN35" i="12"/>
  <c r="DF35" i="12"/>
  <c r="CX35" i="12"/>
  <c r="CP35" i="12"/>
  <c r="CH35" i="12"/>
  <c r="BZ35" i="12"/>
  <c r="BR35" i="12"/>
  <c r="BJ35" i="12"/>
  <c r="BB35" i="12"/>
  <c r="AT35" i="12"/>
  <c r="AL35" i="12"/>
  <c r="AD35" i="12"/>
  <c r="V35" i="12"/>
  <c r="ED34" i="12"/>
  <c r="DV34" i="12"/>
  <c r="DN34" i="12"/>
  <c r="DF34" i="12"/>
  <c r="CX34" i="12"/>
  <c r="CP34" i="12"/>
  <c r="CH34" i="12"/>
  <c r="BZ34" i="12"/>
  <c r="BR34" i="12"/>
  <c r="BJ34" i="12"/>
  <c r="BB34" i="12"/>
  <c r="AT34" i="12"/>
  <c r="AL34" i="12"/>
  <c r="AD34" i="12"/>
  <c r="V34" i="12"/>
  <c r="ED32" i="12"/>
  <c r="DV32" i="12"/>
  <c r="DN32" i="12"/>
  <c r="DF32" i="12"/>
  <c r="CX32" i="12"/>
  <c r="CP32" i="12"/>
  <c r="CH32" i="12"/>
  <c r="BZ32" i="12"/>
  <c r="BR32" i="12"/>
  <c r="BJ32" i="12"/>
  <c r="BB32" i="12"/>
  <c r="AT32" i="12"/>
  <c r="AL32" i="12"/>
  <c r="AD32" i="12"/>
  <c r="V32" i="12"/>
  <c r="ED31" i="12"/>
  <c r="DV31" i="12"/>
  <c r="DN31" i="12"/>
  <c r="DF31" i="12"/>
  <c r="CX31" i="12"/>
  <c r="CP31" i="12"/>
  <c r="CH31" i="12"/>
  <c r="BZ31" i="12"/>
  <c r="BR31" i="12"/>
  <c r="BJ31" i="12"/>
  <c r="BB31" i="12"/>
  <c r="AT31" i="12"/>
  <c r="AL31" i="12"/>
  <c r="AD31" i="12"/>
  <c r="V31" i="12"/>
  <c r="ED30" i="12"/>
  <c r="DV30" i="12"/>
  <c r="DN30" i="12"/>
  <c r="DF30" i="12"/>
  <c r="CX30" i="12"/>
  <c r="CP30" i="12"/>
  <c r="CH30" i="12"/>
  <c r="BZ30" i="12"/>
  <c r="BR30" i="12"/>
  <c r="BJ30" i="12"/>
  <c r="BB30" i="12"/>
  <c r="AT30" i="12"/>
  <c r="AL30" i="12"/>
  <c r="AD30" i="12"/>
  <c r="V30" i="12"/>
  <c r="ED29" i="12"/>
  <c r="DV29" i="12"/>
  <c r="DN29" i="12"/>
  <c r="DF29" i="12"/>
  <c r="CX29" i="12"/>
  <c r="CP29" i="12"/>
  <c r="CH29" i="12"/>
  <c r="BZ29" i="12"/>
  <c r="BR29" i="12"/>
  <c r="BJ29" i="12"/>
  <c r="BB29" i="12"/>
  <c r="AT29" i="12"/>
  <c r="AL29" i="12"/>
  <c r="AD29" i="12"/>
  <c r="V29" i="12"/>
  <c r="S27" i="12"/>
  <c r="S26" i="12"/>
  <c r="AG18" i="12"/>
  <c r="EP15" i="12"/>
  <c r="EP14" i="12"/>
  <c r="EP13" i="12"/>
  <c r="EP12" i="12"/>
  <c r="EP11" i="12"/>
  <c r="EP10" i="12"/>
  <c r="EP9" i="12"/>
  <c r="EG9" i="12"/>
  <c r="DY9" i="12"/>
  <c r="DQ9" i="12"/>
  <c r="DI9" i="12"/>
  <c r="DA9" i="12"/>
  <c r="CS9" i="12"/>
  <c r="CK9" i="12"/>
  <c r="CC9" i="12"/>
  <c r="BU9" i="12"/>
  <c r="BM9" i="12"/>
  <c r="BE9" i="12"/>
  <c r="AW9" i="12"/>
  <c r="AO9" i="12"/>
  <c r="AG9" i="12"/>
  <c r="Y9" i="12"/>
  <c r="EP8" i="12"/>
  <c r="EP7" i="12"/>
  <c r="EP6" i="12"/>
  <c r="EP5" i="12"/>
  <c r="AD5" i="12"/>
  <c r="S5" i="12"/>
  <c r="I6" i="12" s="1"/>
  <c r="EP4" i="12"/>
  <c r="AD4" i="12"/>
  <c r="S4" i="12"/>
  <c r="EP3" i="12"/>
  <c r="AD3" i="12"/>
  <c r="S3" i="12"/>
  <c r="EP2" i="12"/>
  <c r="AD2" i="12"/>
  <c r="S2" i="12"/>
  <c r="IH57" i="11"/>
  <c r="IH56" i="11"/>
  <c r="IH55" i="11"/>
  <c r="IH54" i="11"/>
  <c r="IH53" i="11"/>
  <c r="IH52" i="11"/>
  <c r="IH51" i="11"/>
  <c r="IH50" i="11"/>
  <c r="HY50" i="11"/>
  <c r="HQ50" i="11"/>
  <c r="HI50" i="11"/>
  <c r="HA50" i="11"/>
  <c r="GS50" i="11"/>
  <c r="GK50" i="11"/>
  <c r="GC50" i="11"/>
  <c r="FU50" i="11"/>
  <c r="FM50" i="11"/>
  <c r="FE50" i="11"/>
  <c r="EW50" i="11"/>
  <c r="EO50" i="11"/>
  <c r="EG50" i="11"/>
  <c r="DY50" i="11"/>
  <c r="DQ50" i="11"/>
  <c r="DI50" i="11"/>
  <c r="DA50" i="11"/>
  <c r="CS50" i="11"/>
  <c r="CK50" i="11"/>
  <c r="CC50" i="11"/>
  <c r="BU50" i="11"/>
  <c r="BM50" i="11"/>
  <c r="BE50" i="11"/>
  <c r="AW50" i="11"/>
  <c r="AO50" i="11"/>
  <c r="AG50" i="11"/>
  <c r="Y50" i="11"/>
  <c r="IH49" i="11"/>
  <c r="IH48" i="11"/>
  <c r="IH47" i="11"/>
  <c r="IH46" i="11"/>
  <c r="IH45" i="11"/>
  <c r="IH44" i="11"/>
  <c r="IH43" i="11"/>
  <c r="IE43" i="11"/>
  <c r="S43" i="11"/>
  <c r="HX42" i="11"/>
  <c r="HY42" i="11" s="1"/>
  <c r="HZ42" i="11" s="1"/>
  <c r="IA42" i="11" s="1"/>
  <c r="IC42" i="11" s="1"/>
  <c r="ID42" i="11" s="1"/>
  <c r="IE42" i="11" s="1"/>
  <c r="HQ42" i="11"/>
  <c r="HR42" i="11" s="1"/>
  <c r="HS42" i="11" s="1"/>
  <c r="HU42" i="11" s="1"/>
  <c r="HV42" i="11" s="1"/>
  <c r="HP42" i="11"/>
  <c r="HH42" i="11"/>
  <c r="HI42" i="11" s="1"/>
  <c r="HJ42" i="11" s="1"/>
  <c r="HK42" i="11" s="1"/>
  <c r="HM42" i="11" s="1"/>
  <c r="HN42" i="11" s="1"/>
  <c r="GZ42" i="11"/>
  <c r="HA42" i="11" s="1"/>
  <c r="HB42" i="11" s="1"/>
  <c r="HC42" i="11" s="1"/>
  <c r="HE42" i="11" s="1"/>
  <c r="HF42" i="11" s="1"/>
  <c r="GS42" i="11"/>
  <c r="GT42" i="11" s="1"/>
  <c r="GU42" i="11" s="1"/>
  <c r="GW42" i="11" s="1"/>
  <c r="GX42" i="11" s="1"/>
  <c r="GR42" i="11"/>
  <c r="GJ42" i="11"/>
  <c r="GK42" i="11" s="1"/>
  <c r="GL42" i="11" s="1"/>
  <c r="GM42" i="11" s="1"/>
  <c r="GO42" i="11" s="1"/>
  <c r="GP42" i="11" s="1"/>
  <c r="GB42" i="11"/>
  <c r="GC42" i="11" s="1"/>
  <c r="GD42" i="11" s="1"/>
  <c r="GE42" i="11" s="1"/>
  <c r="GG42" i="11" s="1"/>
  <c r="GH42" i="11" s="1"/>
  <c r="FU42" i="11"/>
  <c r="FV42" i="11" s="1"/>
  <c r="FW42" i="11" s="1"/>
  <c r="FY42" i="11" s="1"/>
  <c r="FZ42" i="11" s="1"/>
  <c r="FT42" i="11"/>
  <c r="FL42" i="11"/>
  <c r="FM42" i="11" s="1"/>
  <c r="FN42" i="11" s="1"/>
  <c r="FO42" i="11" s="1"/>
  <c r="FQ42" i="11" s="1"/>
  <c r="FR42" i="11" s="1"/>
  <c r="FD42" i="11"/>
  <c r="FE42" i="11" s="1"/>
  <c r="FF42" i="11" s="1"/>
  <c r="FG42" i="11" s="1"/>
  <c r="FI42" i="11" s="1"/>
  <c r="FJ42" i="11" s="1"/>
  <c r="EW42" i="11"/>
  <c r="EX42" i="11" s="1"/>
  <c r="EY42" i="11" s="1"/>
  <c r="FA42" i="11" s="1"/>
  <c r="FB42" i="11" s="1"/>
  <c r="EV42" i="11"/>
  <c r="EN42" i="11"/>
  <c r="EO42" i="11" s="1"/>
  <c r="EP42" i="11" s="1"/>
  <c r="EQ42" i="11" s="1"/>
  <c r="ES42" i="11" s="1"/>
  <c r="ET42" i="11" s="1"/>
  <c r="EF42" i="11"/>
  <c r="EG42" i="11" s="1"/>
  <c r="EH42" i="11" s="1"/>
  <c r="EI42" i="11" s="1"/>
  <c r="EK42" i="11" s="1"/>
  <c r="EL42" i="11" s="1"/>
  <c r="DY42" i="11"/>
  <c r="DZ42" i="11" s="1"/>
  <c r="EA42" i="11" s="1"/>
  <c r="EC42" i="11" s="1"/>
  <c r="ED42" i="11" s="1"/>
  <c r="DX42" i="11"/>
  <c r="DP42" i="11"/>
  <c r="DQ42" i="11" s="1"/>
  <c r="DR42" i="11" s="1"/>
  <c r="DS42" i="11" s="1"/>
  <c r="DU42" i="11" s="1"/>
  <c r="DV42" i="11" s="1"/>
  <c r="DH42" i="11"/>
  <c r="DI42" i="11" s="1"/>
  <c r="DJ42" i="11" s="1"/>
  <c r="DK42" i="11" s="1"/>
  <c r="DM42" i="11" s="1"/>
  <c r="DN42" i="11" s="1"/>
  <c r="DA42" i="11"/>
  <c r="DB42" i="11" s="1"/>
  <c r="DC42" i="11" s="1"/>
  <c r="DE42" i="11" s="1"/>
  <c r="DF42" i="11" s="1"/>
  <c r="CZ42" i="11"/>
  <c r="CR42" i="11"/>
  <c r="CS42" i="11" s="1"/>
  <c r="CT42" i="11" s="1"/>
  <c r="CU42" i="11" s="1"/>
  <c r="CW42" i="11" s="1"/>
  <c r="CX42" i="11" s="1"/>
  <c r="CJ42" i="11"/>
  <c r="CK42" i="11" s="1"/>
  <c r="CL42" i="11" s="1"/>
  <c r="CM42" i="11" s="1"/>
  <c r="CO42" i="11" s="1"/>
  <c r="CP42" i="11" s="1"/>
  <c r="CC42" i="11"/>
  <c r="CD42" i="11" s="1"/>
  <c r="CE42" i="11" s="1"/>
  <c r="CG42" i="11" s="1"/>
  <c r="CH42" i="11" s="1"/>
  <c r="CB42" i="11"/>
  <c r="BT42" i="11"/>
  <c r="BU42" i="11" s="1"/>
  <c r="BV42" i="11" s="1"/>
  <c r="BW42" i="11" s="1"/>
  <c r="BY42" i="11" s="1"/>
  <c r="BZ42" i="11" s="1"/>
  <c r="BL42" i="11"/>
  <c r="BM42" i="11" s="1"/>
  <c r="BN42" i="11" s="1"/>
  <c r="BO42" i="11" s="1"/>
  <c r="BQ42" i="11" s="1"/>
  <c r="BR42" i="11" s="1"/>
  <c r="BE42" i="11"/>
  <c r="BF42" i="11" s="1"/>
  <c r="BG42" i="11" s="1"/>
  <c r="BI42" i="11" s="1"/>
  <c r="BJ42" i="11" s="1"/>
  <c r="BD42" i="11"/>
  <c r="AV42" i="11"/>
  <c r="AW42" i="11" s="1"/>
  <c r="AX42" i="11" s="1"/>
  <c r="AY42" i="11" s="1"/>
  <c r="BA42" i="11" s="1"/>
  <c r="BB42" i="11" s="1"/>
  <c r="AN42" i="11"/>
  <c r="AO42" i="11" s="1"/>
  <c r="AP42" i="11" s="1"/>
  <c r="AQ42" i="11" s="1"/>
  <c r="AS42" i="11" s="1"/>
  <c r="AT42" i="11" s="1"/>
  <c r="AG42" i="11"/>
  <c r="AH42" i="11" s="1"/>
  <c r="AI42" i="11" s="1"/>
  <c r="AK42" i="11" s="1"/>
  <c r="AL42" i="11" s="1"/>
  <c r="AF42" i="11"/>
  <c r="X42" i="11"/>
  <c r="Y42" i="11" s="1"/>
  <c r="Z42" i="11" s="1"/>
  <c r="AA42" i="11" s="1"/>
  <c r="AC42" i="11" s="1"/>
  <c r="AD42" i="11" s="1"/>
  <c r="U42" i="11"/>
  <c r="V42" i="11" s="1"/>
  <c r="HV35" i="11"/>
  <c r="HN35" i="11"/>
  <c r="HF35" i="11"/>
  <c r="GX35" i="11"/>
  <c r="GP35" i="11"/>
  <c r="GH35" i="11"/>
  <c r="FZ35" i="11"/>
  <c r="FR35" i="11"/>
  <c r="FJ35" i="11"/>
  <c r="FB35" i="11"/>
  <c r="ET35" i="11"/>
  <c r="EL35" i="11"/>
  <c r="ED35" i="11"/>
  <c r="DV35" i="11"/>
  <c r="DN35" i="11"/>
  <c r="DF35" i="11"/>
  <c r="CX35" i="11"/>
  <c r="CP35" i="11"/>
  <c r="CH35" i="11"/>
  <c r="BZ35" i="11"/>
  <c r="BR35" i="11"/>
  <c r="BJ35" i="11"/>
  <c r="BB35" i="11"/>
  <c r="AT35" i="11"/>
  <c r="AL35" i="11"/>
  <c r="AD35" i="11"/>
  <c r="V35" i="11"/>
  <c r="HV34" i="11"/>
  <c r="HN34" i="11"/>
  <c r="HF34" i="11"/>
  <c r="GX34" i="11"/>
  <c r="GP34" i="11"/>
  <c r="GH34" i="11"/>
  <c r="FZ34" i="11"/>
  <c r="FR34" i="11"/>
  <c r="FJ34" i="11"/>
  <c r="FB34" i="11"/>
  <c r="ET34" i="11"/>
  <c r="EL34" i="11"/>
  <c r="ED34" i="11"/>
  <c r="DV34" i="11"/>
  <c r="DN34" i="11"/>
  <c r="DF34" i="11"/>
  <c r="CX34" i="11"/>
  <c r="CP34" i="11"/>
  <c r="CH34" i="11"/>
  <c r="BZ34" i="11"/>
  <c r="BR34" i="11"/>
  <c r="BJ34" i="11"/>
  <c r="BB34" i="11"/>
  <c r="AT34" i="11"/>
  <c r="AL34" i="11"/>
  <c r="AD34" i="11"/>
  <c r="V34" i="11"/>
  <c r="HV32" i="11"/>
  <c r="HN32" i="11"/>
  <c r="HF32" i="11"/>
  <c r="GX32" i="11"/>
  <c r="GP32" i="11"/>
  <c r="GH32" i="11"/>
  <c r="FZ32" i="11"/>
  <c r="FR32" i="11"/>
  <c r="FJ32" i="11"/>
  <c r="FB32" i="11"/>
  <c r="ET32" i="11"/>
  <c r="EL32" i="11"/>
  <c r="ED32" i="11"/>
  <c r="DV32" i="11"/>
  <c r="DN32" i="11"/>
  <c r="DF32" i="11"/>
  <c r="CX32" i="11"/>
  <c r="CP32" i="11"/>
  <c r="CH32" i="11"/>
  <c r="BZ32" i="11"/>
  <c r="BR32" i="11"/>
  <c r="BJ32" i="11"/>
  <c r="BB32" i="11"/>
  <c r="AT32" i="11"/>
  <c r="AL32" i="11"/>
  <c r="AD32" i="11"/>
  <c r="V32" i="11"/>
  <c r="HV31" i="11"/>
  <c r="HN31" i="11"/>
  <c r="HF31" i="11"/>
  <c r="GX31" i="11"/>
  <c r="GP31" i="11"/>
  <c r="GH31" i="11"/>
  <c r="FZ31" i="11"/>
  <c r="FR31" i="11"/>
  <c r="FJ31" i="11"/>
  <c r="FB31" i="11"/>
  <c r="ET31" i="11"/>
  <c r="EL31" i="11"/>
  <c r="ED31" i="11"/>
  <c r="DV31" i="11"/>
  <c r="DN31" i="11"/>
  <c r="DF31" i="11"/>
  <c r="CX31" i="11"/>
  <c r="CP31" i="11"/>
  <c r="CH31" i="11"/>
  <c r="BZ31" i="11"/>
  <c r="BR31" i="11"/>
  <c r="BJ31" i="11"/>
  <c r="BB31" i="11"/>
  <c r="AT31" i="11"/>
  <c r="AL31" i="11"/>
  <c r="AD31" i="11"/>
  <c r="V31" i="11"/>
  <c r="HV30" i="11"/>
  <c r="HN30" i="11"/>
  <c r="HF30" i="11"/>
  <c r="GX30" i="11"/>
  <c r="GP30" i="11"/>
  <c r="GH30" i="11"/>
  <c r="FZ30" i="11"/>
  <c r="FR30" i="11"/>
  <c r="FJ30" i="11"/>
  <c r="FB30" i="11"/>
  <c r="ET30" i="11"/>
  <c r="EL30" i="11"/>
  <c r="ED30" i="11"/>
  <c r="DV30" i="11"/>
  <c r="DN30" i="11"/>
  <c r="DF30" i="11"/>
  <c r="CX30" i="11"/>
  <c r="CP30" i="11"/>
  <c r="CH30" i="11"/>
  <c r="BZ30" i="11"/>
  <c r="BR30" i="11"/>
  <c r="BJ30" i="11"/>
  <c r="BB30" i="11"/>
  <c r="AT30" i="11"/>
  <c r="AL30" i="11"/>
  <c r="AD30" i="11"/>
  <c r="V30" i="11"/>
  <c r="HV29" i="11"/>
  <c r="HN29" i="11"/>
  <c r="HF29" i="11"/>
  <c r="GX29" i="11"/>
  <c r="GP29" i="11"/>
  <c r="GH29" i="11"/>
  <c r="FZ29" i="11"/>
  <c r="FR29" i="11"/>
  <c r="FJ29" i="11"/>
  <c r="FB29" i="11"/>
  <c r="ET29" i="11"/>
  <c r="EL29" i="11"/>
  <c r="ED29" i="11"/>
  <c r="DV29" i="11"/>
  <c r="DN29" i="11"/>
  <c r="DF29" i="11"/>
  <c r="CX29" i="11"/>
  <c r="CP29" i="11"/>
  <c r="CH29" i="11"/>
  <c r="BZ29" i="11"/>
  <c r="BR29" i="11"/>
  <c r="BJ29" i="11"/>
  <c r="BB29" i="11"/>
  <c r="AT29" i="11"/>
  <c r="AL29" i="11"/>
  <c r="AD29" i="11"/>
  <c r="V29" i="11"/>
  <c r="S27" i="11"/>
  <c r="S26" i="11"/>
  <c r="AG18" i="11"/>
  <c r="IH15" i="11"/>
  <c r="IH14" i="11"/>
  <c r="IH13" i="11"/>
  <c r="IH12" i="11"/>
  <c r="IH11" i="11"/>
  <c r="IH10" i="11"/>
  <c r="IH9" i="11"/>
  <c r="HY9" i="11"/>
  <c r="HQ9" i="11"/>
  <c r="HI9" i="11"/>
  <c r="HA9" i="11"/>
  <c r="GS9" i="11"/>
  <c r="GK9" i="11"/>
  <c r="GC9" i="11"/>
  <c r="FU9" i="11"/>
  <c r="FM9" i="11"/>
  <c r="FE9" i="11"/>
  <c r="EW9" i="11"/>
  <c r="EO9" i="11"/>
  <c r="EG9" i="11"/>
  <c r="DY9" i="11"/>
  <c r="DQ9" i="11"/>
  <c r="DI9" i="11"/>
  <c r="DA9" i="11"/>
  <c r="CS9" i="11"/>
  <c r="CK9" i="11"/>
  <c r="CC9" i="11"/>
  <c r="BU9" i="11"/>
  <c r="BM9" i="11"/>
  <c r="BE9" i="11"/>
  <c r="AW9" i="11"/>
  <c r="AO9" i="11"/>
  <c r="AG9" i="11"/>
  <c r="Y9" i="11"/>
  <c r="IH8" i="11"/>
  <c r="IH7" i="11"/>
  <c r="IH6" i="11"/>
  <c r="IH5" i="11"/>
  <c r="AD5" i="11"/>
  <c r="S5" i="11"/>
  <c r="I6" i="11" s="1"/>
  <c r="IH4" i="11"/>
  <c r="AD4" i="11"/>
  <c r="S4" i="11"/>
  <c r="IH3" i="11"/>
  <c r="AD3" i="11"/>
  <c r="S3" i="11"/>
  <c r="IH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D32" i="7"/>
  <c r="A32" i="7"/>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AM90" i="5"/>
  <c r="AL90" i="5"/>
  <c r="AK90" i="5"/>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AQ64" i="5"/>
  <c r="AP64" i="5"/>
  <c r="S43" i="19" s="1"/>
  <c r="I44" i="19" s="1"/>
  <c r="AO64" i="5"/>
  <c r="S42" i="19" s="1"/>
  <c r="AN64" i="5"/>
  <c r="S41" i="19" s="1"/>
  <c r="AM64" i="5"/>
  <c r="AL64" i="5"/>
  <c r="AC43" i="19" s="1"/>
  <c r="AK64" i="5"/>
  <c r="AC42" i="19" s="1"/>
  <c r="AJ64" i="5"/>
  <c r="AI64" i="5"/>
  <c r="AH64" i="5"/>
  <c r="AQ48" i="5"/>
  <c r="S48" i="18" s="1"/>
  <c r="AP48" i="5"/>
  <c r="S47" i="18" s="1"/>
  <c r="AO48" i="5"/>
  <c r="S46" i="18" s="1"/>
  <c r="AN48" i="5"/>
  <c r="S45" i="18" s="1"/>
  <c r="AM48" i="5"/>
  <c r="AB48" i="18" s="1"/>
  <c r="AL48" i="5"/>
  <c r="AB47" i="18" s="1"/>
  <c r="AK48" i="5"/>
  <c r="AB46" i="18" s="1"/>
  <c r="AJ48" i="5"/>
  <c r="AI48" i="5"/>
  <c r="AH48" i="5"/>
  <c r="AQ43" i="5"/>
  <c r="AP43" i="5"/>
  <c r="AO43" i="5"/>
  <c r="S44" i="13" s="1"/>
  <c r="AN43" i="5"/>
  <c r="S43" i="13" s="1"/>
  <c r="AM43" i="5"/>
  <c r="AD46" i="13" s="1"/>
  <c r="AL43" i="5"/>
  <c r="AD45" i="13" s="1"/>
  <c r="AK43" i="5"/>
  <c r="AD44" i="13" s="1"/>
  <c r="AJ43" i="5"/>
  <c r="AI43" i="5"/>
  <c r="AH43" i="5"/>
  <c r="AQ38" i="5"/>
  <c r="AP38" i="5"/>
  <c r="S45" i="16" s="1"/>
  <c r="AO38" i="5"/>
  <c r="AN38" i="5"/>
  <c r="S43" i="16" s="1"/>
  <c r="AM38" i="5"/>
  <c r="AD46" i="16" s="1"/>
  <c r="AL38" i="5"/>
  <c r="AD45" i="16" s="1"/>
  <c r="AK38" i="5"/>
  <c r="AD44" i="16" s="1"/>
  <c r="AJ38" i="5"/>
  <c r="AI38" i="5"/>
  <c r="AH38" i="5"/>
  <c r="AQ33" i="5"/>
  <c r="S46" i="15" s="1"/>
  <c r="AP33" i="5"/>
  <c r="S45" i="15" s="1"/>
  <c r="AO33" i="5"/>
  <c r="S44" i="15" s="1"/>
  <c r="AN33" i="5"/>
  <c r="S43" i="15" s="1"/>
  <c r="AM33" i="5"/>
  <c r="AD46" i="15" s="1"/>
  <c r="AL33" i="5"/>
  <c r="AK33" i="5"/>
  <c r="AD44" i="15" s="1"/>
  <c r="AJ33" i="5"/>
  <c r="AI33" i="5"/>
  <c r="AH33" i="5"/>
  <c r="AQ28" i="5"/>
  <c r="U52" i="17" s="1"/>
  <c r="I53" i="17" s="1"/>
  <c r="J54" i="17" s="1"/>
  <c r="AP28" i="5"/>
  <c r="U51" i="17" s="1"/>
  <c r="AO28" i="5"/>
  <c r="U50" i="17" s="1"/>
  <c r="AN28" i="5"/>
  <c r="AM28" i="5"/>
  <c r="AG52" i="17" s="1"/>
  <c r="AL28" i="5"/>
  <c r="AG51" i="17" s="1"/>
  <c r="AK28" i="5"/>
  <c r="AG50" i="17" s="1"/>
  <c r="AJ28" i="5"/>
  <c r="AI28" i="5"/>
  <c r="AH28" i="5"/>
  <c r="AQ23" i="5"/>
  <c r="L22" i="58" s="1"/>
  <c r="F23" i="58" s="1"/>
  <c r="AP23" i="5"/>
  <c r="AO23" i="5"/>
  <c r="L20" i="58" s="1"/>
  <c r="AN23" i="5"/>
  <c r="L19" i="58" s="1"/>
  <c r="AM23" i="5"/>
  <c r="AL23" i="5"/>
  <c r="O21" i="58" s="1"/>
  <c r="AK23" i="5"/>
  <c r="O20" i="58" s="1"/>
  <c r="AJ23" i="5"/>
  <c r="AI23" i="5"/>
  <c r="AH23" i="5"/>
  <c r="AQ18" i="5"/>
  <c r="S46" i="12" s="1"/>
  <c r="I47" i="12" s="1"/>
  <c r="AP18" i="5"/>
  <c r="S45" i="12" s="1"/>
  <c r="AO18" i="5"/>
  <c r="S44" i="12" s="1"/>
  <c r="AN18" i="5"/>
  <c r="S43" i="12" s="1"/>
  <c r="AM18" i="5"/>
  <c r="AD46" i="12" s="1"/>
  <c r="AL18" i="5"/>
  <c r="AD45" i="12" s="1"/>
  <c r="AK18" i="5"/>
  <c r="AD44" i="12" s="1"/>
  <c r="AJ18" i="5"/>
  <c r="AD43" i="12" s="1"/>
  <c r="AI18" i="5"/>
  <c r="AH18" i="5"/>
  <c r="G18" i="5"/>
  <c r="AQ13" i="5"/>
  <c r="S46" i="11" s="1"/>
  <c r="I47" i="11" s="1"/>
  <c r="AP13" i="5"/>
  <c r="S45" i="11" s="1"/>
  <c r="AO13" i="5"/>
  <c r="S44" i="11" s="1"/>
  <c r="AN13" i="5"/>
  <c r="AM13" i="5"/>
  <c r="AD46" i="11" s="1"/>
  <c r="AL13" i="5"/>
  <c r="AD45" i="11" s="1"/>
  <c r="AK13" i="5"/>
  <c r="AD44" i="11" s="1"/>
  <c r="AJ13" i="5"/>
  <c r="AI13" i="5"/>
  <c r="AH13" i="5"/>
  <c r="D6" i="5"/>
  <c r="D5" i="5"/>
  <c r="R13" i="4"/>
  <c r="Q13" i="4"/>
  <c r="P13" i="4"/>
  <c r="I13" i="4"/>
  <c r="E7" i="4"/>
  <c r="D5" i="4"/>
  <c r="O13" i="3"/>
  <c r="M13" i="3" a="1"/>
  <c r="M13" i="3"/>
  <c r="E13" i="3"/>
  <c r="E12" i="3"/>
  <c r="G12" i="3" s="1"/>
  <c r="E4" i="3"/>
  <c r="E59" i="2"/>
  <c r="E49" i="2"/>
  <c r="E41" i="2"/>
  <c r="E27" i="2"/>
  <c r="E26" i="2"/>
  <c r="F25" i="2"/>
  <c r="E22" i="2"/>
  <c r="E21" i="2"/>
  <c r="F20" i="2"/>
  <c r="E19" i="2"/>
  <c r="E3" i="2"/>
  <c r="E2" i="2"/>
  <c r="L22" i="61"/>
  <c r="L19" i="61"/>
  <c r="Y25" i="59"/>
  <c r="Y23" i="61"/>
  <c r="L21" i="61"/>
  <c r="Y25" i="60"/>
  <c r="L23" i="61"/>
  <c r="L20" i="61"/>
  <c r="Y25" i="58"/>
  <c r="M10" i="50"/>
  <c r="M2" i="50"/>
  <c r="P2" i="51"/>
  <c r="K2" i="49"/>
  <c r="AL46" i="28"/>
  <c r="AL7" i="28"/>
  <c r="AL46" i="27"/>
  <c r="AL7" i="24"/>
  <c r="AL46" i="22"/>
  <c r="AL7" i="20"/>
  <c r="AL46" i="19"/>
  <c r="K9" i="49"/>
  <c r="AL7" i="25"/>
  <c r="AL46" i="24"/>
  <c r="AL7" i="21"/>
  <c r="AL46" i="20"/>
  <c r="AV51" i="18"/>
  <c r="AR55" i="17"/>
  <c r="AR8" i="17"/>
  <c r="AN49" i="15"/>
  <c r="P11" i="51"/>
  <c r="AL7" i="27"/>
  <c r="AL46" i="25"/>
  <c r="AL7" i="22"/>
  <c r="AL46" i="21"/>
  <c r="AL7" i="19"/>
  <c r="AV8" i="18"/>
  <c r="AR56" i="17"/>
  <c r="AN49" i="16"/>
  <c r="AN8" i="16"/>
  <c r="AN8" i="15"/>
  <c r="AN49" i="13"/>
  <c r="AN8" i="14"/>
  <c r="AN8" i="13"/>
  <c r="EN49" i="12"/>
  <c r="AN49" i="14"/>
  <c r="EN8" i="12"/>
  <c r="IF49" i="11"/>
  <c r="IF8" i="11"/>
  <c r="J13" i="3"/>
  <c r="I10" i="45" l="1"/>
  <c r="H10" i="40"/>
  <c r="H15" i="31"/>
  <c r="I26" i="30"/>
  <c r="I8" i="34"/>
  <c r="I27" i="35"/>
  <c r="I11" i="32"/>
  <c r="I11" i="33"/>
  <c r="F291" i="43"/>
  <c r="F40" i="43"/>
  <c r="F374" i="43"/>
  <c r="F208" i="43"/>
  <c r="F125" i="43"/>
  <c r="S47" i="12"/>
  <c r="J48" i="12"/>
  <c r="S47" i="11"/>
  <c r="J48" i="11"/>
  <c r="S6" i="11"/>
  <c r="J7" i="11"/>
  <c r="S6" i="12"/>
  <c r="J7" i="12"/>
  <c r="J48" i="13"/>
  <c r="S47" i="13"/>
  <c r="S7" i="14"/>
  <c r="K8" i="14"/>
  <c r="S8" i="14" s="1"/>
  <c r="K49" i="14"/>
  <c r="S49" i="14" s="1"/>
  <c r="S48" i="14"/>
  <c r="K8" i="15"/>
  <c r="S8" i="15" s="1"/>
  <c r="S7" i="15"/>
  <c r="U54" i="17"/>
  <c r="K55" i="17"/>
  <c r="S7" i="16"/>
  <c r="K8" i="16"/>
  <c r="S8" i="16" s="1"/>
  <c r="U7" i="17"/>
  <c r="K8" i="17"/>
  <c r="G192" i="43"/>
  <c r="G358" i="43"/>
  <c r="G24" i="43"/>
  <c r="G2" i="43"/>
  <c r="G275" i="43"/>
  <c r="G5" i="43"/>
  <c r="G109" i="43"/>
  <c r="AD43" i="11"/>
  <c r="O19" i="58"/>
  <c r="G306" i="43"/>
  <c r="G55" i="43"/>
  <c r="G389" i="43"/>
  <c r="G223" i="43"/>
  <c r="G140" i="43"/>
  <c r="AD43" i="14"/>
  <c r="O22" i="58"/>
  <c r="AD46" i="14"/>
  <c r="L21" i="58"/>
  <c r="S45" i="14"/>
  <c r="F312" i="43"/>
  <c r="F61" i="43"/>
  <c r="F395" i="43"/>
  <c r="F229" i="43"/>
  <c r="F146" i="43"/>
  <c r="J48" i="15"/>
  <c r="I47" i="15"/>
  <c r="G315" i="43"/>
  <c r="G64" i="43"/>
  <c r="G398" i="43"/>
  <c r="G232" i="43"/>
  <c r="G149" i="43"/>
  <c r="AD43" i="16"/>
  <c r="F321" i="43"/>
  <c r="F70" i="43"/>
  <c r="F238" i="43"/>
  <c r="F155" i="43"/>
  <c r="F404" i="43"/>
  <c r="K51" i="18"/>
  <c r="S51" i="18" s="1"/>
  <c r="I49" i="18"/>
  <c r="J50" i="18"/>
  <c r="G324" i="43"/>
  <c r="G73" i="43"/>
  <c r="G158" i="43"/>
  <c r="AC41" i="19"/>
  <c r="G407" i="43"/>
  <c r="G241" i="43"/>
  <c r="J45" i="19"/>
  <c r="S44" i="19"/>
  <c r="F330" i="43"/>
  <c r="F79" i="43"/>
  <c r="F413" i="43"/>
  <c r="F247" i="43"/>
  <c r="F164" i="43"/>
  <c r="G333" i="43"/>
  <c r="G82" i="43"/>
  <c r="G250" i="43"/>
  <c r="G416" i="43"/>
  <c r="G167" i="43"/>
  <c r="AC41" i="22"/>
  <c r="J45" i="22"/>
  <c r="S44" i="22"/>
  <c r="F339" i="43"/>
  <c r="F88" i="43"/>
  <c r="F256" i="43"/>
  <c r="F422" i="43"/>
  <c r="F173" i="43"/>
  <c r="AC42" i="28"/>
  <c r="AC42" i="27"/>
  <c r="S41" i="28"/>
  <c r="S41" i="27"/>
  <c r="G342" i="43"/>
  <c r="G91" i="43"/>
  <c r="G259" i="43"/>
  <c r="G425" i="43"/>
  <c r="G176" i="43"/>
  <c r="F348" i="43"/>
  <c r="F97" i="43"/>
  <c r="F265" i="43"/>
  <c r="F431" i="43"/>
  <c r="F182" i="43"/>
  <c r="G351" i="43"/>
  <c r="G100" i="43"/>
  <c r="G268" i="43"/>
  <c r="G434" i="43"/>
  <c r="G185" i="43"/>
  <c r="AC41" i="25"/>
  <c r="S44" i="25"/>
  <c r="J45" i="25"/>
  <c r="D36" i="7"/>
  <c r="D37" i="7" s="1"/>
  <c r="D38" i="7" s="1"/>
  <c r="D35" i="7"/>
  <c r="D34" i="7"/>
  <c r="D33" i="7"/>
  <c r="S6" i="13"/>
  <c r="J7" i="13"/>
  <c r="S5" i="19"/>
  <c r="J6" i="19"/>
  <c r="I11" i="45"/>
  <c r="I12" i="33"/>
  <c r="I12" i="32"/>
  <c r="H11" i="40"/>
  <c r="I9" i="34"/>
  <c r="H16" i="31"/>
  <c r="I27" i="30"/>
  <c r="I28" i="35"/>
  <c r="F389" i="43"/>
  <c r="F140" i="43"/>
  <c r="F306" i="43"/>
  <c r="F55" i="43"/>
  <c r="F223" i="43"/>
  <c r="L23" i="58"/>
  <c r="G24" i="58"/>
  <c r="F407" i="43"/>
  <c r="F158" i="43"/>
  <c r="F324" i="43"/>
  <c r="F241" i="43"/>
  <c r="F73" i="43"/>
  <c r="G410" i="43"/>
  <c r="G161" i="43"/>
  <c r="G327" i="43"/>
  <c r="G76" i="43"/>
  <c r="G244" i="43"/>
  <c r="AC41" i="20"/>
  <c r="F416" i="43"/>
  <c r="F167" i="43"/>
  <c r="F333" i="43"/>
  <c r="F82" i="43"/>
  <c r="F250" i="43"/>
  <c r="AC43" i="28"/>
  <c r="AC43" i="27"/>
  <c r="F425" i="43"/>
  <c r="F176" i="43"/>
  <c r="F342" i="43"/>
  <c r="F259" i="43"/>
  <c r="F91" i="43"/>
  <c r="G428" i="43"/>
  <c r="G179" i="43"/>
  <c r="G345" i="43"/>
  <c r="G94" i="43"/>
  <c r="AD46" i="29"/>
  <c r="G262" i="43"/>
  <c r="F434" i="43"/>
  <c r="F185" i="43"/>
  <c r="F351" i="43"/>
  <c r="F268" i="43"/>
  <c r="F100" i="43"/>
  <c r="G437" i="43"/>
  <c r="G188" i="43"/>
  <c r="G354" i="43"/>
  <c r="G271" i="43"/>
  <c r="AD46" i="26"/>
  <c r="G103" i="43"/>
  <c r="AD44" i="14"/>
  <c r="AD45" i="14"/>
  <c r="J6" i="20"/>
  <c r="S5" i="20"/>
  <c r="S5" i="22"/>
  <c r="J6" i="22"/>
  <c r="S5" i="27"/>
  <c r="J6" i="27"/>
  <c r="I47" i="14"/>
  <c r="I47" i="16"/>
  <c r="S5" i="25"/>
  <c r="J6" i="25"/>
  <c r="F275" i="43"/>
  <c r="F24" i="43"/>
  <c r="F109" i="43"/>
  <c r="F192" i="43"/>
  <c r="F358" i="43"/>
  <c r="G392" i="43"/>
  <c r="G143" i="43"/>
  <c r="G309" i="43"/>
  <c r="G226" i="43"/>
  <c r="G58" i="43"/>
  <c r="AG49" i="17"/>
  <c r="F398" i="43"/>
  <c r="F149" i="43"/>
  <c r="F315" i="43"/>
  <c r="F64" i="43"/>
  <c r="F232" i="43"/>
  <c r="G401" i="43"/>
  <c r="G152" i="43"/>
  <c r="G318" i="43"/>
  <c r="G67" i="43"/>
  <c r="G235" i="43"/>
  <c r="S44" i="20"/>
  <c r="J45" i="20"/>
  <c r="G419" i="43"/>
  <c r="G170" i="43"/>
  <c r="G336" i="43"/>
  <c r="G85" i="43"/>
  <c r="AD46" i="23"/>
  <c r="G253" i="43"/>
  <c r="S42" i="28"/>
  <c r="S42" i="27"/>
  <c r="I9" i="45"/>
  <c r="I26" i="35"/>
  <c r="I7" i="34"/>
  <c r="H9" i="40"/>
  <c r="I10" i="32"/>
  <c r="I10" i="33"/>
  <c r="I25" i="30"/>
  <c r="H14" i="31"/>
  <c r="G208" i="43"/>
  <c r="G374" i="43"/>
  <c r="G125" i="43"/>
  <c r="G40" i="43"/>
  <c r="G291" i="43"/>
  <c r="F226" i="43"/>
  <c r="F392" i="43"/>
  <c r="F143" i="43"/>
  <c r="F58" i="43"/>
  <c r="F309" i="43"/>
  <c r="G229" i="43"/>
  <c r="G395" i="43"/>
  <c r="G312" i="43"/>
  <c r="G61" i="43"/>
  <c r="G146" i="43"/>
  <c r="F235" i="43"/>
  <c r="F401" i="43"/>
  <c r="F318" i="43"/>
  <c r="F67" i="43"/>
  <c r="F152" i="43"/>
  <c r="G238" i="43"/>
  <c r="G404" i="43"/>
  <c r="G155" i="43"/>
  <c r="AB45" i="18"/>
  <c r="G321" i="43"/>
  <c r="G70" i="43"/>
  <c r="F244" i="43"/>
  <c r="F410" i="43"/>
  <c r="F327" i="43"/>
  <c r="F76" i="43"/>
  <c r="F161" i="43"/>
  <c r="G247" i="43"/>
  <c r="G413" i="43"/>
  <c r="G330" i="43"/>
  <c r="G164" i="43"/>
  <c r="G79" i="43"/>
  <c r="AC41" i="21"/>
  <c r="S44" i="21"/>
  <c r="J45" i="21"/>
  <c r="F253" i="43"/>
  <c r="F419" i="43"/>
  <c r="F170" i="43"/>
  <c r="F336" i="43"/>
  <c r="F85" i="43"/>
  <c r="G256" i="43"/>
  <c r="G422" i="43"/>
  <c r="G339" i="43"/>
  <c r="G88" i="43"/>
  <c r="AC41" i="28"/>
  <c r="AC41" i="27"/>
  <c r="G173" i="43"/>
  <c r="S43" i="28"/>
  <c r="I44" i="28" s="1"/>
  <c r="S43" i="27"/>
  <c r="I44" i="27" s="1"/>
  <c r="F262" i="43"/>
  <c r="F428" i="43"/>
  <c r="F179" i="43"/>
  <c r="F94" i="43"/>
  <c r="F345" i="43"/>
  <c r="G265" i="43"/>
  <c r="G431" i="43"/>
  <c r="G182" i="43"/>
  <c r="G97" i="43"/>
  <c r="G348" i="43"/>
  <c r="AC41" i="24"/>
  <c r="S44" i="24"/>
  <c r="J45" i="24"/>
  <c r="F271" i="43"/>
  <c r="F437" i="43"/>
  <c r="F354" i="43"/>
  <c r="F103" i="43"/>
  <c r="F188" i="43"/>
  <c r="S43" i="14"/>
  <c r="AD43" i="15"/>
  <c r="S48" i="16"/>
  <c r="S5" i="21"/>
  <c r="J6" i="21"/>
  <c r="J6" i="24"/>
  <c r="S5" i="24"/>
  <c r="J6" i="28"/>
  <c r="S5" i="28"/>
  <c r="H31" i="30"/>
  <c r="H136" i="30" s="1"/>
  <c r="I6" i="18"/>
  <c r="E70" i="30"/>
  <c r="K70" i="30" s="1"/>
  <c r="I58" i="38"/>
  <c r="H58" i="38" s="1"/>
  <c r="H38" i="38"/>
  <c r="F10" i="50"/>
  <c r="F2" i="50"/>
  <c r="H49" i="38"/>
  <c r="I48" i="38"/>
  <c r="H48" i="38" s="1"/>
  <c r="I31" i="30"/>
  <c r="I136" i="30" s="1"/>
  <c r="J46" i="55"/>
  <c r="J50" i="55"/>
  <c r="E5" i="56"/>
  <c r="E29" i="56"/>
  <c r="E32" i="56"/>
  <c r="AA15" i="57"/>
  <c r="M358" i="43"/>
  <c r="J8" i="50"/>
  <c r="J47" i="55"/>
  <c r="J51" i="55"/>
  <c r="J45" i="55" s="1"/>
  <c r="E5" i="2" s="1"/>
  <c r="E4" i="56"/>
  <c r="L23" i="59"/>
  <c r="G24" i="59"/>
  <c r="G24" i="60"/>
  <c r="L23" i="60"/>
  <c r="J49" i="55"/>
  <c r="J52" i="55"/>
  <c r="E3" i="56"/>
  <c r="E6" i="56"/>
  <c r="E30" i="56"/>
  <c r="AA11" i="57"/>
  <c r="AA12" i="57"/>
  <c r="AA13" i="57"/>
  <c r="U14" i="57"/>
  <c r="U15" i="57"/>
  <c r="AA16" i="57"/>
  <c r="S45" i="24" l="1"/>
  <c r="K46" i="24"/>
  <c r="S46" i="24" s="1"/>
  <c r="S45" i="21"/>
  <c r="K46" i="21"/>
  <c r="S46" i="21" s="1"/>
  <c r="S7" i="13"/>
  <c r="K8" i="13"/>
  <c r="S8" i="13" s="1"/>
  <c r="S48" i="12"/>
  <c r="K49" i="12"/>
  <c r="S49" i="12" s="1"/>
  <c r="H25" i="60"/>
  <c r="L25" i="60" s="1"/>
  <c r="L24" i="60"/>
  <c r="K7" i="24"/>
  <c r="S7" i="24" s="1"/>
  <c r="S6" i="24"/>
  <c r="J45" i="27"/>
  <c r="S44" i="27"/>
  <c r="S45" i="20"/>
  <c r="K46" i="20"/>
  <c r="S46" i="20" s="1"/>
  <c r="S6" i="27"/>
  <c r="K7" i="27"/>
  <c r="S7" i="27" s="1"/>
  <c r="L24" i="58"/>
  <c r="H25" i="58"/>
  <c r="L25" i="58" s="1"/>
  <c r="S6" i="19"/>
  <c r="K7" i="19"/>
  <c r="S7" i="19" s="1"/>
  <c r="K46" i="22"/>
  <c r="S46" i="22" s="1"/>
  <c r="S45" i="22"/>
  <c r="U8" i="17"/>
  <c r="L9" i="17"/>
  <c r="U9" i="17" s="1"/>
  <c r="S48" i="11"/>
  <c r="K49" i="11"/>
  <c r="S49" i="11" s="1"/>
  <c r="S6" i="25"/>
  <c r="K7" i="25"/>
  <c r="S7" i="25" s="1"/>
  <c r="S6" i="22"/>
  <c r="K7" i="22"/>
  <c r="S7" i="22" s="1"/>
  <c r="K7" i="20"/>
  <c r="S7" i="20" s="1"/>
  <c r="S6" i="20"/>
  <c r="S45" i="25"/>
  <c r="K46" i="25"/>
  <c r="S46" i="25" s="1"/>
  <c r="K49" i="15"/>
  <c r="S49" i="15" s="1"/>
  <c r="S48" i="15"/>
  <c r="S7" i="12"/>
  <c r="K8" i="12"/>
  <c r="S8" i="12" s="1"/>
  <c r="L24" i="59"/>
  <c r="H25" i="59"/>
  <c r="L25" i="59" s="1"/>
  <c r="D4" i="4"/>
  <c r="B5" i="1"/>
  <c r="K7" i="28"/>
  <c r="S7" i="28" s="1"/>
  <c r="S6" i="28"/>
  <c r="S6" i="21"/>
  <c r="K7" i="21"/>
  <c r="S7" i="21" s="1"/>
  <c r="J45" i="28"/>
  <c r="S44" i="28"/>
  <c r="D42" i="7"/>
  <c r="D43" i="7" s="1"/>
  <c r="D44" i="7" s="1"/>
  <c r="D40" i="7"/>
  <c r="D39" i="7"/>
  <c r="K46" i="19"/>
  <c r="S46" i="19" s="1"/>
  <c r="S45" i="19"/>
  <c r="L56" i="17"/>
  <c r="U56" i="17" s="1"/>
  <c r="U55" i="17"/>
  <c r="K49" i="13"/>
  <c r="S49" i="13" s="1"/>
  <c r="S48" i="13"/>
  <c r="S7" i="11"/>
  <c r="K8" i="11"/>
  <c r="S8" i="11" s="1"/>
  <c r="D50" i="7" l="1"/>
  <c r="D46" i="7"/>
  <c r="D48" i="7"/>
  <c r="D45" i="7"/>
  <c r="D47" i="7"/>
  <c r="K46" i="28"/>
  <c r="S46" i="28" s="1"/>
  <c r="S45" i="28"/>
  <c r="K46" i="27"/>
  <c r="S46" i="27" s="1"/>
  <c r="S45" i="27"/>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<sst xmlns="http://schemas.openxmlformats.org/spreadsheetml/2006/main" count="11927" uniqueCount="2928">
  <si>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</si>
  <si>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</si>
  <si>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</si>
  <si>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</si>
  <si>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</si>
  <si>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</si>
  <si>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</si>
  <si>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</si>
  <si>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</si>
  <si>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</si>
  <si>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</si>
  <si>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</si>
  <si>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</si>
  <si>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</si>
  <si>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Сахалинская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</si>
  <si>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</si>
  <si>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</si>
  <si>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</si>
  <si>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</si>
  <si>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</si>
  <si>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</si>
  <si>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</si>
  <si>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</si>
  <si>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</si>
  <si>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</si>
  <si>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</si>
  <si>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</si>
  <si>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</si>
  <si>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</si>
  <si>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</si>
  <si>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</si>
  <si>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</si>
  <si>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</si>
  <si>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</si>
  <si>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</si>
  <si>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</si>
  <si>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</si>
  <si>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№761-1/117-1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</si>
  <si>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</si>
  <si>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</si>
  <si>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</si>
  <si>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761-1/201-1</t>
  </si>
  <si>
    <t>Наименование органа регулирования, принявшего решение об изменении тарифов</t>
  </si>
  <si>
    <t>Наименование ЮЛ / ИП</t>
  </si>
  <si>
    <t>ООО «РИР-Сахалин»</t>
  </si>
  <si>
    <t>Наименование (описание) обособленного подразделения</t>
  </si>
  <si>
    <t>ИНН</t>
  </si>
  <si>
    <t>4726004059</t>
  </si>
  <si>
    <t>КПП</t>
  </si>
  <si>
    <t>650101001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</si>
  <si>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</si>
  <si>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</si>
  <si>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</si>
  <si>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</si>
  <si>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</si>
  <si>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</si>
  <si>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</si>
  <si>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</si>
  <si>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</si>
  <si>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</si>
  <si>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</si>
  <si>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</si>
  <si>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</si>
  <si>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</si>
  <si>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</si>
  <si>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</si>
  <si>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</si>
  <si>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</si>
  <si>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</si>
  <si>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693020, Сахалинская область, г. Южно-Сахалинск, ул. Бумажная, д. 26</t>
  </si>
  <si>
    <t>Фамилия, имя, отчество руководителя</t>
  </si>
  <si>
    <t>Беккер Максим Яковлевич</t>
  </si>
  <si>
    <t>Ответственный за заполнение формы</t>
  </si>
  <si>
    <t>Фамилия, имя, отчество</t>
  </si>
  <si>
    <t>Авраменко Ольга Владимировна</t>
  </si>
  <si>
    <t>Должность</t>
  </si>
  <si>
    <t>помощник руководителя</t>
  </si>
  <si>
    <t>Контактный телефон</t>
  </si>
  <si>
    <t>74242454316</t>
  </si>
  <si>
    <t>E-mail</t>
  </si>
  <si>
    <t>OlVAvramenko@rusatom-utilities.ru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</si>
  <si>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</si>
  <si>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</si>
  <si>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</si>
  <si>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</si>
  <si>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</si>
  <si>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</si>
  <si>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</si>
  <si>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</si>
  <si>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</si>
  <si>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</si>
  <si>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</si>
  <si>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</si>
  <si>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</si>
  <si>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</si>
  <si>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</si>
  <si>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</si>
  <si>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t>
  </si>
  <si>
    <t>городской округ "Город Южно-Сахалинск"</t>
  </si>
  <si>
    <t>64701000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</si>
  <si>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</si>
  <si>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</si>
  <si>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</si>
  <si>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</si>
  <si>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</si>
  <si>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</si>
  <si>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</si>
  <si>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</si>
  <si>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</si>
  <si>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</si>
  <si>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</si>
  <si>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</si>
  <si>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</si>
  <si>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</si>
  <si>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</si>
  <si>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</si>
  <si>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</si>
  <si>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</si>
  <si>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</si>
  <si>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</si>
  <si>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</si>
  <si>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</si>
  <si>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</si>
  <si>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</si>
  <si>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</si>
  <si>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</si>
  <si>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</si>
  <si>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</si>
  <si>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</si>
  <si>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</si>
  <si>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</si>
  <si>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</si>
  <si>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</si>
  <si>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</si>
  <si>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</si>
  <si>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</si>
  <si>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</si>
  <si>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</si>
  <si>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</si>
  <si>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</si>
  <si>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</si>
  <si>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</si>
  <si>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</si>
  <si>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</si>
  <si>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</si>
  <si>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</si>
  <si>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</si>
  <si>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</si>
  <si>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</si>
  <si>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</si>
  <si>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</si>
  <si>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</si>
  <si>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</si>
  <si>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</si>
  <si>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</si>
  <si>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</si>
  <si>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</si>
  <si>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</si>
  <si>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</si>
  <si>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тепловую энергию (мощность) на коллекторах источника тепловой энергии, поставляемую потребителям ООО "РИР-Сахалин"</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</si>
  <si>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</si>
  <si>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</si>
  <si>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</si>
  <si>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</si>
  <si>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</si>
  <si>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</si>
  <si>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</si>
  <si>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</si>
  <si>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</si>
  <si>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</si>
  <si>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</si>
  <si>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</si>
  <si>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</si>
  <si>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</si>
  <si>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</si>
  <si>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</si>
  <si>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</si>
  <si>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</si>
  <si>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</si>
  <si>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</si>
  <si>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</si>
  <si>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</si>
  <si>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</si>
  <si>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</si>
  <si>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</si>
  <si>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</si>
  <si>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</si>
  <si>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</si>
  <si>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</si>
  <si>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</si>
  <si>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</si>
  <si>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</si>
  <si>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</si>
  <si>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</si>
  <si>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</si>
  <si>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</si>
  <si>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</si>
  <si>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</si>
  <si>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</si>
  <si>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</si>
  <si>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</si>
  <si>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</si>
  <si>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</si>
  <si>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</si>
  <si>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</si>
  <si>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</si>
  <si>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</si>
  <si>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</si>
  <si>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</si>
  <si>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</si>
  <si>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</si>
  <si>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</si>
  <si>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</si>
  <si>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</si>
  <si>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</si>
  <si>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</si>
  <si>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</si>
  <si>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</si>
  <si>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</si>
  <si>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</si>
  <si>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</si>
  <si>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</si>
  <si>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</si>
  <si>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</si>
  <si>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</si>
  <si>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</si>
  <si>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</si>
  <si>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</si>
  <si>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</si>
  <si>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</si>
  <si>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</si>
  <si>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</si>
  <si>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</si>
  <si>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</si>
  <si>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</si>
  <si>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</si>
  <si>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</si>
  <si>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</si>
  <si>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</si>
  <si>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</si>
  <si>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</si>
  <si>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</si>
  <si>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</si>
  <si>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</si>
  <si>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</si>
  <si>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</si>
  <si>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</si>
  <si>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</si>
  <si>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</si>
  <si>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</si>
  <si>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</si>
  <si>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</si>
  <si>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</si>
  <si>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</si>
  <si>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</si>
  <si>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</si>
  <si>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</si>
  <si>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</si>
  <si>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</si>
  <si>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</si>
  <si>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</si>
  <si>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</si>
  <si>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</si>
  <si>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</si>
  <si>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</si>
  <si>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</si>
  <si>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</si>
  <si>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</si>
  <si>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</si>
  <si>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</si>
  <si>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</si>
  <si>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</si>
  <si>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</si>
  <si>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</si>
  <si>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</si>
  <si>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</si>
  <si>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</si>
  <si>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</si>
  <si>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</si>
  <si>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</si>
  <si>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</si>
  <si>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</si>
  <si>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</si>
  <si>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</si>
  <si>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</si>
  <si>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</si>
  <si>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</si>
  <si>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</si>
  <si>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</si>
  <si>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</si>
  <si>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</si>
  <si>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</si>
  <si>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</si>
  <si>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</si>
  <si>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</si>
  <si>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</si>
  <si>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</si>
  <si>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</si>
  <si>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</si>
  <si>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</si>
  <si>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</si>
  <si>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</si>
  <si>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</si>
  <si>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</si>
  <si>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</si>
  <si>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</si>
  <si>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</si>
  <si>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</si>
  <si>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</si>
  <si>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</si>
  <si>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</si>
  <si>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</si>
  <si>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</si>
  <si>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</si>
  <si>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</si>
  <si>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</si>
  <si>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</si>
  <si>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</si>
  <si>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</si>
  <si>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</si>
  <si>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</si>
  <si>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</si>
  <si>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</si>
  <si>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</si>
  <si>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</si>
  <si>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</si>
  <si>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</si>
  <si>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</si>
  <si>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</si>
  <si>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</si>
  <si>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</si>
  <si>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</si>
  <si>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</si>
  <si>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</si>
  <si>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</si>
  <si>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</si>
  <si>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</si>
  <si>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</si>
  <si>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</si>
  <si>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</si>
  <si>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</si>
  <si>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</si>
  <si>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</si>
  <si>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</si>
  <si>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</si>
  <si>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</si>
  <si>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</si>
  <si>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</si>
  <si>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</si>
  <si>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</si>
  <si>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</si>
  <si>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</si>
  <si>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</si>
  <si>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</si>
  <si>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</si>
  <si>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</si>
  <si>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</si>
  <si>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</si>
  <si>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</si>
  <si>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</si>
  <si>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</si>
  <si>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</si>
  <si>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</si>
  <si>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</si>
  <si>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</si>
  <si>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</si>
  <si>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</si>
  <si>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</si>
  <si>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</si>
  <si>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</si>
  <si>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</si>
  <si>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</si>
  <si>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</si>
  <si>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</si>
  <si>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</si>
  <si>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</si>
  <si>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</si>
  <si>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</si>
  <si>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</si>
  <si>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</si>
  <si>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</si>
  <si>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</si>
  <si>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</si>
  <si>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</si>
  <si>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</si>
  <si>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</si>
  <si>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</si>
  <si>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</si>
  <si>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</si>
  <si>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</si>
  <si>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</si>
  <si>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</si>
  <si>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</si>
  <si>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</si>
  <si>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</si>
  <si>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</si>
  <si>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</si>
  <si>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</si>
  <si>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</si>
  <si>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</si>
  <si>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</si>
  <si>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</si>
  <si>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</si>
  <si>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</si>
  <si>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</si>
  <si>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</si>
  <si>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</si>
  <si>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</si>
  <si>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</si>
  <si>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</si>
  <si>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</si>
  <si>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</si>
  <si>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</si>
  <si>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</si>
  <si>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</si>
  <si>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</si>
  <si>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</si>
  <si>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</si>
  <si>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</si>
  <si>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</si>
  <si>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</si>
  <si>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</si>
  <si>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</si>
  <si>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</si>
  <si>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</si>
  <si>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</si>
  <si>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</si>
  <si>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</si>
  <si>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</si>
  <si>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</si>
  <si>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</si>
  <si>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</si>
  <si>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</si>
  <si>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</si>
  <si>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</si>
  <si>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</si>
  <si>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</si>
  <si>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</si>
  <si>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без дифференциации</t>
  </si>
  <si>
    <t>вода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</si>
  <si>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</si>
  <si>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</si>
  <si>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</si>
  <si>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</si>
  <si>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</si>
  <si>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</si>
  <si>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</si>
  <si>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</si>
  <si>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</si>
  <si>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</si>
  <si>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</si>
  <si>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</si>
  <si>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</si>
  <si>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</si>
  <si>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</si>
  <si>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</si>
  <si>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</si>
  <si>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</si>
  <si>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</si>
  <si>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</si>
  <si>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</si>
  <si>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</si>
  <si>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</si>
  <si>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</si>
  <si>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</si>
  <si>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</si>
  <si>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</si>
  <si>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</si>
  <si>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</si>
  <si>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</si>
  <si>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</si>
  <si>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</si>
  <si>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</si>
  <si>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</si>
  <si>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</si>
  <si>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</si>
  <si>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</si>
  <si>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</si>
  <si>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</si>
  <si>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</si>
  <si>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</si>
  <si>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</si>
  <si>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</si>
  <si>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</si>
  <si>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</si>
  <si>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</si>
  <si>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</si>
  <si>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</si>
  <si>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</si>
  <si>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</si>
  <si>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</si>
  <si>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</si>
  <si>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</si>
  <si>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</si>
  <si>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</si>
  <si>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</si>
  <si>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</si>
  <si>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</si>
  <si>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</si>
  <si>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</si>
  <si>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</si>
  <si>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</si>
  <si>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</si>
  <si>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</si>
  <si>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</si>
  <si>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</si>
  <si>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</si>
  <si>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</si>
  <si>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</si>
  <si>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</si>
  <si>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</si>
  <si>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</si>
  <si>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</si>
  <si>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</si>
  <si>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</si>
  <si>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</si>
  <si>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</si>
  <si>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</si>
  <si>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</si>
  <si>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</si>
  <si>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</si>
  <si>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</si>
  <si>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</si>
  <si>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</si>
  <si>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</si>
  <si>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</si>
  <si>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</si>
  <si>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</si>
  <si>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</si>
  <si>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</si>
  <si>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</si>
  <si>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</si>
  <si>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</si>
  <si>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</si>
  <si>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</si>
  <si>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</si>
  <si>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</si>
  <si>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</si>
  <si>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</si>
  <si>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</si>
  <si>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</si>
  <si>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</si>
  <si>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</si>
  <si>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</si>
  <si>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</si>
  <si>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</si>
  <si>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</si>
  <si>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</si>
  <si>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</si>
  <si>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</si>
  <si>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</si>
  <si>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</si>
  <si>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</si>
  <si>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</si>
  <si>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</si>
  <si>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</si>
  <si>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</si>
  <si>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</si>
  <si>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</si>
  <si>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</si>
  <si>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</si>
  <si>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</si>
  <si>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</si>
  <si>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</si>
  <si>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</si>
  <si>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</si>
  <si>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</si>
  <si>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</si>
  <si>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</si>
  <si>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</si>
  <si>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</si>
  <si>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</si>
  <si>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</si>
  <si>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</si>
  <si>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</si>
  <si>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</si>
  <si>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</si>
  <si>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</si>
  <si>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</si>
  <si>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</si>
  <si>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</si>
  <si>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</si>
  <si>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</si>
  <si>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</si>
  <si>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</si>
  <si>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</si>
  <si>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</si>
  <si>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</si>
  <si>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</si>
  <si>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</si>
  <si>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</si>
  <si>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</si>
  <si>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</si>
  <si>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</si>
  <si>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</si>
  <si>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</si>
  <si>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</si>
  <si>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</si>
  <si>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</si>
  <si>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</si>
  <si>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</si>
  <si>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</si>
  <si>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</si>
  <si>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</si>
  <si>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</si>
  <si>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</si>
  <si>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</si>
  <si>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</si>
  <si>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</si>
  <si>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</si>
  <si>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</si>
  <si>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</si>
  <si>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</si>
  <si>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</si>
  <si>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</si>
  <si>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</si>
  <si>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</si>
  <si>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</si>
  <si>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</si>
  <si>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</si>
  <si>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</si>
  <si>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</si>
  <si>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</si>
  <si>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</si>
  <si>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</si>
  <si>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</si>
  <si>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</si>
  <si>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</si>
  <si>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</si>
  <si>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</si>
  <si>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</si>
  <si>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</si>
  <si>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</si>
  <si>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</si>
  <si>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</si>
  <si>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</si>
  <si>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</si>
  <si>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</si>
  <si>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</si>
  <si>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</si>
  <si>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</si>
  <si>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</si>
  <si>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</si>
  <si>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</si>
  <si>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</si>
  <si>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</si>
  <si>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</si>
  <si>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</si>
  <si>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</si>
  <si>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</si>
  <si>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</si>
  <si>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</si>
  <si>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</si>
  <si>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</si>
  <si>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</si>
  <si>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</si>
  <si>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</si>
  <si>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</si>
  <si>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</si>
  <si>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</si>
  <si>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</si>
  <si>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</si>
  <si>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</si>
  <si>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</si>
  <si>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</si>
  <si>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</si>
  <si>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</si>
  <si>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</si>
  <si>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</si>
  <si>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</si>
  <si>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</si>
  <si>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</si>
  <si>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</si>
  <si>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</si>
  <si>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</si>
  <si>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</si>
  <si>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</si>
  <si>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</si>
  <si>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</si>
  <si>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</si>
  <si>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</si>
  <si>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</si>
  <si>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</si>
  <si>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</si>
  <si>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</si>
  <si>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</si>
  <si>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</si>
  <si>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</si>
  <si>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</si>
  <si>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</si>
  <si>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</si>
  <si>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</si>
  <si>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</si>
  <si>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</si>
  <si>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</si>
  <si>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</si>
  <si>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</si>
  <si>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</si>
  <si>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</si>
  <si>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</si>
  <si>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</si>
  <si>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</si>
  <si>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</si>
  <si>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</si>
  <si>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</si>
  <si>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</si>
  <si>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</si>
  <si>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</si>
  <si>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</si>
  <si>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</si>
  <si>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</si>
  <si>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</si>
  <si>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</si>
  <si>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</si>
  <si>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</si>
  <si>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</si>
  <si>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</si>
  <si>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</si>
  <si>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</si>
  <si>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</si>
  <si>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</si>
  <si>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</si>
  <si>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</si>
  <si>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</si>
  <si>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</si>
  <si>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</si>
  <si>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</si>
  <si>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</si>
  <si>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</si>
  <si>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</si>
  <si>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</si>
  <si>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</si>
  <si>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</si>
  <si>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</si>
  <si>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</si>
  <si>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</si>
  <si>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</si>
  <si>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</si>
  <si>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</si>
  <si>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</si>
  <si>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</si>
  <si>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</si>
  <si>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</si>
  <si>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</si>
  <si>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</si>
  <si>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</si>
  <si>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</si>
  <si>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</si>
  <si>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</si>
  <si>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</si>
  <si>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</si>
  <si>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</si>
  <si>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</si>
  <si>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</si>
  <si>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</si>
  <si>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</si>
  <si>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</si>
  <si>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</si>
  <si>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</si>
  <si>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</si>
  <si>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</si>
  <si>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</si>
  <si>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</si>
  <si>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</si>
  <si>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</si>
  <si>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</si>
  <si>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</si>
  <si>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</si>
  <si>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</si>
  <si>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</si>
  <si>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</si>
  <si>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</si>
  <si>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</si>
  <si>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</si>
  <si>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</si>
  <si>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</si>
  <si>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</si>
  <si>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</si>
  <si>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</si>
  <si>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</si>
  <si>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</si>
  <si>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</si>
  <si>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</si>
  <si>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</si>
  <si>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</si>
  <si>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</si>
  <si>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</si>
  <si>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</si>
  <si>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</si>
  <si>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</si>
  <si>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</si>
  <si>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</si>
  <si>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</si>
  <si>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</si>
  <si>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</si>
  <si>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</si>
  <si>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</si>
  <si>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</si>
  <si>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</si>
  <si>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</si>
  <si>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</si>
  <si>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</si>
  <si>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</si>
  <si>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</si>
  <si>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</si>
  <si>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</si>
  <si>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</si>
  <si>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</si>
  <si>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</si>
  <si>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</si>
  <si>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</si>
  <si>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</si>
  <si>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</si>
  <si>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</si>
  <si>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</si>
  <si>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</si>
  <si>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</si>
  <si>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</si>
  <si>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</si>
  <si>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</si>
  <si>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</si>
  <si>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</si>
  <si>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</si>
  <si>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</si>
  <si>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</si>
  <si>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</si>
  <si>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</si>
  <si>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</si>
  <si>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</si>
  <si>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</si>
  <si>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</si>
  <si>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</si>
  <si>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</si>
  <si>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</si>
  <si>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</si>
  <si>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</si>
  <si>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</si>
  <si>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</si>
  <si>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</si>
  <si>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</si>
  <si>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</si>
  <si>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</si>
  <si>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</si>
  <si>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</si>
  <si>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</si>
  <si>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</si>
  <si>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</si>
  <si>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</si>
  <si>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</si>
  <si>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</si>
  <si>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</si>
  <si>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</si>
  <si>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</si>
  <si>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</si>
  <si>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</si>
  <si>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</si>
  <si>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</si>
  <si>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</si>
  <si>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</si>
  <si>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</si>
  <si>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</si>
  <si>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</si>
  <si>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</si>
  <si>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</si>
  <si>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</si>
  <si>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</si>
  <si>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</si>
  <si>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</si>
  <si>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</si>
  <si>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</si>
  <si>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</si>
  <si>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</si>
  <si>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</si>
  <si>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</si>
  <si>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</si>
  <si>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</si>
  <si>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</si>
  <si>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</si>
  <si>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</si>
  <si>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</si>
  <si>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</si>
  <si>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</si>
  <si>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</si>
  <si>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</si>
  <si>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</si>
  <si>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</si>
  <si>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</si>
  <si>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</si>
  <si>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</si>
  <si>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</si>
  <si>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</si>
  <si>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</si>
  <si>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</si>
  <si>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</si>
  <si>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</si>
  <si>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</si>
  <si>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</si>
  <si>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</si>
  <si>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</si>
  <si>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</si>
  <si>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</si>
  <si>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</si>
  <si>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</si>
  <si>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</si>
  <si>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</si>
  <si>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</si>
  <si>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</si>
  <si>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</si>
  <si>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</si>
  <si>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</si>
  <si>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</si>
  <si>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</si>
  <si>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</si>
  <si>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</si>
  <si>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</si>
  <si>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</si>
  <si>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</si>
  <si>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</si>
  <si>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</si>
  <si>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</si>
  <si>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</si>
  <si>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</si>
  <si>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</si>
  <si>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</si>
  <si>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</si>
  <si>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</si>
  <si>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</si>
  <si>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</si>
  <si>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</si>
  <si>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</si>
  <si>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</si>
  <si>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</si>
  <si>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</si>
  <si>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</si>
  <si>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</si>
  <si>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</si>
  <si>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</si>
  <si>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</si>
  <si>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</si>
  <si>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</si>
  <si>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</si>
  <si>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</si>
  <si>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</si>
  <si>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</si>
  <si>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</si>
  <si>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</si>
  <si>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</si>
  <si>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</si>
  <si>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</si>
  <si>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</si>
  <si>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</si>
  <si>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</si>
  <si>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</si>
  <si>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</si>
  <si>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</si>
  <si>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</si>
  <si>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</si>
  <si>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</si>
  <si>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</si>
  <si>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</si>
  <si>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</si>
  <si>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</si>
  <si>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</si>
  <si>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</si>
  <si>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</si>
  <si>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</si>
  <si>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</si>
  <si>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</si>
  <si>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</si>
  <si>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</si>
  <si>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</si>
  <si>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</si>
  <si>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</si>
  <si>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</si>
  <si>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</si>
  <si>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</si>
  <si>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</si>
  <si>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</si>
  <si>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</si>
  <si>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</si>
  <si>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</si>
  <si>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</si>
  <si>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</si>
  <si>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</si>
  <si>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</si>
  <si>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</si>
  <si>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</si>
  <si>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</si>
  <si>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</si>
  <si>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</si>
  <si>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</si>
  <si>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</si>
  <si>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</si>
  <si>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</si>
  <si>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</si>
  <si>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</si>
  <si>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</si>
  <si>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</si>
  <si>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</si>
  <si>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</si>
  <si>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</si>
  <si>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</si>
  <si>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</si>
  <si>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</si>
  <si>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</si>
  <si>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</si>
  <si>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</si>
  <si>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</si>
  <si>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</si>
  <si>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</si>
  <si>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</si>
  <si>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</si>
  <si>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</si>
  <si>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</si>
  <si>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</si>
  <si>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</si>
  <si>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</si>
  <si>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</si>
  <si>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</si>
  <si>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</si>
  <si>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</si>
  <si>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</si>
  <si>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</si>
  <si>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</si>
  <si>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</si>
  <si>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</si>
  <si>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</si>
  <si>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</si>
  <si>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</si>
  <si>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</si>
  <si>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</si>
  <si>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</si>
  <si>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</si>
  <si>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</si>
  <si>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</si>
  <si>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</si>
  <si>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</si>
  <si>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</si>
  <si>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</si>
  <si>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</si>
  <si>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</si>
  <si>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</si>
  <si>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</si>
  <si>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</si>
  <si>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</si>
  <si>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</si>
  <si>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</si>
  <si>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</si>
  <si>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</si>
  <si>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</si>
  <si>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https://portal.eias.ru/Portal/DownloadPage.aspx?type=12&amp;guid=ea5940f9-62e9-4edf-a0e3-32bf9a024f1e</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</si>
  <si>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</si>
  <si>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</si>
  <si>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</si>
  <si>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закупке товаров, работ и услуг для нужд Общества с ограниченной ответственностью "Инфраструктурные решения - Сахалин" (ООО "РИР-Сахалин"), утвержденное Общим собранием участников ОО "РИР-Сахалин" (протокол № 14/2023 от 28.12.2023)</t>
  </si>
  <si>
    <t>https://portal.eias.ru/Portal/DownloadPage.aspx?type=12&amp;guid=36d7fa92-9b52-4264-8068-e906ea5a6b35</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</si>
  <si>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</si>
  <si>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 </t>
  </si>
  <si>
    <t>Информация о результатах на ЭТП "РТС-тендер"</t>
  </si>
  <si>
    <t>https://www.rts-tender.ru/</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</si>
  <si>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</si>
  <si>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</si>
  <si>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</si>
  <si>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</si>
  <si>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</si>
  <si>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</si>
  <si>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</si>
  <si>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</si>
  <si>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</si>
  <si>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</si>
  <si>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</si>
  <si>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</si>
  <si>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</si>
  <si>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</si>
  <si>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</si>
  <si>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</si>
  <si>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</si>
  <si>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</si>
  <si>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Заявление  о пересмотре долгосрочных тарифов на тепловую энергию (в горячей воде), поставляемую потребителям ООО "РИР-Сахалин", на 2024-2036 от 29.12.2023 №761-1/201-1</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</si>
  <si>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</si>
  <si>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</si>
  <si>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</si>
  <si>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</si>
  <si>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</si>
  <si>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</si>
  <si>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</si>
  <si>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</si>
  <si>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</si>
  <si>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</si>
  <si>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</si>
  <si>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</si>
  <si>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</si>
  <si>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</si>
  <si>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</si>
  <si>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</si>
  <si>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</si>
  <si>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</si>
  <si>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</si>
  <si>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</si>
  <si>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</si>
  <si>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</si>
  <si>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</si>
  <si>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</si>
  <si>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</si>
  <si>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</si>
  <si>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</si>
  <si>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</si>
  <si>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</si>
  <si>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</si>
  <si>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</si>
  <si>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</si>
  <si>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</si>
  <si>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</si>
  <si>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</si>
  <si>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</si>
  <si>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</si>
  <si>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</si>
  <si>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</si>
  <si>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</si>
  <si>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</si>
  <si>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В связи с вступлением в силу дополнительного соглашения  № 1 от 31.05.2023 к заключенному концессионному соглашению  по созданию (строительству) и эксплуатации (содержанию) газовой водогрейной котельной установленной мощностью 60 МВт (51,6 Гкал/час), работающей в автоматическом режиме, расположенной в микрорайоне «Южный» города Южно-Сахалинска  от 18.02.2022г. №013-151, которое внесло изменения в долгосрочные параметры регулирования деятельности концессионера, согласованные в установленном порядке,   ООО «РИР-Сахалин», в соответствии с п. 51 Основ ценообразования обратилось в адрес РЭК Сахалинской области с заявлением о пересмотре  долгосрочных тарифов на тепловую энергию (в горячей воде), поставляемую потребителям ООО «РИР-Сахалин», на 2024-2036 годы.</t>
  </si>
  <si>
    <t>в п. 6  "Размер экономически обоснованных расходов, не учтенных при регулировании тарифов в предыдущий период регулирования (при их наличии), определенном в соответствии с законодательством в сфере теплоснабжения" в период с 01.01.2025 по 31.12.2025 приведены "Результаты деятельности до перехода к регулированию цен (тарифов) на основе долгосрочных параметров регулирования" согласно расчету тарифа</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</si>
  <si>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</si>
  <si>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</si>
  <si>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</si>
  <si>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</si>
  <si>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</si>
  <si>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</si>
  <si>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</si>
  <si>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</si>
  <si>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</si>
  <si>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</si>
  <si>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</si>
  <si>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</si>
  <si>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</si>
  <si>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</si>
  <si>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</si>
  <si>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</si>
  <si>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</si>
  <si>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</si>
  <si>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</si>
  <si>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</si>
  <si>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</si>
  <si>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</si>
  <si>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</si>
  <si>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</si>
  <si>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</si>
  <si>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</si>
  <si>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</si>
  <si>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</si>
  <si>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</si>
  <si>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</si>
  <si>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</si>
  <si>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</si>
  <si>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</si>
  <si>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</si>
  <si>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</si>
  <si>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</si>
  <si>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</si>
  <si>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</si>
  <si>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</si>
  <si>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</si>
  <si>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</si>
  <si>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</si>
  <si>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</si>
  <si>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</si>
  <si>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</si>
  <si>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</si>
  <si>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</si>
  <si>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</si>
  <si>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</si>
  <si>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</si>
  <si>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</si>
  <si>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</si>
  <si>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</si>
  <si>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</si>
  <si>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</si>
  <si>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</si>
  <si>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</si>
  <si>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</si>
  <si>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</si>
  <si>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</si>
  <si>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</si>
  <si>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</si>
  <si>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</si>
  <si>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</si>
  <si>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</si>
  <si>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</si>
  <si>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</si>
  <si>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</si>
  <si>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</si>
  <si>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</si>
  <si>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</si>
  <si>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</si>
  <si>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</si>
  <si>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</si>
  <si>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</si>
  <si>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</si>
  <si>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</si>
  <si>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</si>
  <si>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</si>
  <si>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</si>
  <si>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</si>
  <si>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</si>
  <si>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</si>
  <si>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</si>
  <si>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</si>
  <si>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</si>
  <si>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</si>
  <si>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</si>
  <si>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</si>
  <si>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</si>
  <si>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</si>
  <si>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</si>
  <si>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</si>
  <si>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</si>
  <si>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</si>
  <si>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</si>
  <si>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</si>
  <si>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</si>
  <si>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</si>
  <si>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</si>
  <si>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</si>
  <si>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</si>
  <si>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</si>
  <si>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</si>
  <si>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</si>
  <si>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</si>
  <si>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</si>
  <si>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</si>
  <si>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</si>
  <si>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</si>
  <si>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</si>
  <si>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</si>
  <si>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</si>
  <si>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</si>
  <si>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</si>
  <si>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</si>
  <si>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</si>
  <si>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</si>
  <si>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</si>
  <si>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</si>
  <si>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</si>
  <si>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</si>
  <si>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</si>
  <si>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</si>
  <si>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</si>
  <si>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</si>
  <si>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</si>
  <si>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</si>
  <si>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</si>
  <si>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</si>
  <si>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</si>
  <si>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</si>
  <si>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</si>
  <si>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</si>
  <si>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</si>
  <si>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</si>
  <si>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</si>
  <si>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</si>
  <si>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</si>
  <si>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</si>
  <si>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</si>
  <si>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</si>
  <si>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</si>
  <si>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</si>
  <si>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</si>
  <si>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</si>
  <si>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</si>
  <si>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</si>
  <si>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</si>
  <si>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</si>
  <si>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</si>
  <si>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</si>
  <si>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</si>
  <si>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</si>
  <si>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</si>
  <si>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</si>
  <si>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</si>
  <si>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</si>
  <si>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</si>
  <si>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</si>
  <si>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</si>
  <si>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</si>
  <si>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</si>
  <si>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</si>
  <si>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</si>
  <si>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</si>
  <si>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</si>
  <si>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</si>
  <si>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</si>
  <si>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</si>
  <si>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</si>
  <si>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</si>
  <si>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</si>
  <si>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</si>
  <si>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</si>
  <si>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</si>
  <si>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</si>
  <si>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</si>
  <si>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</si>
  <si>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</si>
  <si>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</si>
  <si>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</si>
  <si>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</si>
  <si>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</si>
  <si>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</si>
  <si>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</si>
  <si>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</si>
  <si>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</si>
  <si>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</si>
  <si>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</si>
  <si>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</si>
  <si>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</si>
  <si>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</si>
  <si>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</si>
  <si>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</si>
  <si>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</si>
  <si>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</si>
  <si>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</si>
  <si>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</si>
  <si>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</si>
  <si>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</si>
  <si>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</si>
  <si>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</si>
  <si>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</si>
  <si>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</si>
  <si>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</si>
  <si>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</si>
  <si>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</si>
  <si>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</si>
  <si>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</si>
  <si>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</si>
  <si>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</si>
  <si>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</si>
  <si>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</si>
  <si>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</si>
  <si>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</si>
  <si>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</si>
  <si>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</si>
  <si>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</si>
  <si>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</si>
  <si>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</si>
  <si>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</si>
  <si>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</si>
  <si>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</si>
  <si>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</si>
  <si>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</si>
  <si>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</si>
  <si>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</si>
  <si>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</si>
  <si>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</si>
  <si>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</si>
  <si>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</si>
  <si>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</si>
  <si>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</si>
  <si>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</si>
  <si>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</si>
  <si>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</si>
  <si>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</si>
  <si>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</si>
  <si>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</si>
  <si>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</si>
  <si>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</si>
  <si>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</si>
  <si>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</si>
  <si>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</si>
  <si>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</si>
  <si>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</si>
  <si>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</si>
  <si>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</si>
  <si>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</si>
  <si>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</si>
  <si>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</si>
  <si>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</si>
  <si>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</si>
  <si>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</si>
  <si>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</si>
  <si>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</si>
  <si>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</si>
  <si>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</si>
  <si>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</si>
  <si>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</si>
  <si>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</si>
  <si>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</si>
  <si>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</si>
  <si>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</si>
  <si>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</si>
  <si>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</si>
  <si>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</si>
  <si>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</si>
  <si>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</si>
  <si>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</si>
  <si>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</si>
  <si>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</si>
  <si>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</si>
  <si>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</si>
  <si>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</si>
  <si>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</si>
  <si>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</si>
  <si>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</si>
  <si>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</si>
  <si>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</si>
  <si>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</si>
  <si>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</si>
  <si>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</si>
  <si>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</si>
  <si>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</si>
  <si>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</si>
  <si>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</si>
  <si>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</si>
  <si>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</si>
  <si>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</si>
  <si>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</si>
  <si>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</si>
  <si>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</si>
  <si>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</si>
  <si>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</si>
  <si>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</si>
  <si>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</si>
  <si>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</si>
  <si>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</si>
  <si>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</si>
  <si>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</si>
  <si>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</si>
  <si>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</si>
  <si>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</si>
  <si>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</si>
  <si>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</si>
  <si>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</si>
  <si>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</si>
  <si>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</si>
  <si>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</si>
  <si>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</si>
  <si>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</si>
  <si>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</si>
  <si>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</si>
  <si>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</si>
  <si>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</si>
  <si>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</si>
  <si>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</si>
  <si>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</si>
  <si>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</si>
  <si>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</si>
  <si>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</si>
  <si>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</si>
  <si>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</si>
  <si>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</si>
  <si>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</si>
  <si>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</si>
  <si>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</si>
  <si>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</si>
  <si>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</si>
  <si>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</si>
  <si>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</si>
  <si>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</si>
  <si>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</si>
  <si>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</si>
  <si>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</si>
  <si>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</si>
  <si>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</si>
  <si>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</si>
  <si>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</si>
  <si>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</si>
  <si>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</si>
  <si>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</si>
  <si>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</si>
  <si>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</si>
  <si>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</si>
  <si>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</si>
  <si>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</si>
  <si>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</si>
  <si>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</si>
  <si>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</si>
  <si>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</si>
  <si>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</si>
  <si>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</si>
  <si>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</si>
  <si>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</si>
  <si>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</si>
  <si>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</si>
  <si>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</si>
  <si>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</si>
  <si>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</si>
  <si>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</si>
  <si>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</si>
  <si>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</si>
  <si>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</si>
  <si>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</si>
  <si>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</si>
  <si>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</si>
  <si>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</si>
  <si>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</si>
  <si>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</si>
  <si>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</si>
  <si>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</si>
  <si>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</si>
  <si>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</si>
  <si>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</si>
  <si>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</si>
  <si>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</si>
  <si>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</si>
  <si>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</si>
  <si>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</si>
  <si>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</si>
  <si>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</si>
  <si>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</si>
  <si>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</si>
  <si>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</si>
  <si>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</si>
  <si>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</si>
  <si>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</si>
  <si>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</si>
  <si>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</si>
  <si>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</si>
  <si>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</si>
  <si>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</si>
  <si>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</si>
  <si>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</si>
  <si>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</si>
  <si>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</si>
  <si>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</si>
  <si>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</si>
  <si>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</si>
  <si>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</si>
  <si>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</si>
  <si>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</si>
  <si>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</si>
  <si>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</si>
  <si>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</si>
  <si>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</si>
  <si>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</si>
  <si>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</si>
  <si>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</si>
  <si>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</si>
  <si>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</si>
  <si>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</si>
  <si>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</si>
  <si>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</si>
  <si>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</si>
  <si>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</si>
  <si>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</si>
  <si>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</si>
  <si>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</si>
  <si>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</si>
  <si>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</si>
  <si>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</si>
  <si>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</si>
  <si>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</si>
  <si>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</si>
  <si>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</si>
  <si>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</si>
  <si>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</si>
  <si>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</si>
  <si>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</si>
  <si>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</si>
  <si>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</si>
  <si>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</si>
  <si>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</si>
  <si>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</si>
  <si>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</si>
  <si>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</si>
  <si>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</si>
  <si>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</si>
  <si>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</si>
  <si>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</si>
  <si>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</si>
  <si>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</si>
  <si>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</si>
  <si>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</si>
  <si>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</si>
  <si>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</si>
  <si>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</si>
  <si>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</si>
  <si>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</si>
  <si>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</si>
  <si>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</si>
  <si>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</si>
  <si>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</si>
  <si>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</si>
  <si>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</si>
  <si>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</si>
  <si>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</si>
  <si>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</si>
  <si>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</si>
  <si>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</si>
  <si>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</si>
  <si>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</si>
  <si>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</si>
  <si>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</si>
  <si>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</si>
  <si>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</si>
  <si>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</si>
  <si>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</si>
  <si>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</si>
  <si>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</si>
  <si>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</si>
  <si>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</si>
  <si>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</si>
  <si>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</si>
  <si>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</si>
  <si>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</si>
  <si>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</si>
  <si>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</si>
  <si>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</si>
  <si>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</si>
  <si>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</si>
  <si>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</si>
  <si>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</si>
  <si>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</si>
  <si>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</si>
  <si>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</si>
  <si>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</si>
  <si>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</si>
  <si>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</si>
  <si>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</si>
  <si>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</si>
  <si>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</si>
  <si>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</si>
  <si>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</si>
  <si>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</si>
  <si>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</si>
  <si>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</si>
  <si>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</si>
  <si>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</si>
  <si>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</si>
  <si>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</si>
  <si>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</si>
  <si>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</si>
  <si>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</si>
  <si>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</si>
  <si>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</si>
  <si>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</si>
  <si>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</si>
  <si>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</si>
  <si>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</si>
  <si>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</si>
  <si>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</si>
  <si>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</si>
  <si>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</si>
  <si>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</si>
  <si>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</si>
  <si>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</si>
  <si>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</si>
  <si>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</si>
  <si>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</si>
  <si>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</si>
  <si>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</si>
  <si>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</si>
  <si>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</si>
  <si>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</si>
  <si>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</si>
  <si>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</si>
  <si>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</si>
  <si>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</si>
  <si>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</si>
  <si>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</si>
  <si>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</si>
  <si>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</si>
  <si>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</si>
  <si>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</si>
  <si>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</si>
  <si>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</si>
  <si>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</si>
  <si>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</si>
  <si>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</si>
  <si>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</si>
  <si>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</si>
  <si>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</si>
  <si>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</si>
  <si>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</si>
  <si>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</si>
  <si>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</si>
  <si>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</si>
  <si>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</si>
  <si>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</si>
  <si>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</si>
  <si>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</si>
  <si>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</si>
  <si>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</si>
  <si>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</si>
  <si>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</si>
  <si>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</si>
  <si>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</si>
  <si>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</si>
  <si>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</si>
  <si>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</si>
  <si>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</si>
  <si>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</si>
  <si>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</si>
  <si>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</si>
  <si>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</si>
  <si>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</si>
  <si>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</si>
  <si>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</si>
  <si>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</si>
  <si>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</si>
  <si>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</si>
  <si>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</si>
  <si>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</si>
  <si>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</si>
  <si>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</si>
  <si>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</si>
  <si>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</si>
  <si>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</si>
  <si>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</si>
  <si>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</si>
  <si>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</si>
  <si>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</si>
  <si>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</si>
  <si>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</si>
  <si>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</si>
  <si>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</si>
  <si>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</si>
  <si>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</si>
  <si>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</si>
  <si>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</si>
  <si>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</si>
  <si>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</si>
  <si>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</si>
  <si>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</si>
  <si>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</si>
  <si>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</si>
  <si>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</si>
  <si>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</si>
  <si>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</si>
  <si>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</si>
  <si>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</si>
  <si>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</si>
  <si>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</si>
  <si>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</si>
  <si>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</si>
  <si>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</si>
  <si>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</si>
  <si>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</si>
  <si>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</si>
  <si>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</si>
  <si>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</si>
  <si>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</si>
  <si>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</si>
  <si>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</si>
  <si>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</si>
  <si>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</si>
  <si>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</si>
  <si>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</si>
  <si>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</si>
  <si>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</si>
  <si>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</si>
  <si>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</si>
  <si>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</si>
  <si>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</si>
  <si>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</si>
  <si>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</si>
  <si>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</si>
  <si>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</si>
  <si>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</si>
  <si>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</si>
  <si>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</si>
  <si>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</si>
  <si>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</si>
  <si>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</si>
  <si>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</si>
  <si>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</si>
  <si>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</si>
  <si>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</si>
  <si>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</si>
  <si>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</si>
  <si>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</si>
  <si>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</si>
  <si>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</si>
  <si>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</si>
  <si>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</si>
  <si>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</si>
  <si>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</si>
  <si>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</si>
  <si>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</si>
  <si>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</si>
  <si>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</si>
  <si>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</si>
  <si>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</si>
  <si>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</si>
  <si>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</si>
  <si>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</si>
  <si>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</si>
  <si>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</si>
  <si>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</si>
  <si>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</si>
  <si>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</si>
  <si>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</si>
  <si>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</si>
  <si>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</si>
  <si>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</si>
  <si>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</si>
  <si>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</si>
  <si>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</si>
  <si>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</si>
  <si>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</si>
  <si>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</si>
  <si>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</si>
  <si>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</si>
  <si>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</si>
  <si>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</si>
  <si>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</si>
  <si>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</si>
  <si>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</si>
  <si>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</si>
  <si>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</si>
  <si>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</si>
  <si>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</si>
  <si>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</si>
  <si>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</si>
  <si>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</si>
  <si>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</si>
  <si>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</si>
  <si>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</si>
  <si>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</si>
  <si>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</si>
  <si>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</si>
  <si>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</si>
  <si>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</si>
  <si>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</si>
  <si>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</si>
  <si>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</si>
  <si>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</si>
  <si>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</si>
  <si>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</si>
  <si>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</si>
  <si>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</si>
  <si>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</si>
  <si>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</si>
  <si>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</si>
  <si>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</si>
  <si>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</si>
  <si>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</si>
  <si>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</si>
  <si>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</si>
  <si>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</si>
  <si>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</si>
  <si>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</si>
  <si>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</si>
  <si>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</si>
  <si>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</si>
  <si>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</si>
  <si>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</si>
  <si>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</si>
  <si>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</si>
  <si>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</si>
  <si>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</si>
  <si>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</si>
  <si>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</si>
  <si>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</si>
  <si>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</si>
  <si>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</si>
  <si>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</si>
  <si>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</si>
  <si>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</si>
  <si>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</si>
  <si>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</si>
  <si>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</si>
  <si>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</si>
  <si>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</si>
  <si>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</si>
  <si>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</si>
  <si>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</si>
  <si>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</si>
  <si>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</si>
  <si>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</si>
  <si>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</si>
  <si>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</si>
  <si>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</si>
  <si>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</si>
  <si>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</si>
  <si>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</si>
  <si>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</si>
  <si>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</si>
  <si>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</si>
  <si>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</si>
  <si>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</si>
  <si>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</si>
  <si>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</si>
  <si>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</si>
  <si>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</si>
  <si>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</si>
  <si>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</si>
  <si>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</si>
  <si>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</si>
  <si>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</si>
  <si>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</si>
  <si>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</si>
  <si>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</si>
  <si>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</si>
  <si>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</si>
  <si>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</si>
  <si>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</si>
  <si>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</si>
  <si>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</si>
  <si>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</si>
  <si>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</si>
  <si>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</si>
  <si>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</si>
  <si>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</si>
  <si>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</si>
  <si>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</si>
  <si>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</si>
  <si>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</si>
  <si>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</si>
  <si>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</si>
  <si>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</si>
  <si>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</si>
  <si>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</si>
  <si>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</si>
  <si>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</si>
  <si>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</si>
  <si>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</si>
  <si>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</si>
  <si>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</si>
  <si>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</si>
  <si>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</si>
  <si>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</si>
  <si>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</si>
  <si>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</si>
  <si>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</si>
  <si>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</si>
  <si>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</si>
  <si>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</si>
  <si>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</si>
  <si>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</si>
  <si>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</si>
  <si>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</si>
  <si>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</si>
  <si>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</si>
  <si>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</si>
  <si>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</si>
  <si>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</si>
  <si>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</si>
  <si>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</si>
  <si>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</si>
  <si>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</si>
  <si>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</si>
  <si>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</si>
  <si>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</si>
  <si>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</si>
  <si>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</si>
  <si>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</si>
  <si>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</si>
  <si>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</si>
  <si>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</si>
  <si>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</si>
  <si>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</si>
  <si>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</si>
  <si>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</si>
  <si>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</si>
  <si>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</si>
  <si>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</si>
  <si>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</si>
  <si>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</si>
  <si>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</si>
  <si>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</si>
  <si>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</si>
  <si>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</si>
  <si>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</si>
  <si>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</si>
  <si>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</si>
  <si>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</si>
  <si>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</si>
  <si>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</si>
  <si>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</si>
  <si>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</si>
  <si>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</si>
  <si>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</si>
  <si>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</si>
  <si>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</si>
  <si>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</si>
  <si>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</si>
  <si>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</si>
  <si>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</si>
  <si>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</si>
  <si>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</si>
  <si>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</si>
  <si>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</si>
  <si>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</si>
  <si>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</si>
  <si>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</si>
  <si>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</si>
  <si>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</si>
  <si>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</si>
  <si>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</si>
  <si>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</si>
  <si>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</si>
  <si>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</si>
  <si>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</si>
  <si>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</si>
  <si>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</si>
  <si>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</si>
  <si>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</si>
  <si>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</si>
  <si>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</si>
  <si>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</si>
  <si>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</si>
  <si>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</si>
  <si>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</si>
  <si>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</si>
  <si>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</si>
  <si>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</si>
  <si>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</si>
  <si>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</si>
  <si>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</si>
  <si>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</si>
  <si>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</si>
  <si>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</si>
  <si>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</si>
  <si>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</si>
  <si>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</si>
  <si>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</si>
  <si>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</si>
  <si>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</si>
  <si>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</si>
  <si>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</si>
  <si>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</si>
  <si>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</si>
  <si>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</si>
  <si>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</si>
  <si>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</si>
  <si>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</si>
  <si>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</si>
  <si>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</si>
  <si>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</si>
  <si>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</si>
  <si>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</si>
  <si>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</si>
  <si>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</si>
  <si>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</si>
  <si>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</si>
  <si>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</si>
  <si>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</si>
  <si>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</si>
  <si>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</si>
  <si>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</si>
  <si>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</si>
  <si>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</si>
  <si>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</si>
  <si>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</si>
  <si>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</si>
  <si>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</si>
  <si>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</si>
  <si>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</si>
  <si>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</si>
  <si>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</si>
  <si>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</si>
  <si>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</si>
  <si>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</si>
  <si>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</si>
  <si>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</si>
  <si>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</si>
  <si>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</si>
  <si>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</si>
  <si>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</si>
  <si>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</si>
  <si>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</si>
  <si>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</si>
  <si>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</si>
  <si>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</si>
  <si>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</si>
  <si>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</si>
  <si>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</si>
  <si>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</si>
  <si>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</si>
  <si>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</si>
  <si>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</si>
  <si>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</si>
  <si>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</si>
  <si>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</si>
  <si>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</si>
  <si>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</si>
  <si>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</si>
  <si>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</si>
  <si>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</si>
  <si>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</si>
  <si>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</si>
  <si>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</si>
  <si>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</si>
  <si>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</si>
  <si>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</si>
  <si>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</si>
  <si>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</si>
  <si>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</si>
  <si>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</si>
  <si>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</si>
  <si>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</si>
  <si>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</si>
  <si>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</si>
  <si>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</si>
  <si>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</si>
  <si>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</si>
  <si>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</si>
  <si>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</si>
  <si>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</si>
  <si>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</si>
  <si>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</si>
  <si>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</si>
  <si>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</si>
  <si>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</si>
  <si>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</si>
  <si>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</si>
  <si>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</si>
  <si>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</si>
  <si>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</si>
  <si>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</si>
  <si>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</si>
  <si>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</si>
  <si>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</si>
  <si>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</si>
  <si>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</si>
  <si>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</si>
  <si>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</si>
  <si>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</si>
  <si>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</si>
  <si>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</si>
  <si>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</si>
  <si>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</si>
  <si>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</si>
  <si>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</si>
  <si>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</si>
  <si>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</si>
  <si>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</si>
  <si>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</si>
  <si>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</si>
  <si>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</si>
  <si>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</si>
  <si>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</si>
  <si>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</si>
  <si>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</si>
  <si>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</si>
  <si>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</si>
  <si>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</si>
  <si>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</si>
  <si>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</si>
  <si>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</si>
  <si>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</si>
  <si>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</si>
  <si>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</si>
  <si>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</si>
  <si>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</si>
  <si>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</si>
  <si>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</si>
  <si>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</si>
  <si>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</si>
  <si>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</si>
  <si>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</si>
  <si>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</si>
  <si>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</si>
  <si>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</si>
  <si>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</si>
  <si>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</si>
  <si>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</si>
  <si>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</si>
  <si>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</si>
  <si>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</si>
  <si>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</si>
  <si>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</si>
  <si>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</si>
  <si>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</si>
  <si>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</si>
  <si>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</si>
  <si>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</si>
  <si>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</si>
  <si>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</si>
  <si>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</si>
  <si>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</si>
  <si>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</si>
  <si>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</si>
  <si>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</si>
  <si>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</si>
  <si>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</si>
  <si>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28157504</t>
  </si>
  <si>
    <t>АО "Аэропорт Южно-Сахалинск"</t>
  </si>
  <si>
    <t>6501255385</t>
  </si>
  <si>
    <t>30335229</t>
  </si>
  <si>
    <t>АО "ГУ ЖКХ"</t>
  </si>
  <si>
    <t>5116000922</t>
  </si>
  <si>
    <t>770401001</t>
  </si>
  <si>
    <t>26463482</t>
  </si>
  <si>
    <t>Акционерное общество "Корсаковский морской торговый порт"</t>
  </si>
  <si>
    <t>6504020825</t>
  </si>
  <si>
    <t>650401001</t>
  </si>
  <si>
    <t>26318775</t>
  </si>
  <si>
    <t>Акционерное общество "Ногликская газовая электрическая станция"</t>
  </si>
  <si>
    <t>6513012267</t>
  </si>
  <si>
    <t>651301001</t>
  </si>
  <si>
    <t>26318776</t>
  </si>
  <si>
    <t>Акционерное общество "Охинская ТЭЦ"</t>
  </si>
  <si>
    <t>6506000623</t>
  </si>
  <si>
    <t>650601001</t>
  </si>
  <si>
    <t>26374973</t>
  </si>
  <si>
    <t>Акционерное общество "Сахалинская коммунальная компания"</t>
  </si>
  <si>
    <t>6501157613</t>
  </si>
  <si>
    <t>26463679</t>
  </si>
  <si>
    <t>Государственное унитарное предприятие Сахалинской области "Тымовское дорожное ремонтно-строительное управление""</t>
  </si>
  <si>
    <t>6517005278</t>
  </si>
  <si>
    <t>651701001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</si>
  <si>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</si>
  <si>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</si>
  <si>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</si>
  <si>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</si>
  <si>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31258976</t>
  </si>
  <si>
    <t>ЗАО "ТМС"</t>
  </si>
  <si>
    <t>6501086634</t>
  </si>
  <si>
    <t>26318784</t>
  </si>
  <si>
    <t>ЗАО "Энергия Южно-Курильская"</t>
  </si>
  <si>
    <t>6518004559</t>
  </si>
  <si>
    <t>651801001</t>
  </si>
  <si>
    <t>31432272</t>
  </si>
  <si>
    <t>МКП "ЖКХ" УГО</t>
  </si>
  <si>
    <t>6508010419</t>
  </si>
  <si>
    <t>650801001</t>
  </si>
  <si>
    <t>31194807</t>
  </si>
  <si>
    <t>МКП "Шахтерское коммунальное хозяйство"</t>
  </si>
  <si>
    <t>6508010458</t>
  </si>
  <si>
    <t>26318768</t>
  </si>
  <si>
    <t>МП "Тепло-электросистемы Северо-Курильского городского округа"</t>
  </si>
  <si>
    <t>6515002120</t>
  </si>
  <si>
    <t>651501001</t>
  </si>
  <si>
    <t>26375020</t>
  </si>
  <si>
    <t>МУП "Водоканал"</t>
  </si>
  <si>
    <t>6513000783</t>
  </si>
  <si>
    <t>31337977</t>
  </si>
  <si>
    <t>6516007970</t>
  </si>
  <si>
    <t>651601001</t>
  </si>
  <si>
    <t>26375018</t>
  </si>
  <si>
    <t>МУП "Глена"</t>
  </si>
  <si>
    <t>6512004175</t>
  </si>
  <si>
    <t>651201001</t>
  </si>
  <si>
    <t>28511003</t>
  </si>
  <si>
    <t>МУП "ЖКХ "Универсал"</t>
  </si>
  <si>
    <t>6518008680</t>
  </si>
  <si>
    <t>30796669</t>
  </si>
  <si>
    <t>МУП "Жилищно-эксплуатационное управление №10" ГО "Город Южно-Сахалинск"</t>
  </si>
  <si>
    <t>6501149732</t>
  </si>
  <si>
    <t>26604513</t>
  </si>
  <si>
    <t>МУП "Жилкомсервис"</t>
  </si>
  <si>
    <t>6511004197</t>
  </si>
  <si>
    <t>651101001</t>
  </si>
  <si>
    <t>28-04-2010 00:00:00</t>
  </si>
  <si>
    <t>31341772</t>
  </si>
  <si>
    <t>МУП "ИСКРА"</t>
  </si>
  <si>
    <t>6509024333</t>
  </si>
  <si>
    <t>650901001</t>
  </si>
  <si>
    <t>17-07-2017 00:00:00</t>
  </si>
  <si>
    <t>30372037</t>
  </si>
  <si>
    <t>МУП "ОКХ"</t>
  </si>
  <si>
    <t>6506010830</t>
  </si>
  <si>
    <t>30-10-2015 00:00:00</t>
  </si>
  <si>
    <t>27869221</t>
  </si>
  <si>
    <t>МУП "Поронайская коммунальная компания-1"</t>
  </si>
  <si>
    <t>6507013791</t>
  </si>
  <si>
    <t>650701001</t>
  </si>
  <si>
    <t>07-09-2012 00:00:00</t>
  </si>
  <si>
    <t>27565788</t>
  </si>
  <si>
    <t>МУП "Смирныховское жилищно-коммунальное хозяйство"</t>
  </si>
  <si>
    <t>6514008993</t>
  </si>
  <si>
    <t>651401001</t>
  </si>
  <si>
    <t>28821216</t>
  </si>
  <si>
    <t>МУП "Тепло"</t>
  </si>
  <si>
    <t>6504011820</t>
  </si>
  <si>
    <t>27869146</t>
  </si>
  <si>
    <t>6509021565</t>
  </si>
  <si>
    <t>21-03-2012 00:00:00</t>
  </si>
  <si>
    <t>27869204</t>
  </si>
  <si>
    <t>МУП "Тепловые сети"</t>
  </si>
  <si>
    <t>6509021741</t>
  </si>
  <si>
    <t>30-07-2012 00:00:00</t>
  </si>
  <si>
    <t>30835908</t>
  </si>
  <si>
    <t>МУП "Теплоснабжающая компания"</t>
  </si>
  <si>
    <t>6504016593</t>
  </si>
  <si>
    <t>28422353</t>
  </si>
  <si>
    <t>МУП "Теплотехник-1"</t>
  </si>
  <si>
    <t>6507014033</t>
  </si>
  <si>
    <t>30854597</t>
  </si>
  <si>
    <t>МУП "Транспорт"</t>
  </si>
  <si>
    <t>6502006053</t>
  </si>
  <si>
    <t>650201001</t>
  </si>
  <si>
    <t>28954425</t>
  </si>
  <si>
    <t>МУП "Шахтёрсккомсервис"</t>
  </si>
  <si>
    <t>6508009886</t>
  </si>
  <si>
    <t>25-12-2014 00:00:00</t>
  </si>
  <si>
    <t>28855778</t>
  </si>
  <si>
    <t>МУП «Вахрушевская коммунальная компания»</t>
  </si>
  <si>
    <t>6507014330</t>
  </si>
  <si>
    <t>26-08-2014 00:00:00</t>
  </si>
  <si>
    <t>30354012</t>
  </si>
  <si>
    <t>МУП «ЖКХ УГО»</t>
  </si>
  <si>
    <t>6508009910</t>
  </si>
  <si>
    <t>06-04-2015 00:00:00</t>
  </si>
  <si>
    <t>26604420</t>
  </si>
  <si>
    <t>Муниципальное казенное предприятие "Жилищно-коммунальное хозяйство" муниципального образования городской округ "Охинский"</t>
  </si>
  <si>
    <t>6506907877</t>
  </si>
  <si>
    <t>26-05-2010 00:00:00</t>
  </si>
  <si>
    <t>26374988</t>
  </si>
  <si>
    <t>Муниципальное унитарное предприятие "Невельские коммунальные сети"</t>
  </si>
  <si>
    <t>6505011534</t>
  </si>
  <si>
    <t>650501001</t>
  </si>
  <si>
    <t>27614786</t>
  </si>
  <si>
    <t>Муниципальное унитарное предприятие "Тепловик"</t>
  </si>
  <si>
    <t>6517007814</t>
  </si>
  <si>
    <t>26463480</t>
  </si>
  <si>
    <t>Муниципальное унитарное предприятие "Центральная районная котельная"</t>
  </si>
  <si>
    <t>6504002449</t>
  </si>
  <si>
    <t>26375030</t>
  </si>
  <si>
    <t>Муниципальное унитарное предприятие "Шикотанское жилищное управление"</t>
  </si>
  <si>
    <t>6518007990</t>
  </si>
  <si>
    <t>26463457</t>
  </si>
  <si>
    <t>Ногликское государственное унитарное предприятие Сахалинской области  "Дорожник"</t>
  </si>
  <si>
    <t>6513001642</t>
  </si>
  <si>
    <t>27570232</t>
  </si>
  <si>
    <t>ОАО "РЖД"</t>
  </si>
  <si>
    <t>272102001</t>
  </si>
  <si>
    <t>28016102</t>
  </si>
  <si>
    <t>ОГАУ "ЦМСР "Чайка"</t>
  </si>
  <si>
    <t>6509005644</t>
  </si>
  <si>
    <t>29-12-2007 00:00:00</t>
  </si>
  <si>
    <t>27682638</t>
  </si>
  <si>
    <t>ООО "Альянс"</t>
  </si>
  <si>
    <t>6512004626</t>
  </si>
  <si>
    <t>07-12-2011 00:00:00</t>
  </si>
  <si>
    <t>28814654</t>
  </si>
  <si>
    <t>ООО "Быков тепло"</t>
  </si>
  <si>
    <t>6503014385</t>
  </si>
  <si>
    <t>650301001</t>
  </si>
  <si>
    <t>25-04-2014 00:00:00</t>
  </si>
  <si>
    <t>28262947</t>
  </si>
  <si>
    <t>ООО "ДальЭнергоИнвест"</t>
  </si>
  <si>
    <t>6501246670</t>
  </si>
  <si>
    <t>30913496</t>
  </si>
  <si>
    <t>650124667</t>
  </si>
  <si>
    <t>26460728</t>
  </si>
  <si>
    <t>ООО "ЖКХ БОШНЯКОВО"</t>
  </si>
  <si>
    <t>6508008339</t>
  </si>
  <si>
    <t>26604324</t>
  </si>
  <si>
    <t>ООО "ЖилКомСервис"</t>
  </si>
  <si>
    <t>6501240237</t>
  </si>
  <si>
    <t>15-09-2010 00:00:00</t>
  </si>
  <si>
    <t>28422667</t>
  </si>
  <si>
    <t>ООО "Жилсервис-1"</t>
  </si>
  <si>
    <t>6503013631</t>
  </si>
  <si>
    <t>31529508</t>
  </si>
  <si>
    <t>ООО "ИКС - КОРСАКОВ"</t>
  </si>
  <si>
    <t>6504023960</t>
  </si>
  <si>
    <t>31533699</t>
  </si>
  <si>
    <t>ООО "ИКС Южно-Сахалинск"</t>
  </si>
  <si>
    <t>6501307675</t>
  </si>
  <si>
    <t>31529065</t>
  </si>
  <si>
    <t>ООО "ИКС-Макаров Тепло"</t>
  </si>
  <si>
    <t>6512005242</t>
  </si>
  <si>
    <t>30855612</t>
  </si>
  <si>
    <t>ООО "ИКС-Макаров"</t>
  </si>
  <si>
    <t>6507014724</t>
  </si>
  <si>
    <t>27568343</t>
  </si>
  <si>
    <t>ООО "КОМУС-1"</t>
  </si>
  <si>
    <t>6516008357</t>
  </si>
  <si>
    <t>13-05-2011 00:00:00</t>
  </si>
  <si>
    <t>31448375</t>
  </si>
  <si>
    <t>ООО "КОМУС-2"</t>
  </si>
  <si>
    <t>6516008332</t>
  </si>
  <si>
    <t>26545289</t>
  </si>
  <si>
    <t>ООО "ННК-Сахалинморнефтегаз"</t>
  </si>
  <si>
    <t>6501163102</t>
  </si>
  <si>
    <t>650150001</t>
  </si>
  <si>
    <t>26843874</t>
  </si>
  <si>
    <t>ООО "Пихтовое"</t>
  </si>
  <si>
    <t>6504046823</t>
  </si>
  <si>
    <t>30835919</t>
  </si>
  <si>
    <t>ООО "РСО "Малиновка"</t>
  </si>
  <si>
    <t>6501282300</t>
  </si>
  <si>
    <t>31335267</t>
  </si>
  <si>
    <t>ООО "САХАЛИН-ИСТ"</t>
  </si>
  <si>
    <t>6501166777</t>
  </si>
  <si>
    <t>28-02-2006 00:00:00</t>
  </si>
  <si>
    <t>31716249</t>
  </si>
  <si>
    <t>ООО "СТК"</t>
  </si>
  <si>
    <t>6500006435</t>
  </si>
  <si>
    <t>650001001</t>
  </si>
  <si>
    <t>26575191</t>
  </si>
  <si>
    <t>ООО "Сити Молл Сервис"</t>
  </si>
  <si>
    <t>6501211998</t>
  </si>
  <si>
    <t>19-10-2009 00:00:00</t>
  </si>
  <si>
    <t>26463957</t>
  </si>
  <si>
    <t>ООО "Тепло"</t>
  </si>
  <si>
    <t>6509018467</t>
  </si>
  <si>
    <t>31617981</t>
  </si>
  <si>
    <t>ООО "Управляющая компания кунашир"</t>
  </si>
  <si>
    <t>6500002342</t>
  </si>
  <si>
    <t>26318781</t>
  </si>
  <si>
    <t>ООО "Энергетик"</t>
  </si>
  <si>
    <t>6502004585</t>
  </si>
  <si>
    <t>26571249</t>
  </si>
  <si>
    <t>ООО "Энергетик" с. Смирных</t>
  </si>
  <si>
    <t>6514008792</t>
  </si>
  <si>
    <t>17-09-2010 00:00:00</t>
  </si>
  <si>
    <t>31687477</t>
  </si>
  <si>
    <t>31504394</t>
  </si>
  <si>
    <t>ООО «ЮК ВДК»</t>
  </si>
  <si>
    <t>6518008673</t>
  </si>
  <si>
    <t>31513630</t>
  </si>
  <si>
    <t>ООО КК "Зеленая Планета"</t>
  </si>
  <si>
    <t>6501303871</t>
  </si>
  <si>
    <t>12-04-2019 00:00:00</t>
  </si>
  <si>
    <t>31632870</t>
  </si>
  <si>
    <t>Обособленное подразделение "Россети Мобильные ГТЭС Итуруп" АО "Россети Мобильные ГТЭС"</t>
  </si>
  <si>
    <t>7706627050</t>
  </si>
  <si>
    <t>651845003</t>
  </si>
  <si>
    <t>31456033</t>
  </si>
  <si>
    <t>Обособленное подразделение "Россети Мобильные ГТЭС Кунашир АО "Россети Мобильные ГТЭС"</t>
  </si>
  <si>
    <t>651845002</t>
  </si>
  <si>
    <t>26463949</t>
  </si>
  <si>
    <t>Общество с ограниченной ответственностью "Искра"</t>
  </si>
  <si>
    <t>6509018509</t>
  </si>
  <si>
    <t>26462650</t>
  </si>
  <si>
    <t>Общество с ограниченной ответственностью "Сахалинская Газовая Энергетическая компания"</t>
  </si>
  <si>
    <t>6501178250</t>
  </si>
  <si>
    <t>22-12-2009 00:00:00</t>
  </si>
  <si>
    <t>26374980</t>
  </si>
  <si>
    <t>Общество с ограниченной ответственностью "Стародубское жилищно-коммунальное хозяйство"</t>
  </si>
  <si>
    <t>6503011962</t>
  </si>
  <si>
    <t>26802128</t>
  </si>
  <si>
    <t>Общество с ограниченной ответственностью "Теплосеть"</t>
  </si>
  <si>
    <t>6502005606</t>
  </si>
  <si>
    <t>21-03-2011 00:00:00</t>
  </si>
  <si>
    <t>26575217</t>
  </si>
  <si>
    <t>Общество с ограниченной ответственностью "Теплотехник"</t>
  </si>
  <si>
    <t>6502005395</t>
  </si>
  <si>
    <t>29-01-2010 00:00:00</t>
  </si>
  <si>
    <t>26476696</t>
  </si>
  <si>
    <t>Общество с ограниченной ответственностью "Шикотанский водоканал"</t>
  </si>
  <si>
    <t>6518008070</t>
  </si>
  <si>
    <t>23-09-2009 00:00:00</t>
  </si>
  <si>
    <t>26318777</t>
  </si>
  <si>
    <t>ПАО "Сахалинэнерго"</t>
  </si>
  <si>
    <t>6500000024</t>
  </si>
  <si>
    <t>26464008</t>
  </si>
  <si>
    <t>ПАО "ХМТП"</t>
  </si>
  <si>
    <t>6509001181</t>
  </si>
  <si>
    <t>РЕГИОНАЛЬНАЯ ЭНЕРГЕТИЧЕСКАЯ КОМИССИЯ САХАЛИНСКОЙ ОБЛАСТИ</t>
  </si>
  <si>
    <t>6501073032</t>
  </si>
  <si>
    <t>26463395</t>
  </si>
  <si>
    <t>СПК «РК «Дружба»</t>
  </si>
  <si>
    <t>6507000094</t>
  </si>
  <si>
    <t>30903763</t>
  </si>
  <si>
    <t>ФГБУ "ЦЖКУ" МИНОБОРОНЫ РОССИИ</t>
  </si>
  <si>
    <t>7729314745</t>
  </si>
  <si>
    <t>770101001</t>
  </si>
  <si>
    <t>30926365</t>
  </si>
  <si>
    <t>ФГБУ «ЦЖКУ» МО РФ (Филиал ФГБУ «ЦЖКУ» МО РФ по ВВО)</t>
  </si>
  <si>
    <t>272443001</t>
  </si>
  <si>
    <t>20-03-2017 00:00:00</t>
  </si>
  <si>
    <t>26761819</t>
  </si>
  <si>
    <t>Филиал ОАО "РЭУ "Хабаровский"</t>
  </si>
  <si>
    <t>7714783092</t>
  </si>
  <si>
    <t>272343002</t>
  </si>
  <si>
    <t>26374971</t>
  </si>
  <si>
    <t>АО "Дальморнефтегеофизика"</t>
  </si>
  <si>
    <t>6501146467</t>
  </si>
  <si>
    <t>26651340</t>
  </si>
  <si>
    <t>ГБУ "Кировский дом-интернат для умственно отсталых детей"</t>
  </si>
  <si>
    <t>6517001763</t>
  </si>
  <si>
    <t>30479413</t>
  </si>
  <si>
    <t>МКП "Городской водоканал"</t>
  </si>
  <si>
    <t>6501281770</t>
  </si>
  <si>
    <t>28464122</t>
  </si>
  <si>
    <t>МКП СК ГО «Автодор»</t>
  </si>
  <si>
    <t>6515003268</t>
  </si>
  <si>
    <t>11-01-2013 00:00:00</t>
  </si>
  <si>
    <t>26375028</t>
  </si>
  <si>
    <t>МП "Водоканал"</t>
  </si>
  <si>
    <t>651601000</t>
  </si>
  <si>
    <t>30827075</t>
  </si>
  <si>
    <t>МУП  "Горнозаводская управляющая компания"</t>
  </si>
  <si>
    <t>6505010932</t>
  </si>
  <si>
    <t>30479407</t>
  </si>
  <si>
    <t>МУП "Благоустройство" МО "Томаринский городской округ"</t>
  </si>
  <si>
    <t>6516008685</t>
  </si>
  <si>
    <t>30983249</t>
  </si>
  <si>
    <t>6509024319</t>
  </si>
  <si>
    <t>27870922</t>
  </si>
  <si>
    <t>МУП "Водоконал" Корсаковского городского округа</t>
  </si>
  <si>
    <t>6504009660</t>
  </si>
  <si>
    <t>24-08-2012 00:00:00</t>
  </si>
  <si>
    <t>31701776</t>
  </si>
  <si>
    <t>ООО "АНИВСКИЕ КОММУНАЛЬНЫЕ СИСТЕМЫ"</t>
  </si>
  <si>
    <t>6500012781</t>
  </si>
  <si>
    <t>26464552</t>
  </si>
  <si>
    <t>ООО "ВОДОКАНАЛРЕМСТРОЙ"</t>
  </si>
  <si>
    <t>6502005148</t>
  </si>
  <si>
    <t>21-01-2009 00:00:00</t>
  </si>
  <si>
    <t>30394649</t>
  </si>
  <si>
    <t>ООО "Водоканал" Макаровского городского округа</t>
  </si>
  <si>
    <t>6512004834</t>
  </si>
  <si>
    <t>31642678</t>
  </si>
  <si>
    <t>ООО "Водоканал-Макаров"</t>
  </si>
  <si>
    <t>6500004149</t>
  </si>
  <si>
    <t>26761349</t>
  </si>
  <si>
    <t>ООО "ЖКК"</t>
  </si>
  <si>
    <t>6501179504</t>
  </si>
  <si>
    <t>26375011</t>
  </si>
  <si>
    <t>ООО "Комфорт" с.Яблочное</t>
  </si>
  <si>
    <t>6509018474</t>
  </si>
  <si>
    <t>28821196</t>
  </si>
  <si>
    <t>ООО "Ника плюс"</t>
  </si>
  <si>
    <t>6509022304</t>
  </si>
  <si>
    <t>31534660</t>
  </si>
  <si>
    <t>ООО "РВК-Сахалин"</t>
  </si>
  <si>
    <t>7730263950</t>
  </si>
  <si>
    <t>30858988</t>
  </si>
  <si>
    <t>ООО "РСО "Универсал"</t>
  </si>
  <si>
    <t>6504017773</t>
  </si>
  <si>
    <t>24-11-2016 00:00:00</t>
  </si>
  <si>
    <t>28143928</t>
  </si>
  <si>
    <t>ООО "Техвод"</t>
  </si>
  <si>
    <t>6506908687</t>
  </si>
  <si>
    <t>31023013</t>
  </si>
  <si>
    <t>ООО "УК "Серебряный бор"</t>
  </si>
  <si>
    <t>6501290326</t>
  </si>
  <si>
    <t>27870945</t>
  </si>
  <si>
    <t>ООО Управляющая компания "Жилищно-коммунальное хозяйство Дальнее"</t>
  </si>
  <si>
    <t>6501243020</t>
  </si>
  <si>
    <t>13-12-2011 00:00:00</t>
  </si>
  <si>
    <t>26604633</t>
  </si>
  <si>
    <t>ООО"Холмский водоканал"</t>
  </si>
  <si>
    <t>6509020226</t>
  </si>
  <si>
    <t>28077620</t>
  </si>
  <si>
    <t>Управление Федеральной службы исполнения наказаний по Сахалинской области</t>
  </si>
  <si>
    <t>6501026201</t>
  </si>
  <si>
    <t>28253020</t>
  </si>
  <si>
    <t>ФКУ ИК-1 УФСИН России по Сахалинской области</t>
  </si>
  <si>
    <t>6501021316</t>
  </si>
  <si>
    <t>28427665</t>
  </si>
  <si>
    <t>ФКУ ИК-2 УФСИН России по Сахалинской области</t>
  </si>
  <si>
    <t>6514000803</t>
  </si>
  <si>
    <t>31698214</t>
  </si>
  <si>
    <t>АО "СОВХОЗ "ТЕПЛИЧНЫЙ"</t>
  </si>
  <si>
    <t>6501254511</t>
  </si>
  <si>
    <t>28965887</t>
  </si>
  <si>
    <t>АО "Управление по обращению с отходами"</t>
  </si>
  <si>
    <t>6501269229</t>
  </si>
  <si>
    <t>29-01-2015 00:00:00</t>
  </si>
  <si>
    <t>31698263</t>
  </si>
  <si>
    <t>ИП Балышев Сергей Васильевич</t>
  </si>
  <si>
    <t>650104912994</t>
  </si>
  <si>
    <t>31698204</t>
  </si>
  <si>
    <t>ИП Тё Алексей Мансекович</t>
  </si>
  <si>
    <t>650115428200</t>
  </si>
  <si>
    <t>26770666</t>
  </si>
  <si>
    <t>МАУ "Управление городским хозяйством"</t>
  </si>
  <si>
    <t>6503012701</t>
  </si>
  <si>
    <t>31698231</t>
  </si>
  <si>
    <t>МБУ "ЗЕЛЕНЫЙ ГОРОД"</t>
  </si>
  <si>
    <t>6501238735</t>
  </si>
  <si>
    <t>28451021</t>
  </si>
  <si>
    <t>МБУ Анивское "Благоустройство"</t>
  </si>
  <si>
    <t>6501238534</t>
  </si>
  <si>
    <t>651001001</t>
  </si>
  <si>
    <t>30854593</t>
  </si>
  <si>
    <t>МУП "Жилищная Коммунальная служба"</t>
  </si>
  <si>
    <t>6517007204</t>
  </si>
  <si>
    <t>31698227</t>
  </si>
  <si>
    <t>МУП "НЕВЕЛЬСКОЕ ДРСУ"</t>
  </si>
  <si>
    <t>6505008429</t>
  </si>
  <si>
    <t>31698014</t>
  </si>
  <si>
    <t>МУП "УОН"</t>
  </si>
  <si>
    <t>6513002318</t>
  </si>
  <si>
    <t>31267538</t>
  </si>
  <si>
    <t>Муниципальное унитарное предприятие "Строитель" муниципального образования "Макаровский городской округ"</t>
  </si>
  <si>
    <t>6512002107</t>
  </si>
  <si>
    <t>06-11-2002 00:00:00</t>
  </si>
  <si>
    <t>31698268</t>
  </si>
  <si>
    <t>ООО "АЙЛЭНД ДЖЕНЕРАЛ СЕРВИСЕС"</t>
  </si>
  <si>
    <t>6501145495</t>
  </si>
  <si>
    <t>31698274</t>
  </si>
  <si>
    <t>ООО "АЛТАОЛ"</t>
  </si>
  <si>
    <t>6511005786</t>
  </si>
  <si>
    <t>26382650</t>
  </si>
  <si>
    <t>ООО "Альтаир"</t>
  </si>
  <si>
    <t>6506011086</t>
  </si>
  <si>
    <t>26382648</t>
  </si>
  <si>
    <t>ООО "ВЕГА"</t>
  </si>
  <si>
    <t>6503012123</t>
  </si>
  <si>
    <t>31698242</t>
  </si>
  <si>
    <t>ООО "ГРИН ЭНЕРДЖИ"</t>
  </si>
  <si>
    <t>6501289680</t>
  </si>
  <si>
    <t>28817375</t>
  </si>
  <si>
    <t>ООО "Гарантия"</t>
  </si>
  <si>
    <t>6518007817</t>
  </si>
  <si>
    <t>651801008</t>
  </si>
  <si>
    <t>26460819</t>
  </si>
  <si>
    <t>ООО "Новый город"</t>
  </si>
  <si>
    <t>6504046277</t>
  </si>
  <si>
    <t>31698222</t>
  </si>
  <si>
    <t>ООО "ПКМО"</t>
  </si>
  <si>
    <t>6507015823</t>
  </si>
  <si>
    <t>31698209</t>
  </si>
  <si>
    <t>ООО "САХЭКОТРАНС"</t>
  </si>
  <si>
    <t>6506011907</t>
  </si>
  <si>
    <t>31266462</t>
  </si>
  <si>
    <t>ООО "ЦПУ"</t>
  </si>
  <si>
    <t>6501276057</t>
  </si>
  <si>
    <t>23-07-2015 00:00:00</t>
  </si>
  <si>
    <t>31310346</t>
  </si>
  <si>
    <t>ООО "Чистый город"</t>
  </si>
  <si>
    <t>6501150079</t>
  </si>
  <si>
    <t>31698053</t>
  </si>
  <si>
    <t>ООО "ЭКО-ЛОГИСТИК"</t>
  </si>
  <si>
    <t>6501313446</t>
  </si>
  <si>
    <t>31715903</t>
  </si>
  <si>
    <t>ООО "ЭКОМИР-ИТУРУП"</t>
  </si>
  <si>
    <t>6500003787</t>
  </si>
  <si>
    <t>31715899</t>
  </si>
  <si>
    <t>ООО "ЭКОМИР-КУНАШИР"</t>
  </si>
  <si>
    <t>6500003829</t>
  </si>
  <si>
    <t>26382645</t>
  </si>
  <si>
    <t>ООО "ЭКОСИТИ"</t>
  </si>
  <si>
    <t>6501167690</t>
  </si>
  <si>
    <t>31698039</t>
  </si>
  <si>
    <t>ООО "ЭКОШЕЛЬФ"</t>
  </si>
  <si>
    <t>6501091715</t>
  </si>
  <si>
    <t>31698218</t>
  </si>
  <si>
    <t>ООО"РЕСУРС-ПЛЮС"</t>
  </si>
  <si>
    <t>6502005540</t>
  </si>
  <si>
    <t>NSRF</t>
  </si>
  <si>
    <t>MR_NAME</t>
  </si>
  <si>
    <t>OKTMO_MR_NAME</t>
  </si>
  <si>
    <t>MO_NAME</t>
  </si>
  <si>
    <t>OKTMO_NAME</t>
  </si>
  <si>
    <t>TYPE</t>
  </si>
  <si>
    <t>MR_ID</t>
  </si>
  <si>
    <t>Анивский городской округ</t>
  </si>
  <si>
    <t>64708000</t>
  </si>
  <si>
    <t>городской округ</t>
  </si>
  <si>
    <t>Корсаковский городской округ</t>
  </si>
  <si>
    <t>64716000</t>
  </si>
  <si>
    <t>Курильский городской округ</t>
  </si>
  <si>
    <t>64720000</t>
  </si>
  <si>
    <t>Макаровский городской округ</t>
  </si>
  <si>
    <t>64724000</t>
  </si>
  <si>
    <t>Невельский городской округ</t>
  </si>
  <si>
    <t>64728000</t>
  </si>
  <si>
    <t>Северо-Курильский городской округ</t>
  </si>
  <si>
    <t>64743000</t>
  </si>
  <si>
    <t>Томаринский городской округ</t>
  </si>
  <si>
    <t>64748000</t>
  </si>
  <si>
    <t>Тымовский городской округ</t>
  </si>
  <si>
    <t>64750000</t>
  </si>
  <si>
    <t>Углегорский муниципальный район</t>
  </si>
  <si>
    <t>64652000</t>
  </si>
  <si>
    <t>Бошняковское сельское поселение</t>
  </si>
  <si>
    <t>64652402</t>
  </si>
  <si>
    <t>сельское поселение</t>
  </si>
  <si>
    <t>муниципальный район</t>
  </si>
  <si>
    <t>Углегорское городское поселение</t>
  </si>
  <si>
    <t>64652101</t>
  </si>
  <si>
    <t>городское поселение, в состав которого входит город</t>
  </si>
  <si>
    <t>Шахтёрское городское поселение</t>
  </si>
  <si>
    <t>64652110</t>
  </si>
  <si>
    <t>Холмский городской округ</t>
  </si>
  <si>
    <t>64754000</t>
  </si>
  <si>
    <t>Южно-Курильский городской округ</t>
  </si>
  <si>
    <t>64756000</t>
  </si>
  <si>
    <t>городской округ "Александровск-Сахалинский район"</t>
  </si>
  <si>
    <t>64704000</t>
  </si>
  <si>
    <t>городской округ "Долинский"</t>
  </si>
  <si>
    <t>64712000</t>
  </si>
  <si>
    <t>городской округ "Ногликский"</t>
  </si>
  <si>
    <t>64732000</t>
  </si>
  <si>
    <t>городской округ "Охинский"</t>
  </si>
  <si>
    <t>64736000</t>
  </si>
  <si>
    <t>городской округ "Поронайский"</t>
  </si>
  <si>
    <t>64740000</t>
  </si>
  <si>
    <t>городской округ "Смирныховский"</t>
  </si>
  <si>
    <t>64746000</t>
  </si>
  <si>
    <t>городской округ "Углегорский"</t>
  </si>
  <si>
    <t>64752000</t>
  </si>
  <si>
    <t>NUMBER_POINT</t>
  </si>
  <si>
    <t>L_NAME</t>
  </si>
  <si>
    <t>L_START_DATE</t>
  </si>
  <si>
    <t>L_END_DATE</t>
  </si>
  <si>
    <t>Инвестиционная программа № 12@ от 21.10.2022 ПАО "Сахалинэнерго" в сфере теплоснабжения по модернизации, развитию и техническому перевооружению имущественного комплекса, на территории городского округа Южно-Сахалинск на 2022 год</t>
  </si>
  <si>
    <t>21.10.2022</t>
  </si>
  <si>
    <t>31.12.2022</t>
  </si>
  <si>
    <t>Инвестиционная программа № 12@ от 21.10.2022 ПАО "Сахалинэнерго" в сфере теплоснабжения по модернизации, развитию и техническому перевооружению имущественного комплекса, на территории городского округа Южно-Сахалинск на 2022-2024 годы</t>
  </si>
  <si>
    <t>31.12.2024</t>
  </si>
  <si>
    <t>Инвестиционная программа № 12@ от 21.10.2022 ПАО "Сахалинэнерго" в сфере теплоснабжения по модернизации, реконструкции и техническому перевооружению имущественного комплекса, на территории городского округа Южно-Сахалинск на 2022-2024 годы</t>
  </si>
  <si>
    <t>Инвестиционная программа № 13 от 05.12.2018 ПАО "Сахалинэнерго" в сфере теплоснабжения по модернизации и развитию объектов, на территории городского округа Южно-Сахалинск на 2019-2023 годы</t>
  </si>
  <si>
    <t>01.01.2019</t>
  </si>
  <si>
    <t>31.12.2023</t>
  </si>
  <si>
    <t>Инвестиционная программа № 13@ от 05.12.2018 ПАО "Сахалинэнерго" в сфере теплоснабжения по модернизации, реконструкции и техническому перевооружению объектов, на территории городского округа Южно-Сахалинск на 2019-2023 годы</t>
  </si>
  <si>
    <t>Инвестиционная программа № 13@ от 24.12.2018 ПАО "Сахалинэнерго" в сфере теплоснабжения по модернизации и развитию объектов, на территории городского округа Южно-Сахалинск на 2019-2023 годы</t>
  </si>
  <si>
    <t>Инвестиционная программа № 22@ от 16.12.2021 ПАО "Сахалинэнерго" в сфере теплоснабжения по модернизации, реконструкции и техническому перевооружению имущественного комплекса, на территории городского округа Южно-Сахалинск на 2022-2024 годы</t>
  </si>
  <si>
    <t>01.01.2022</t>
  </si>
  <si>
    <t>Инвестиционная программа № 26 от 20.12.2019 ПАО "Сахалинэнерго" в сфере теплоснабжения по модернизации, реконструкции и техническому перевооружению объектов, на территории городского округа Южно-Сахалинск на 2020-2024 годы</t>
  </si>
  <si>
    <t>01.01.2020</t>
  </si>
  <si>
    <t>Инвестиционная программа № 26@ от 19.12.2019 ПАО "Сахалинэнерго" в сфере теплоснабжения по модернизации, реконструкции и техническому перевооружению объектов, на территории городского округа Южно-Сахалинск на 2020-2024 годы</t>
  </si>
  <si>
    <t>Инвестиционная программа № 3.10-32-п от 14.10.2022 МУП "Смирныховское жилищно-коммунальное хозяйство" в сфере теплоснабжения по модернизации, развитию и техническому перевооружению котельных, на территории городского округа Смирныховский на 2023-2025 годы</t>
  </si>
  <si>
    <t>01.01.2023</t>
  </si>
  <si>
    <t>31.12.2025</t>
  </si>
  <si>
    <t>Инвестиционная программа № 3.10-40-п от 20.11.2020 Муниципальное унитарное предприятие "Тепловик" в сфере теплоснабжения по строительству газовых котельных, на территории городского округа Тымовский на 2021-2023 годы</t>
  </si>
  <si>
    <t>01.01.2021</t>
  </si>
  <si>
    <t>Инвестиционная программа № 3.10-78-П от 30.10.2018 Акционерное общество "Сахалинская коммунальная компания" в сфере теплоснабжения по строительству, реконструкции и модернизации тепловых сетей и системы централизованного теплоснабжения на 2019-2023 годы</t>
  </si>
  <si>
    <t>Инвестиционная программа № 56 от 26.10.2023 Акционерное общество "Охинская ТЭЦ" в сфере теплоснабжения по модернизации, реконструкции и техническому перевооружению имущественного комплекса, на территории городского округа Охинский на 2024-2028 годы</t>
  </si>
  <si>
    <t>01.01.2024</t>
  </si>
  <si>
    <t>31.12.2028</t>
  </si>
  <si>
    <t>Инвестиционная программа № 69 от 29.10.2018 Акционерное общество "Охинская ТЭЦ" в сфере теплоснабжения по модернизации, реконструкции и техническому перевооружению объектов, на территории городского округа Охинский на 2019-2023 годы</t>
  </si>
  <si>
    <t>Инвестиционная программа № 86 от 28.10.2019 Акционерное общество "Охинская ТЭЦ" в сфере теплоснабжения по модернизации, реконструкции и техническому перевооружению имущественного комплекса, на территории городского округа Охинский на 2020-2024 годы</t>
  </si>
  <si>
    <t>Инвестиционная программа № 9@ от 09.12.2020 ПАО "Сахалинэнерго" в сфере теплоснабжения по модернизации и развитию имущественного комплекса, на территории городского округа Южно-Сахалинск на 2021-2024 годы</t>
  </si>
  <si>
    <t>Инвестиционная программа АО "Охинская ТЭЦ" в сфере теплоснабжения на 2018-2020 годы</t>
  </si>
  <si>
    <t>01.01.2018</t>
  </si>
  <si>
    <t>31.12.2020</t>
  </si>
  <si>
    <t>Инвестиционная программа от 02.08.2023 Акционерное общество "Сахалинская коммунальная компания"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Южно-Сахалинск на 2024-2028 годы</t>
  </si>
  <si>
    <t>Инвестиционная программа от 08.06.2023 Муниципальное унитарное предприятие "Невельские коммунальные сети" в сфере теплоснабжения по строительству централизованных систем теплоснабжения, на территории городского округа Невельский на 2024-2026 годы</t>
  </si>
  <si>
    <t>31.12.2026</t>
  </si>
  <si>
    <t>Инвестиционная программа от 12.01.2022 ООО "ИКС - КОРСАКОВ" в сфере теплоснабжения по модернизации систем теплоснабжения, на территории городского округа Корсаковский на 2022-2045 годы</t>
  </si>
  <si>
    <t>12.01.2022</t>
  </si>
  <si>
    <t>31.12.2045</t>
  </si>
  <si>
    <t>Инвестиционная программа от 12.01.2022 ООО "ИКС Южно-Сахалинск" в сфере теплоснабжения по модернизации объектов, на территории городского округа Долинский на 2022-2046 годы</t>
  </si>
  <si>
    <t>31.12.2046</t>
  </si>
  <si>
    <t>Инвестиционная программа от 12.01.2022 ООО "ИКС Южно-Сахалинск" в сфере теплоснабжения по модернизации систем теплоснабжения, на территории городского округа Долинский на 2022-2046 годы</t>
  </si>
  <si>
    <t>Инвестиционная программа от 16.11.2023 ООО «ЮК ВДК» в сфере теплоснабжения по строительству, реконструкции и модернизации централизованных систем теплоснабжения, на территории городского округа Южно-Курильский на 2023-2026 годы</t>
  </si>
  <si>
    <t>16.11.2023</t>
  </si>
  <si>
    <t>25.04.2026</t>
  </si>
  <si>
    <t>Инвестиционная программа от 16.11.2023 в сфере теплоснабжения по строительству, реконструкции и модернизации централизованных систем теплоснабжения, на территории городского округа Южно-Курильский на 2023-2026 годы</t>
  </si>
  <si>
    <t>Инвестиционная программа от 20.06.2023 МУП "Поронайская коммунальная компания-1" в сфере теплоснабжения по реконструкции и модернизации существующих объектов тепловых сетей, на территории городского округа Поронайский на 2024-2025 годы</t>
  </si>
  <si>
    <t>Инвестиционная программа от 21.10.2022 ПАО "Сахалинэнерго" в сфере теплоснабжения по модернизации, реконструкции и техническому перевооружению имущественного комплекса, на территории городского округа Южно-Сахалинск на 2022-2027 годы</t>
  </si>
  <si>
    <t>31.12.2027</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</si>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</sst>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4344">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4"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171" fontId="0" fillId="10" borderId="3"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2" fillId="0" borderId="10"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0" xfId="0" applyNumberFormat="1" applyFont="1" applyAlignment="1">
      <alignment horizontal="center"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0" fillId="0" borderId="0" xfId="0" applyNumberFormat="1" applyFont="1" applyAlignment="1">
      <alignment vertical="center"/>
    </xf>
    <xf numFmtId="0" fontId="0" fillId="0" borderId="0" xfId="0" applyNumberFormat="1" applyFont="1" applyAlignment="1">
      <alignmen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0" fontId="0" fillId="0" borderId="0" xfId="0" applyNumberFormat="1" applyFont="1" applyAlignment="1">
      <alignment vertical="center"/>
    </xf>
    <xf numFmtId="49" fontId="2" fillId="7" borderId="3" xfId="0" applyNumberFormat="1" applyFont="1" applyFill="1" applyBorder="1" applyAlignment="1" applyProtection="1">
      <alignment horizontal="left" vertical="center" wrapText="1"/>
      <protection locked="0"/>
    </xf>
    <xf numFmtId="49" fontId="2" fillId="0" borderId="3" xfId="0" applyNumberFormat="1" applyFont="1" applyBorder="1" applyAlignment="1">
      <alignment horizontal="center" vertical="center" wrapText="1"/>
    </xf>
    <xf numFmtId="49" fontId="0" fillId="6" borderId="3" xfId="0" applyNumberFormat="1" applyFont="1" applyFill="1" applyBorder="1" applyAlignment="1">
      <alignment horizontal="lef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4" fontId="2" fillId="7" borderId="3" xfId="0" applyNumberFormat="1" applyFont="1" applyFill="1" applyBorder="1" applyAlignment="1" applyProtection="1">
      <alignment horizontal="right" vertical="center" wrapText="1"/>
      <protection locked="0"/>
    </xf>
    <xf numFmtId="4" fontId="2" fillId="0" borderId="3" xfId="0" applyNumberFormat="1" applyFont="1" applyBorder="1" applyAlignment="1">
      <alignment horizontal="right" vertical="center" wrapText="1"/>
    </xf>
    <xf numFmtId="169" fontId="2" fillId="7" borderId="3" xfId="0" applyNumberFormat="1" applyFont="1" applyFill="1" applyBorder="1" applyAlignment="1" applyProtection="1">
      <alignment horizontal="right" vertical="center" wrapText="1"/>
      <protection locked="0"/>
    </xf>
    <xf numFmtId="4" fontId="20" fillId="0" borderId="3" xfId="0" applyNumberFormat="1" applyFont="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0" fontId="20" fillId="0" borderId="0" xfId="0" applyNumberFormat="1" applyFont="1" applyAlignment="1">
      <alignment vertical="center" wrapText="1"/>
    </xf>
    <xf numFmtId="49" fontId="20" fillId="0" borderId="10"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0" fontId="22" fillId="6" borderId="0" xfId="0" applyNumberFormat="1" applyFont="1" applyFill="1" applyAlignment="1">
      <alignment horizontal="center"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0" fontId="20" fillId="0" borderId="0" xfId="0" applyNumberFormat="1" applyFont="1" applyAlignment="1">
      <alignmen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0" fillId="0" borderId="0" xfId="0" applyNumberFormat="1" applyFont="1" applyAlignment="1">
      <alignment vertical="center" wrapText="1"/>
    </xf>
    <xf numFmtId="49" fontId="64"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2"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49" fontId="2" fillId="0" borderId="0" xfId="0" applyNumberFormat="1" applyFont="1">
      <alignment vertical="top"/>
    </xf>
    <xf numFmtId="49" fontId="2" fillId="0" borderId="0" xfId="0" applyNumberFormat="1" applyFont="1" applyAlignment="1">
      <alignment vertical="top" wrapText="1"/>
    </xf>
    <xf numFmtId="171" fontId="0" fillId="10" borderId="4" xfId="0" applyNumberFormat="1" applyFont="1" applyFill="1" applyBorder="1" applyAlignment="1" applyProtection="1">
      <alignment horizontal="left" vertical="center" wrapText="1"/>
      <protection locked="0"/>
    </xf>
    <xf numFmtId="171" fontId="0" fillId="10" borderId="5" xfId="0" applyNumberFormat="1" applyFont="1" applyFill="1" applyBorder="1" applyAlignment="1" applyProtection="1">
      <alignment horizontal="left" vertical="center" wrapText="1"/>
      <protection locked="0"/>
    </xf>
    <xf numFmtId="49" fontId="2" fillId="0" borderId="0" xfId="0" applyNumberFormat="1" applyFont="1">
      <alignment vertical="top"/>
    </xf>
    <xf numFmtId="0" fontId="2" fillId="0" borderId="0" xfId="0" applyNumberFormat="1" applyFont="1" applyAlignment="1">
      <alignment vertical="top" wrapText="1"/>
    </xf>
    <xf numFmtId="0" fontId="2" fillId="11" borderId="3" xfId="0" applyNumberFormat="1" applyFont="1" applyFill="1" applyBorder="1" applyAlignment="1">
      <alignment horizontal="left" vertical="center" wrapText="1"/>
    </xf>
    <xf numFmtId="0" fontId="0" fillId="0" borderId="27" xfId="0" applyNumberFormat="1" applyFont="1" applyBorder="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0" fontId="2" fillId="0" borderId="0" xfId="0" applyNumberFormat="1" applyFont="1" applyAlignment="1">
      <alignment vertical="center" wrapText="1"/>
    </xf>
    <xf numFmtId="49" fontId="98" fillId="10" borderId="3" xfId="0" applyNumberFormat="1" applyFont="1" applyFill="1" applyBorder="1" applyAlignment="1" applyProtection="1">
      <alignment horizontal="left" vertical="center" wrapText="1"/>
      <protection locked="0"/>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0" fontId="2" fillId="0" borderId="0" xfId="0" applyNumberFormat="1" applyFont="1" applyAlignment="1"/>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2" fillId="6" borderId="3" xfId="0" applyNumberFormat="1" applyFont="1" applyFill="1" applyBorder="1" applyAlignment="1">
      <alignment horizontal="left" vertical="top" wrapText="1"/>
    </xf>
    <xf numFmtId="49" fontId="0" fillId="6" borderId="3" xfId="0" applyNumberFormat="1" applyFont="1" applyFill="1" applyBorder="1" applyAlignment="1">
      <alignment horizontal="left" vertical="top"/>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3" xfId="0" applyNumberFormat="1" applyFont="1" applyBorder="1" applyAlignment="1">
      <alignment horizontal="center" vertical="center"/>
    </xf>
    <xf numFmtId="0" fontId="0" fillId="6" borderId="3" xfId="0" applyNumberFormat="1" applyFont="1" applyFill="1" applyBorder="1" applyAlignment="1">
      <alignment horizontal="left" vertical="center" wrapText="1"/>
    </xf>
    <xf numFmtId="49" fontId="0" fillId="6" borderId="3" xfId="0" applyNumberFormat="1" applyFont="1" applyFill="1" applyBorder="1" applyAlignment="1">
      <alignment horizontal="left" vertical="center" wrapText="1"/>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11" fillId="6" borderId="15" xfId="0" applyNumberFormat="1" applyFont="1" applyFill="1" applyBorder="1" applyAlignment="1">
      <alignment horizontal="center" vertical="top" wrapText="1"/>
    </xf>
    <xf numFmtId="0" fontId="11" fillId="0" borderId="0" xfId="0" applyNumberFormat="1" applyFont="1" applyAlignment="1">
      <alignment vertical="center"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portal.eias.ru/Portal/DownloadPage.aspx?type=12&amp;guid=ea5940f9-62e9-4edf-a0e3-32bf9a024f1e" TargetMode="External"/></Relationships>
</file>

<file path=xl/worksheets/_rels/sheet44.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s://www.rts-tender.ru/" TargetMode="External"/><Relationship Id="rId1" Type="http://schemas.openxmlformats.org/officeDocument/2006/relationships/hyperlink" Target="https://portal.eias.ru/Portal/DownloadPage.aspx?type=12&amp;guid=36d7fa92-9b52-4264-8068-e906ea5a6b35" TargetMode="Externa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9" customWidth="1"/>
    <col min="2" max="2" width="9.140625" style="1799" customWidth="1"/>
    <col min="3" max="3" width="16.42578125" style="1799" customWidth="1"/>
    <col min="4" max="25" width="6.28515625" style="1799" customWidth="1"/>
    <col min="26" max="28" width="11" style="1799"/>
  </cols>
  <sheetData>
    <row r="1" spans="1:28" ht="15.75" customHeight="1">
      <c r="A1" s="1611"/>
      <c r="B1" s="1612"/>
      <c r="C1" s="1612"/>
      <c r="D1" s="1612"/>
      <c r="E1" s="1612"/>
      <c r="F1" s="1612"/>
      <c r="G1" s="1612"/>
      <c r="H1" s="1612"/>
      <c r="I1" s="1612"/>
      <c r="J1" s="1612"/>
      <c r="K1" s="1612"/>
      <c r="L1" s="1612"/>
      <c r="M1" s="1612"/>
      <c r="N1" s="1612"/>
      <c r="O1" s="1612"/>
      <c r="P1" s="1612"/>
      <c r="Q1" s="1612"/>
      <c r="R1" s="1612"/>
      <c r="S1" s="1612"/>
      <c r="T1" s="1612"/>
      <c r="U1" s="1612"/>
      <c r="V1" s="1612"/>
      <c r="W1" s="1612"/>
      <c r="X1" s="1612"/>
      <c r="Y1" s="1613"/>
      <c r="Z1" s="1612"/>
      <c r="AA1" s="1614" t="s">
        <v>0</v>
      </c>
      <c r="AB1" s="1612"/>
    </row>
    <row r="2" spans="1:28" ht="17.25" customHeight="1">
      <c r="A2" s="1612"/>
      <c r="B2" s="3899" t="s">
        <v>1</v>
      </c>
      <c r="C2" s="3899"/>
      <c r="D2" s="3899"/>
      <c r="E2" s="3899"/>
      <c r="F2" s="3899"/>
      <c r="G2" s="3899"/>
      <c r="H2" s="3899"/>
      <c r="I2" s="3899"/>
      <c r="J2" s="3899"/>
      <c r="K2" s="3899"/>
      <c r="L2" s="3899"/>
      <c r="M2" s="3899"/>
      <c r="N2" s="3899"/>
      <c r="O2" s="3899"/>
      <c r="P2" s="3899"/>
      <c r="Q2" s="1615"/>
      <c r="R2" s="1615"/>
      <c r="S2" s="1615"/>
      <c r="T2" s="1615"/>
      <c r="U2" s="1615"/>
      <c r="V2" s="1616"/>
      <c r="W2" s="1615"/>
      <c r="X2" s="1615"/>
      <c r="Y2" s="1613"/>
      <c r="Z2" s="1612"/>
      <c r="AA2" s="1614"/>
      <c r="AB2" s="1612"/>
    </row>
    <row r="3" spans="1:28" ht="15.75" customHeight="1">
      <c r="A3" s="1612"/>
      <c r="B3" s="3900" t="s">
        <v>2</v>
      </c>
      <c r="C3" s="3900"/>
      <c r="D3" s="3900"/>
      <c r="E3" s="3900"/>
      <c r="F3" s="3900"/>
      <c r="G3" s="3900"/>
      <c r="H3" s="3900"/>
      <c r="I3" s="3900"/>
      <c r="J3" s="3900"/>
      <c r="K3" s="3900"/>
      <c r="L3" s="3900"/>
      <c r="M3" s="3900"/>
      <c r="N3" s="3900"/>
      <c r="O3" s="3900"/>
      <c r="P3" s="3900"/>
      <c r="Q3" s="1616"/>
      <c r="R3" s="1616"/>
      <c r="S3" s="1615"/>
      <c r="T3" s="1615"/>
      <c r="U3" s="1615"/>
      <c r="V3" s="1616"/>
      <c r="W3" s="1616"/>
      <c r="X3" s="1616"/>
      <c r="Y3" s="1616"/>
      <c r="Z3" s="1612"/>
      <c r="AA3" s="1614"/>
      <c r="AB3" s="1612"/>
    </row>
    <row r="4" spans="1:28" ht="17.25" customHeight="1">
      <c r="A4" s="1612"/>
      <c r="B4" s="1617"/>
      <c r="C4" s="1612"/>
      <c r="D4" s="1616"/>
      <c r="E4" s="1616"/>
      <c r="F4" s="1616"/>
      <c r="G4" s="1616"/>
      <c r="H4" s="1616"/>
      <c r="I4" s="1616"/>
      <c r="J4" s="1616"/>
      <c r="K4" s="1616"/>
      <c r="L4" s="1616"/>
      <c r="M4" s="1616"/>
      <c r="N4" s="1616"/>
      <c r="O4" s="1616"/>
      <c r="P4" s="1616"/>
      <c r="Q4" s="1616"/>
      <c r="R4" s="1616"/>
      <c r="S4" s="1616"/>
      <c r="T4" s="1616"/>
      <c r="U4" s="1616"/>
      <c r="V4" s="1616"/>
      <c r="W4" s="1616"/>
      <c r="X4" s="1616"/>
      <c r="Y4" s="1616"/>
      <c r="Z4" s="1612"/>
      <c r="AA4" s="1614"/>
      <c r="AB4" s="1612"/>
    </row>
    <row r="5" spans="1:28" ht="22.5" customHeight="1">
      <c r="A5" s="1618"/>
      <c r="B5" s="3901"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3902"/>
      <c r="D5" s="3902"/>
      <c r="E5" s="3902"/>
      <c r="F5" s="3902"/>
      <c r="G5" s="3902"/>
      <c r="H5" s="3902"/>
      <c r="I5" s="3902"/>
      <c r="J5" s="3902"/>
      <c r="K5" s="3902"/>
      <c r="L5" s="3902"/>
      <c r="M5" s="3902"/>
      <c r="N5" s="3902"/>
      <c r="O5" s="3902"/>
      <c r="P5" s="3902"/>
      <c r="Q5" s="3902"/>
      <c r="R5" s="3902"/>
      <c r="S5" s="3902"/>
      <c r="T5" s="3902"/>
      <c r="U5" s="3902"/>
      <c r="V5" s="3902"/>
      <c r="W5" s="3902"/>
      <c r="X5" s="3902"/>
      <c r="Y5" s="3903"/>
      <c r="Z5" s="1618"/>
      <c r="AA5" s="1614"/>
      <c r="AB5" s="1618"/>
    </row>
    <row r="6" spans="1:28" ht="15" customHeight="1">
      <c r="A6" s="1619"/>
      <c r="B6" s="3904" t="s">
        <v>3</v>
      </c>
      <c r="C6" s="3905"/>
      <c r="D6" s="1620"/>
      <c r="E6" s="1620"/>
      <c r="F6" s="1620"/>
      <c r="G6" s="1620"/>
      <c r="H6" s="1620"/>
      <c r="I6" s="1620"/>
      <c r="J6" s="1620"/>
      <c r="K6" s="1620"/>
      <c r="L6" s="1620"/>
      <c r="M6" s="1620"/>
      <c r="N6" s="1620"/>
      <c r="O6" s="1620"/>
      <c r="P6" s="1620"/>
      <c r="Q6" s="1620"/>
      <c r="R6" s="1620"/>
      <c r="S6" s="1620"/>
      <c r="T6" s="1620"/>
      <c r="U6" s="1620"/>
      <c r="V6" s="1620"/>
      <c r="W6" s="1620"/>
      <c r="X6" s="1620"/>
      <c r="Y6" s="1621"/>
      <c r="Z6" s="1622"/>
      <c r="AA6" s="1623"/>
      <c r="AB6" s="1623"/>
    </row>
    <row r="7" spans="1:28" ht="15" customHeight="1">
      <c r="A7" s="1619"/>
      <c r="B7" s="3904"/>
      <c r="C7" s="3905"/>
      <c r="D7" s="1620"/>
      <c r="E7" s="1620"/>
      <c r="F7" s="1624"/>
      <c r="G7" s="1624"/>
      <c r="H7" s="1624"/>
      <c r="I7" s="1624"/>
      <c r="J7" s="1624"/>
      <c r="K7" s="1624"/>
      <c r="L7" s="1624"/>
      <c r="M7" s="1624"/>
      <c r="N7" s="1624"/>
      <c r="O7" s="1620"/>
      <c r="P7" s="1624"/>
      <c r="Q7" s="1624"/>
      <c r="R7" s="1624"/>
      <c r="S7" s="1624"/>
      <c r="T7" s="1624"/>
      <c r="U7" s="1624"/>
      <c r="V7" s="1624"/>
      <c r="W7" s="1624"/>
      <c r="X7" s="1624"/>
      <c r="Y7" s="1621"/>
      <c r="Z7" s="1622"/>
      <c r="AA7" s="1623"/>
      <c r="AB7" s="1623"/>
    </row>
    <row r="8" spans="1:28" ht="15" customHeight="1">
      <c r="A8" s="1619"/>
      <c r="B8" s="3904"/>
      <c r="C8" s="3905"/>
      <c r="D8" s="1625"/>
      <c r="E8" s="1626" t="s">
        <v>4</v>
      </c>
      <c r="F8" s="3907" t="s">
        <v>5</v>
      </c>
      <c r="G8" s="3908"/>
      <c r="H8" s="3908"/>
      <c r="I8" s="3908"/>
      <c r="J8" s="3908"/>
      <c r="K8" s="3908"/>
      <c r="L8" s="3908"/>
      <c r="M8" s="3908"/>
      <c r="N8" s="1625"/>
      <c r="O8" s="1627" t="s">
        <v>4</v>
      </c>
      <c r="P8" s="3909" t="s">
        <v>6</v>
      </c>
      <c r="Q8" s="3910"/>
      <c r="R8" s="3910"/>
      <c r="S8" s="3910"/>
      <c r="T8" s="3910"/>
      <c r="U8" s="3910"/>
      <c r="V8" s="3910"/>
      <c r="W8" s="3910"/>
      <c r="X8" s="3910"/>
      <c r="Y8" s="1621"/>
      <c r="Z8" s="1622"/>
      <c r="AA8" s="1623"/>
      <c r="AB8" s="1623"/>
    </row>
    <row r="9" spans="1:28" ht="15" customHeight="1">
      <c r="A9" s="1619"/>
      <c r="B9" s="3904"/>
      <c r="C9" s="3905"/>
      <c r="D9" s="1625"/>
      <c r="E9" s="1628" t="s">
        <v>4</v>
      </c>
      <c r="F9" s="3907" t="s">
        <v>7</v>
      </c>
      <c r="G9" s="3908"/>
      <c r="H9" s="3908"/>
      <c r="I9" s="3908"/>
      <c r="J9" s="3908"/>
      <c r="K9" s="3908"/>
      <c r="L9" s="3908"/>
      <c r="M9" s="3908"/>
      <c r="N9" s="1625"/>
      <c r="O9" s="1629" t="s">
        <v>4</v>
      </c>
      <c r="P9" s="3909" t="s">
        <v>8</v>
      </c>
      <c r="Q9" s="3910"/>
      <c r="R9" s="3910"/>
      <c r="S9" s="3910"/>
      <c r="T9" s="3910"/>
      <c r="U9" s="3910"/>
      <c r="V9" s="3910"/>
      <c r="W9" s="3910"/>
      <c r="X9" s="3910"/>
      <c r="Y9" s="1621"/>
      <c r="Z9" s="1622"/>
      <c r="AA9" s="1623"/>
      <c r="AB9" s="1623"/>
    </row>
    <row r="10" spans="1:28" ht="30" customHeight="1">
      <c r="A10" s="1619"/>
      <c r="B10" s="3904"/>
      <c r="C10" s="3906"/>
      <c r="D10" s="1630"/>
      <c r="E10" s="1631"/>
      <c r="F10" s="1624"/>
      <c r="G10" s="1624"/>
      <c r="H10" s="1624"/>
      <c r="I10" s="1624"/>
      <c r="J10" s="1624"/>
      <c r="K10" s="1624"/>
      <c r="L10" s="1624"/>
      <c r="M10" s="1624"/>
      <c r="N10" s="1624"/>
      <c r="O10" s="1631"/>
      <c r="P10" s="1624"/>
      <c r="Q10" s="1624"/>
      <c r="R10" s="1624"/>
      <c r="S10" s="1624"/>
      <c r="T10" s="1624"/>
      <c r="U10" s="1624"/>
      <c r="V10" s="1624"/>
      <c r="W10" s="1624"/>
      <c r="X10" s="1624"/>
      <c r="Y10" s="1621"/>
      <c r="Z10" s="1622"/>
      <c r="AA10" s="1623"/>
      <c r="AB10" s="1623"/>
    </row>
    <row r="11" spans="1:28" ht="19.5" customHeight="1">
      <c r="A11" s="1619"/>
      <c r="B11" s="3911" t="s">
        <v>9</v>
      </c>
      <c r="C11" s="3912"/>
      <c r="D11" s="1625"/>
      <c r="E11" s="1632"/>
      <c r="F11" s="1632"/>
      <c r="G11" s="1632"/>
      <c r="H11" s="1632"/>
      <c r="I11" s="1632"/>
      <c r="J11" s="1632"/>
      <c r="K11" s="1632"/>
      <c r="L11" s="1632"/>
      <c r="M11" s="1632"/>
      <c r="N11" s="1632"/>
      <c r="O11" s="1632"/>
      <c r="P11" s="1632"/>
      <c r="Q11" s="1632"/>
      <c r="R11" s="1632"/>
      <c r="S11" s="1632"/>
      <c r="T11" s="1632"/>
      <c r="U11" s="1632"/>
      <c r="V11" s="1632"/>
      <c r="W11" s="1632"/>
      <c r="X11" s="1632"/>
      <c r="Y11" s="1621"/>
      <c r="Z11" s="1622"/>
      <c r="AA11" s="1623"/>
      <c r="AB11" s="1623"/>
    </row>
    <row r="12" spans="1:28" ht="69" customHeight="1">
      <c r="A12" s="1619"/>
      <c r="B12" s="3904"/>
      <c r="C12" s="3906"/>
      <c r="D12" s="1633"/>
      <c r="E12" s="3908" t="s">
        <v>10</v>
      </c>
      <c r="F12" s="3908"/>
      <c r="G12" s="3908"/>
      <c r="H12" s="3908"/>
      <c r="I12" s="3908"/>
      <c r="J12" s="3908"/>
      <c r="K12" s="3908"/>
      <c r="L12" s="3908"/>
      <c r="M12" s="3908"/>
      <c r="N12" s="3908"/>
      <c r="O12" s="3908"/>
      <c r="P12" s="3908"/>
      <c r="Q12" s="3908"/>
      <c r="R12" s="3908"/>
      <c r="S12" s="3908"/>
      <c r="T12" s="3908"/>
      <c r="U12" s="3908"/>
      <c r="V12" s="3908"/>
      <c r="W12" s="3908"/>
      <c r="X12" s="3908"/>
      <c r="Y12" s="1621"/>
      <c r="Z12" s="1622"/>
      <c r="AA12" s="1623"/>
      <c r="AB12" s="1623"/>
    </row>
    <row r="13" spans="1:28" ht="15" customHeight="1">
      <c r="A13" s="1619"/>
      <c r="B13" s="3911" t="s">
        <v>11</v>
      </c>
      <c r="C13" s="3912"/>
      <c r="D13" s="1620"/>
      <c r="E13" s="1632"/>
      <c r="F13" s="1632"/>
      <c r="G13" s="1632"/>
      <c r="H13" s="1632"/>
      <c r="I13" s="1632"/>
      <c r="J13" s="1632"/>
      <c r="K13" s="1632"/>
      <c r="L13" s="1632"/>
      <c r="M13" s="1632"/>
      <c r="N13" s="1632"/>
      <c r="O13" s="1632"/>
      <c r="P13" s="1632"/>
      <c r="Q13" s="1632"/>
      <c r="R13" s="1632"/>
      <c r="S13" s="1632"/>
      <c r="T13" s="1632"/>
      <c r="U13" s="1632"/>
      <c r="V13" s="1632"/>
      <c r="W13" s="1632"/>
      <c r="X13" s="1632"/>
      <c r="Y13" s="1621"/>
      <c r="Z13" s="1622"/>
      <c r="AA13" s="1623"/>
      <c r="AB13" s="1623"/>
    </row>
    <row r="14" spans="1:28" ht="57" customHeight="1">
      <c r="A14" s="1619"/>
      <c r="B14" s="3904"/>
      <c r="C14" s="3905"/>
      <c r="D14" s="1625"/>
      <c r="E14" s="3915" t="s">
        <v>12</v>
      </c>
      <c r="F14" s="3915"/>
      <c r="G14" s="3915"/>
      <c r="H14" s="3915"/>
      <c r="I14" s="3915"/>
      <c r="J14" s="3915"/>
      <c r="K14" s="3915"/>
      <c r="L14" s="3915"/>
      <c r="M14" s="3915"/>
      <c r="N14" s="3915"/>
      <c r="O14" s="3915"/>
      <c r="P14" s="3915"/>
      <c r="Q14" s="3915"/>
      <c r="R14" s="3915"/>
      <c r="S14" s="3915"/>
      <c r="T14" s="3915"/>
      <c r="U14" s="3915"/>
      <c r="V14" s="3915"/>
      <c r="W14" s="3915"/>
      <c r="X14" s="3915"/>
      <c r="Y14" s="1621"/>
      <c r="Z14" s="1622"/>
      <c r="AA14" s="1623"/>
      <c r="AB14" s="1623"/>
    </row>
    <row r="15" spans="1:28" ht="16.5" customHeight="1">
      <c r="A15" s="1619"/>
      <c r="B15" s="3913"/>
      <c r="C15" s="3914"/>
      <c r="D15" s="1634"/>
      <c r="E15" s="1635"/>
      <c r="F15" s="1635"/>
      <c r="G15" s="1635"/>
      <c r="H15" s="1635"/>
      <c r="I15" s="1635"/>
      <c r="J15" s="1635"/>
      <c r="K15" s="1635"/>
      <c r="L15" s="1635"/>
      <c r="M15" s="1635"/>
      <c r="N15" s="1635"/>
      <c r="O15" s="1635"/>
      <c r="P15" s="1635"/>
      <c r="Q15" s="1635"/>
      <c r="R15" s="1635"/>
      <c r="S15" s="1635"/>
      <c r="T15" s="1635"/>
      <c r="U15" s="1635"/>
      <c r="V15" s="1635"/>
      <c r="W15" s="1635"/>
      <c r="X15" s="1635"/>
      <c r="Y15" s="1636"/>
      <c r="Z15" s="1622"/>
      <c r="AA15" s="1637"/>
      <c r="AB15" s="1623"/>
    </row>
    <row r="16" spans="1:28" ht="95.25" customHeight="1">
      <c r="A16" s="1612"/>
      <c r="B16" s="3915"/>
      <c r="C16" s="3916"/>
      <c r="D16" s="3916"/>
      <c r="E16" s="3916"/>
      <c r="F16" s="3916"/>
      <c r="G16" s="3916"/>
      <c r="H16" s="3916"/>
      <c r="I16" s="3916"/>
      <c r="J16" s="3916"/>
      <c r="K16" s="3916"/>
      <c r="L16" s="3916"/>
      <c r="M16" s="3916"/>
      <c r="N16" s="3916"/>
      <c r="O16" s="3916"/>
      <c r="P16" s="3916"/>
      <c r="Q16" s="3916"/>
      <c r="R16" s="3916"/>
      <c r="S16" s="3916"/>
      <c r="T16" s="3916"/>
      <c r="U16" s="3916"/>
      <c r="V16" s="3916"/>
      <c r="W16" s="3916"/>
      <c r="X16" s="3916"/>
      <c r="Y16" s="3916"/>
      <c r="Z16" s="1612"/>
      <c r="AA16" s="1614"/>
      <c r="AB16" s="1612"/>
    </row>
    <row r="17" spans="1:28" ht="14.25" customHeight="1">
      <c r="A17" s="1612"/>
      <c r="B17" s="1612"/>
      <c r="C17" s="1612"/>
      <c r="D17" s="1612"/>
      <c r="E17" s="1612"/>
      <c r="F17" s="1612"/>
      <c r="G17" s="1612"/>
      <c r="H17" s="1612"/>
      <c r="I17" s="1612"/>
      <c r="J17" s="1612"/>
      <c r="K17" s="1612"/>
      <c r="L17" s="1612"/>
      <c r="M17" s="1612"/>
      <c r="N17" s="1612"/>
      <c r="O17" s="1612"/>
      <c r="P17" s="1612"/>
      <c r="Q17" s="1612"/>
      <c r="R17" s="1612"/>
      <c r="S17" s="1612"/>
      <c r="T17" s="1612"/>
      <c r="U17" s="1612"/>
      <c r="V17" s="1612"/>
      <c r="W17" s="1612"/>
      <c r="X17" s="1612"/>
      <c r="Y17" s="1613"/>
      <c r="Z17" s="1612"/>
      <c r="AA17" s="1614"/>
      <c r="AB17" s="1612"/>
    </row>
    <row r="18" spans="1:28" ht="14.25" customHeight="1">
      <c r="A18" s="1612"/>
      <c r="B18" s="1612"/>
      <c r="C18" s="1612"/>
      <c r="D18" s="1612"/>
      <c r="E18" s="1612"/>
      <c r="F18" s="1612"/>
      <c r="G18" s="1612"/>
      <c r="H18" s="1612"/>
      <c r="I18" s="1612"/>
      <c r="J18" s="1612"/>
      <c r="K18" s="1612"/>
      <c r="L18" s="1612"/>
      <c r="M18" s="1612"/>
      <c r="N18" s="1612"/>
      <c r="O18" s="1612"/>
      <c r="P18" s="1612"/>
      <c r="Q18" s="1612"/>
      <c r="R18" s="1612"/>
      <c r="S18" s="1612"/>
      <c r="T18" s="1612"/>
      <c r="U18" s="1612"/>
      <c r="V18" s="1612"/>
      <c r="W18" s="1612"/>
      <c r="X18" s="1612"/>
      <c r="Y18" s="1613"/>
      <c r="Z18" s="1612"/>
      <c r="AA18" s="1614"/>
      <c r="AB18" s="1612"/>
    </row>
    <row r="19" spans="1:28" ht="14.25" customHeight="1">
      <c r="A19" s="1612"/>
      <c r="B19" s="1612"/>
      <c r="C19" s="1612"/>
      <c r="D19" s="1612"/>
      <c r="E19" s="1612"/>
      <c r="F19" s="1612"/>
      <c r="G19" s="1612"/>
      <c r="H19" s="1612"/>
      <c r="I19" s="1612"/>
      <c r="J19" s="1612"/>
      <c r="K19" s="1612"/>
      <c r="L19" s="1612"/>
      <c r="M19" s="1612"/>
      <c r="N19" s="1612"/>
      <c r="O19" s="1612"/>
      <c r="P19" s="1612"/>
      <c r="Q19" s="1612"/>
      <c r="R19" s="1612"/>
      <c r="S19" s="1612"/>
      <c r="T19" s="1612"/>
      <c r="U19" s="1612"/>
      <c r="V19" s="1612"/>
      <c r="W19" s="1612"/>
      <c r="X19" s="1612"/>
      <c r="Y19" s="1613"/>
      <c r="Z19" s="1612"/>
      <c r="AA19" s="1614"/>
      <c r="AB19" s="1612"/>
    </row>
    <row r="20" spans="1:28" ht="14.25" customHeight="1">
      <c r="A20" s="1612"/>
      <c r="B20" s="1612"/>
      <c r="C20" s="1612"/>
      <c r="D20" s="1612"/>
      <c r="E20" s="1612"/>
      <c r="F20" s="1612"/>
      <c r="G20" s="1612"/>
      <c r="H20" s="1612"/>
      <c r="I20" s="1612"/>
      <c r="J20" s="1612"/>
      <c r="K20" s="1612"/>
      <c r="L20" s="1612"/>
      <c r="M20" s="1612"/>
      <c r="N20" s="1612"/>
      <c r="O20" s="1612"/>
      <c r="P20" s="1612"/>
      <c r="Q20" s="1612"/>
      <c r="R20" s="1612"/>
      <c r="S20" s="1612"/>
      <c r="T20" s="1612"/>
      <c r="U20" s="1612"/>
      <c r="V20" s="1612"/>
      <c r="W20" s="1612"/>
      <c r="X20" s="1612"/>
      <c r="Y20" s="1613"/>
      <c r="Z20" s="1612"/>
      <c r="AA20" s="1614"/>
      <c r="AB20" s="1612"/>
    </row>
    <row r="21" spans="1:28" ht="14.25" customHeight="1">
      <c r="A21" s="1612"/>
      <c r="B21" s="1612"/>
      <c r="C21" s="1612"/>
      <c r="D21" s="1612"/>
      <c r="E21" s="1612"/>
      <c r="F21" s="1612"/>
      <c r="G21" s="1612"/>
      <c r="H21" s="1612"/>
      <c r="I21" s="1612"/>
      <c r="J21" s="1612"/>
      <c r="K21" s="1612"/>
      <c r="L21" s="1612"/>
      <c r="M21" s="1612"/>
      <c r="N21" s="1612"/>
      <c r="O21" s="1612"/>
      <c r="P21" s="1612"/>
      <c r="Q21" s="1612"/>
      <c r="R21" s="1612"/>
      <c r="S21" s="1612"/>
      <c r="T21" s="1612"/>
      <c r="U21" s="1612"/>
      <c r="V21" s="1612"/>
      <c r="W21" s="1612"/>
      <c r="X21" s="1612"/>
      <c r="Y21" s="1613"/>
      <c r="Z21" s="1612"/>
      <c r="AA21" s="1614"/>
      <c r="AB21" s="1612"/>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27" zoomScale="90" workbookViewId="0">
      <selection activeCell="L25" sqref="L25"/>
    </sheetView>
  </sheetViews>
  <sheetFormatPr defaultColWidth="9.140625" defaultRowHeight="11.25" customHeight="1"/>
  <cols>
    <col min="1" max="1" width="10.7109375" style="1806" hidden="1" customWidth="1"/>
    <col min="2" max="2" width="10.7109375" style="1803" hidden="1" customWidth="1"/>
    <col min="3" max="3" width="3.7109375" style="1817" customWidth="1"/>
    <col min="4" max="4" width="1.7109375" style="1818" customWidth="1"/>
    <col min="5" max="5" width="55.28515625" style="1818" customWidth="1"/>
    <col min="6" max="6" width="50.7109375" style="1818" customWidth="1"/>
    <col min="7" max="7" width="5.140625" style="1807" customWidth="1"/>
    <col min="8" max="8" width="18" style="1808" hidden="1" customWidth="1"/>
    <col min="9" max="9" width="9.5703125" style="1801" customWidth="1"/>
    <col min="10" max="10" width="52.140625" style="1809" hidden="1" customWidth="1"/>
    <col min="11" max="11" width="9.140625" style="1818"/>
    <col min="12" max="12" width="78" style="1818" customWidth="1"/>
    <col min="13" max="16" width="9.140625" style="1818"/>
  </cols>
  <sheetData>
    <row r="1" spans="1:11" s="1800" customFormat="1" ht="3" customHeight="1">
      <c r="A1" s="700"/>
      <c r="B1" s="160"/>
      <c r="F1" s="161">
        <v>26354809</v>
      </c>
      <c r="G1" s="345"/>
      <c r="H1" s="7"/>
      <c r="I1" s="345"/>
      <c r="J1" s="784"/>
    </row>
    <row r="2" spans="1:11" s="1802" customFormat="1" ht="14.25" customHeight="1">
      <c r="A2" s="700"/>
      <c r="B2" s="31"/>
      <c r="E2" s="1650" t="str">
        <f>code</f>
        <v>Код отчёта: PP110.OPEN.INFO.REQUEST.HEAT.EIAS</v>
      </c>
      <c r="F2" s="188"/>
      <c r="G2" s="164"/>
      <c r="H2" s="164"/>
      <c r="I2" s="164"/>
      <c r="J2" s="785"/>
      <c r="K2" s="164"/>
    </row>
    <row r="3" spans="1:11" ht="14.25" customHeight="1">
      <c r="E3" s="165" t="str">
        <f>version</f>
        <v>Версия отчёта: 1.0.5</v>
      </c>
      <c r="F3" s="188"/>
      <c r="G3" s="687"/>
      <c r="H3" s="687"/>
      <c r="I3" s="687"/>
      <c r="J3" s="786"/>
      <c r="K3" s="22"/>
    </row>
    <row r="4" spans="1:11" s="1805" customFormat="1" ht="6" customHeight="1">
      <c r="A4" s="701"/>
      <c r="B4" s="152"/>
      <c r="C4" s="153"/>
      <c r="D4" s="154"/>
      <c r="E4" s="162"/>
      <c r="F4" s="163"/>
      <c r="G4" s="688"/>
      <c r="H4" s="343"/>
      <c r="I4" s="345"/>
      <c r="J4" s="787"/>
    </row>
    <row r="5" spans="1:11" ht="37.5" customHeight="1">
      <c r="D5" s="9"/>
      <c r="E5" s="3917"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3918"/>
      <c r="G5" s="689"/>
      <c r="J5" s="788"/>
    </row>
    <row r="6" spans="1:11" s="1805" customFormat="1" ht="6" customHeight="1">
      <c r="A6" s="701"/>
      <c r="B6" s="152"/>
      <c r="C6" s="153"/>
      <c r="D6" s="154"/>
      <c r="E6" s="156"/>
      <c r="F6" s="157"/>
      <c r="G6" s="689"/>
      <c r="H6" s="343"/>
      <c r="I6" s="345"/>
      <c r="J6" s="787"/>
    </row>
    <row r="7" spans="1:11" ht="19.5" customHeight="1">
      <c r="D7" s="9"/>
      <c r="E7" s="325" t="s">
        <v>13</v>
      </c>
      <c r="F7" s="136" t="s">
        <v>14</v>
      </c>
      <c r="G7" s="689"/>
    </row>
    <row r="8" spans="1:11" s="1805" customFormat="1" ht="6" customHeight="1">
      <c r="A8" s="702"/>
      <c r="B8" s="152"/>
      <c r="C8" s="153"/>
      <c r="D8" s="158"/>
      <c r="E8" s="156"/>
      <c r="F8" s="159"/>
      <c r="G8" s="11"/>
      <c r="H8" s="343"/>
      <c r="I8" s="345"/>
      <c r="J8" s="790"/>
    </row>
    <row r="9" spans="1:11" s="1808" customFormat="1" ht="19.5" hidden="1" customHeight="1">
      <c r="A9" s="701"/>
      <c r="B9" s="31"/>
      <c r="C9" s="342"/>
      <c r="D9" s="344"/>
      <c r="E9" s="1065" t="s">
        <v>15</v>
      </c>
      <c r="F9" s="1051"/>
      <c r="G9" s="689"/>
      <c r="I9" s="345"/>
      <c r="J9" s="789"/>
    </row>
    <row r="10" spans="1:11" s="1810" customFormat="1" ht="6" customHeight="1">
      <c r="A10" s="702"/>
      <c r="B10" s="359"/>
      <c r="C10" s="360"/>
      <c r="D10" s="158"/>
      <c r="E10" s="156"/>
      <c r="F10" s="159"/>
      <c r="G10" s="11"/>
      <c r="H10" s="343"/>
      <c r="I10" s="345"/>
      <c r="J10" s="790"/>
    </row>
    <row r="11" spans="1:11" ht="22.5" customHeight="1">
      <c r="A11" s="3920" t="s">
        <v>16</v>
      </c>
      <c r="D11" s="9"/>
      <c r="E11" s="1065" t="s">
        <v>17</v>
      </c>
      <c r="F11" s="1811">
        <v>45292.463877314818</v>
      </c>
      <c r="G11" s="11"/>
      <c r="H11" s="690" t="s">
        <v>18</v>
      </c>
      <c r="J11" s="789" t="s">
        <v>19</v>
      </c>
    </row>
    <row r="12" spans="1:11" ht="22.5" customHeight="1">
      <c r="A12" s="3920"/>
      <c r="D12" s="9"/>
      <c r="E12" s="1065" t="s">
        <v>20</v>
      </c>
      <c r="F12" s="1811">
        <v>49856.463958333334</v>
      </c>
      <c r="G12" s="8"/>
      <c r="J12" s="789" t="s">
        <v>21</v>
      </c>
    </row>
    <row r="13" spans="1:11" s="1808" customFormat="1" ht="22.5" hidden="1" customHeight="1">
      <c r="A13" s="705" t="s">
        <v>22</v>
      </c>
      <c r="B13" s="31"/>
      <c r="C13" s="342"/>
      <c r="D13" s="344"/>
      <c r="E13" s="1686" t="s">
        <v>23</v>
      </c>
      <c r="F13" s="1642" t="s">
        <v>24</v>
      </c>
      <c r="G13" s="11"/>
      <c r="H13" s="687"/>
      <c r="I13" s="345"/>
      <c r="J13" s="1687" t="s">
        <v>25</v>
      </c>
    </row>
    <row r="14" spans="1:11" s="1808" customFormat="1" ht="27" hidden="1" customHeight="1">
      <c r="A14" s="705" t="s">
        <v>26</v>
      </c>
      <c r="B14" s="31"/>
      <c r="C14" s="342"/>
      <c r="D14" s="344"/>
      <c r="E14" s="1065" t="s">
        <v>27</v>
      </c>
      <c r="F14" s="1678"/>
      <c r="G14" s="11"/>
      <c r="H14" s="687"/>
      <c r="I14" s="345"/>
      <c r="J14" s="789" t="s">
        <v>28</v>
      </c>
    </row>
    <row r="15" spans="1:11" s="1808" customFormat="1" ht="19.5" hidden="1" customHeight="1">
      <c r="A15" s="705" t="s">
        <v>29</v>
      </c>
      <c r="B15" s="31"/>
      <c r="C15" s="342"/>
      <c r="D15" s="344"/>
      <c r="E15" s="1065" t="s">
        <v>30</v>
      </c>
      <c r="F15" s="1678"/>
      <c r="G15" s="11"/>
      <c r="H15" s="687"/>
      <c r="I15" s="345"/>
      <c r="J15" s="789" t="s">
        <v>31</v>
      </c>
    </row>
    <row r="16" spans="1:11" s="1805" customFormat="1" ht="19.899999999999999" customHeight="1">
      <c r="A16" s="702"/>
      <c r="B16" s="152"/>
      <c r="C16" s="153"/>
      <c r="D16" s="158"/>
      <c r="E16" s="156"/>
      <c r="F16" s="159"/>
      <c r="G16" s="11"/>
      <c r="H16" s="343"/>
      <c r="I16" s="345"/>
      <c r="J16" s="787"/>
    </row>
    <row r="17" spans="1:10" ht="19.5" customHeight="1">
      <c r="D17" s="9"/>
      <c r="E17" s="325" t="s">
        <v>32</v>
      </c>
      <c r="F17" s="1812" t="s">
        <v>33</v>
      </c>
      <c r="G17" s="8"/>
      <c r="H17" s="690" t="s">
        <v>18</v>
      </c>
    </row>
    <row r="18" spans="1:10" ht="25.5" customHeight="1">
      <c r="D18" s="9"/>
      <c r="E18" s="1686" t="s">
        <v>34</v>
      </c>
      <c r="F18" s="1813">
        <v>45314.463495370372</v>
      </c>
      <c r="G18" s="8"/>
      <c r="I18" s="691"/>
      <c r="J18" s="3919" t="s">
        <v>35</v>
      </c>
    </row>
    <row r="19" spans="1:10" ht="25.5" customHeight="1">
      <c r="D19" s="9"/>
      <c r="E19" s="10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13">
        <v>45292.463553240741</v>
      </c>
      <c r="G19" s="8"/>
      <c r="I19" s="691"/>
      <c r="J19" s="3919"/>
    </row>
    <row r="20" spans="1:10" ht="22.5" customHeight="1">
      <c r="D20" s="9"/>
      <c r="E20" s="10"/>
      <c r="F20" s="189" t="str">
        <f>"Первичное "&amp;IF(TEMPLATE_GROUP="P","установление тарифов","предложение по тарифам")</f>
        <v>Первичное предложение по тарифам</v>
      </c>
      <c r="G20" s="8"/>
      <c r="I20" s="328"/>
      <c r="J20" s="788" t="s">
        <v>36</v>
      </c>
    </row>
    <row r="21" spans="1:10" ht="19.5" customHeight="1">
      <c r="D21" s="9"/>
      <c r="E21" s="325" t="str">
        <f>"Дата "&amp;IF(TEMPLATE_GROUP="P","документа","подачи заявления")&amp;" об утверждении тарифов"</f>
        <v>Дата подачи заявления об утверждении тарифов</v>
      </c>
      <c r="F21" s="1811">
        <v>45138.46365740741</v>
      </c>
      <c r="G21" s="8"/>
      <c r="I21" s="692"/>
    </row>
    <row r="22" spans="1:10" ht="19.5" customHeight="1">
      <c r="D22" s="9"/>
      <c r="E22" s="325" t="str">
        <f>"Номер "&amp;IF(TEMPLATE_GROUP="P","документа","подачи заявления")&amp;" об утверждении тарифов"</f>
        <v>Номер подачи заявления об утверждении тарифов</v>
      </c>
      <c r="F22" s="137" t="s">
        <v>37</v>
      </c>
      <c r="G22" s="8"/>
      <c r="I22" s="692"/>
    </row>
    <row r="23" spans="1:10" ht="22.5" hidden="1" customHeight="1">
      <c r="D23" s="9"/>
      <c r="E23" s="325" t="s">
        <v>38</v>
      </c>
      <c r="F23" s="137"/>
      <c r="G23" s="8"/>
    </row>
    <row r="24" spans="1:10" ht="19.5" hidden="1" customHeight="1">
      <c r="D24" s="9"/>
      <c r="E24" s="325" t="s">
        <v>39</v>
      </c>
      <c r="F24" s="137"/>
      <c r="G24" s="8"/>
    </row>
    <row r="25" spans="1:10" ht="22.5" customHeight="1">
      <c r="D25" s="9"/>
      <c r="E25" s="10"/>
      <c r="F25" s="189" t="str">
        <f>"Изменение "&amp;IF(TEMPLATE_GROUP="P","тарифов","предложения по тарифам")</f>
        <v>Изменение предложения по тарифам</v>
      </c>
      <c r="G25" s="8"/>
      <c r="J25" s="788" t="s">
        <v>40</v>
      </c>
    </row>
    <row r="26" spans="1:10" ht="19.5" customHeight="1">
      <c r="D26" s="9"/>
      <c r="E26" s="325" t="str">
        <f>"Дата "&amp;IF(TEMPLATE_GROUP="P","принятия решения","подачи заявления")&amp;" об изменении тарифов"</f>
        <v>Дата подачи заявления об изменении тарифов</v>
      </c>
      <c r="F26" s="1813">
        <v>45289.465104166666</v>
      </c>
      <c r="G26" s="8"/>
    </row>
    <row r="27" spans="1:10" ht="19.5" customHeight="1">
      <c r="D27" s="9"/>
      <c r="E27" s="1065" t="str">
        <f>"Номер "&amp;IF(TEMPLATE_GROUP="P","принятия решения","заявления")&amp;" об изменении тарифов"</f>
        <v>Номер заявления об изменении тарифов</v>
      </c>
      <c r="F27" s="1814" t="s">
        <v>41</v>
      </c>
      <c r="G27" s="8"/>
    </row>
    <row r="28" spans="1:10" ht="24.75" hidden="1" customHeight="1">
      <c r="D28" s="9"/>
      <c r="E28" s="325" t="s">
        <v>42</v>
      </c>
      <c r="F28" s="139"/>
      <c r="G28" s="8"/>
    </row>
    <row r="29" spans="1:10" ht="19.5" hidden="1" customHeight="1">
      <c r="D29" s="9"/>
      <c r="E29" s="325" t="s">
        <v>39</v>
      </c>
      <c r="F29" s="139"/>
      <c r="G29" s="8"/>
    </row>
    <row r="30" spans="1:10" s="1805" customFormat="1" ht="6" customHeight="1">
      <c r="A30" s="702"/>
      <c r="B30" s="152"/>
      <c r="C30" s="153"/>
      <c r="D30" s="158"/>
      <c r="E30" s="156"/>
      <c r="F30" s="159"/>
      <c r="G30" s="11"/>
      <c r="H30" s="343"/>
      <c r="I30" s="345"/>
      <c r="J30" s="787"/>
    </row>
    <row r="31" spans="1:10" ht="19.5" customHeight="1">
      <c r="C31" s="12"/>
      <c r="D31" s="13"/>
      <c r="E31" s="325" t="s">
        <v>43</v>
      </c>
      <c r="F31" s="138" t="s">
        <v>44</v>
      </c>
      <c r="G31" s="693"/>
    </row>
    <row r="32" spans="1:10" ht="19.5" hidden="1" customHeight="1">
      <c r="C32" s="12"/>
      <c r="D32" s="13"/>
      <c r="E32" s="326" t="s">
        <v>45</v>
      </c>
      <c r="F32" s="1677"/>
      <c r="G32" s="693"/>
    </row>
    <row r="33" spans="1:10" ht="19.5" customHeight="1">
      <c r="C33" s="12"/>
      <c r="D33" s="13"/>
      <c r="E33" s="325" t="s">
        <v>46</v>
      </c>
      <c r="F33" s="138" t="s">
        <v>47</v>
      </c>
      <c r="G33" s="693"/>
    </row>
    <row r="34" spans="1:10" ht="19.5" customHeight="1">
      <c r="C34" s="12"/>
      <c r="D34" s="13"/>
      <c r="E34" s="325" t="s">
        <v>48</v>
      </c>
      <c r="F34" s="138" t="s">
        <v>49</v>
      </c>
      <c r="G34" s="693"/>
      <c r="H34" s="14"/>
    </row>
    <row r="35" spans="1:10" s="1805" customFormat="1" ht="11.25" customHeight="1">
      <c r="A35" s="702"/>
      <c r="B35" s="152"/>
      <c r="C35" s="153"/>
      <c r="D35" s="158"/>
      <c r="E35" s="156"/>
      <c r="F35" s="159"/>
      <c r="G35" s="11"/>
      <c r="H35" s="343"/>
      <c r="I35" s="345"/>
      <c r="J35" s="787"/>
    </row>
    <row r="36" spans="1:10" ht="19.5" customHeight="1">
      <c r="A36" s="792"/>
      <c r="D36" s="13"/>
      <c r="E36" s="325" t="s">
        <v>50</v>
      </c>
      <c r="F36" s="1815" t="s">
        <v>51</v>
      </c>
      <c r="G36" s="11"/>
    </row>
    <row r="37" spans="1:10" ht="19.5" customHeight="1">
      <c r="A37" s="792"/>
      <c r="D37" s="13"/>
      <c r="E37" s="325" t="s">
        <v>52</v>
      </c>
      <c r="F37" s="1815" t="s">
        <v>53</v>
      </c>
      <c r="G37" s="11"/>
    </row>
    <row r="38" spans="1:10" s="1805" customFormat="1" ht="6" customHeight="1">
      <c r="A38" s="702"/>
      <c r="B38" s="152"/>
      <c r="C38" s="153"/>
      <c r="D38" s="154"/>
      <c r="E38" s="155"/>
      <c r="F38" s="960"/>
      <c r="G38" s="8"/>
      <c r="H38" s="343"/>
      <c r="I38" s="345"/>
      <c r="J38" s="789"/>
    </row>
    <row r="39" spans="1:10" ht="22.5" customHeight="1">
      <c r="A39" s="702"/>
      <c r="D39" s="9"/>
      <c r="E39" s="325" t="s">
        <v>54</v>
      </c>
      <c r="F39" s="629" t="s">
        <v>55</v>
      </c>
      <c r="G39" s="8"/>
      <c r="H39" s="690" t="s">
        <v>18</v>
      </c>
    </row>
    <row r="40" spans="1:10" s="1810" customFormat="1" ht="6" hidden="1" customHeight="1">
      <c r="A40" s="701"/>
      <c r="B40" s="359"/>
      <c r="C40" s="360"/>
      <c r="D40" s="361"/>
      <c r="E40" s="362"/>
      <c r="F40" s="960"/>
      <c r="G40" s="8"/>
      <c r="H40" s="343"/>
      <c r="I40" s="345"/>
      <c r="J40" s="789"/>
    </row>
    <row r="41" spans="1:10" s="1808" customFormat="1" ht="19.5" hidden="1" customHeight="1">
      <c r="A41" s="705" t="s">
        <v>22</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9" t="s">
        <v>55</v>
      </c>
      <c r="G41" s="8"/>
      <c r="I41" s="345"/>
      <c r="J41" s="789"/>
    </row>
    <row r="42" spans="1:10" s="1810" customFormat="1" ht="6" customHeight="1">
      <c r="A42" s="701"/>
      <c r="B42" s="359"/>
      <c r="C42" s="360"/>
      <c r="D42" s="361"/>
      <c r="E42" s="362"/>
      <c r="F42" s="960"/>
      <c r="G42" s="8"/>
      <c r="H42" s="343"/>
      <c r="I42" s="345"/>
      <c r="J42" s="787"/>
    </row>
    <row r="43" spans="1:10" s="1808" customFormat="1" ht="22.5" customHeight="1">
      <c r="A43" s="701"/>
      <c r="B43" s="347"/>
      <c r="C43" s="342"/>
      <c r="D43" s="344"/>
      <c r="E43" s="325" t="s">
        <v>56</v>
      </c>
      <c r="F43" s="629" t="s">
        <v>55</v>
      </c>
      <c r="G43" s="8"/>
      <c r="I43" s="345"/>
      <c r="J43" s="789"/>
    </row>
    <row r="44" spans="1:10" s="1808" customFormat="1" ht="22.5" customHeight="1">
      <c r="A44" s="701"/>
      <c r="B44" s="347"/>
      <c r="C44" s="342"/>
      <c r="D44" s="344"/>
      <c r="E44" s="1065" t="s">
        <v>57</v>
      </c>
      <c r="F44" s="1798"/>
      <c r="G44" s="8"/>
      <c r="I44" s="345"/>
      <c r="J44" s="789"/>
    </row>
    <row r="45" spans="1:10" s="1810" customFormat="1" ht="6" customHeight="1">
      <c r="A45" s="701"/>
      <c r="B45" s="359"/>
      <c r="C45" s="360"/>
      <c r="D45" s="361"/>
      <c r="E45" s="362"/>
      <c r="F45" s="960"/>
      <c r="G45" s="8"/>
      <c r="H45" s="343"/>
      <c r="I45" s="345"/>
      <c r="J45" s="789"/>
    </row>
    <row r="46" spans="1:10" s="1810" customFormat="1" ht="22.5" customHeight="1">
      <c r="A46" s="701"/>
      <c r="B46" s="359"/>
      <c r="C46" s="360"/>
      <c r="D46" s="361"/>
      <c r="E46" s="1065" t="s">
        <v>58</v>
      </c>
      <c r="F46" s="629" t="s">
        <v>55</v>
      </c>
      <c r="G46" s="8"/>
      <c r="H46" s="343"/>
      <c r="I46" s="345"/>
      <c r="J46" s="789"/>
    </row>
    <row r="47" spans="1:10" s="1808" customFormat="1" ht="22.5" customHeight="1">
      <c r="A47" s="701"/>
      <c r="B47" s="347"/>
      <c r="C47" s="342"/>
      <c r="D47" s="344"/>
      <c r="E47" s="1065" t="s">
        <v>59</v>
      </c>
      <c r="F47" s="629" t="s">
        <v>55</v>
      </c>
      <c r="G47" s="8"/>
      <c r="I47" s="345"/>
      <c r="J47" s="789"/>
    </row>
    <row r="48" spans="1:10" s="1805" customFormat="1" ht="6" hidden="1" customHeight="1">
      <c r="A48" s="701"/>
      <c r="B48" s="152"/>
      <c r="C48" s="153"/>
      <c r="D48" s="154"/>
      <c r="E48" s="155"/>
      <c r="F48" s="960"/>
      <c r="G48" s="8"/>
      <c r="H48" s="343"/>
      <c r="I48" s="345"/>
      <c r="J48" s="789"/>
    </row>
    <row r="49" spans="1:16" ht="19.5" hidden="1" customHeight="1">
      <c r="B49" s="72"/>
      <c r="D49" s="9"/>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9"/>
      <c r="G49" s="8"/>
    </row>
    <row r="50" spans="1:16" s="1810" customFormat="1" ht="6" hidden="1" customHeight="1">
      <c r="A50" s="702"/>
      <c r="B50" s="359"/>
      <c r="C50" s="360"/>
      <c r="D50" s="158"/>
      <c r="E50" s="156"/>
      <c r="F50" s="159"/>
      <c r="G50" s="11"/>
      <c r="H50" s="343"/>
      <c r="I50" s="345"/>
      <c r="J50" s="789"/>
    </row>
    <row r="51" spans="1:16" s="1816" customFormat="1" ht="22.5" hidden="1" customHeight="1">
      <c r="A51" s="703"/>
      <c r="B51" s="347"/>
      <c r="C51" s="456"/>
      <c r="D51" s="457"/>
      <c r="E51" s="325" t="s">
        <v>60</v>
      </c>
      <c r="F51" s="629" t="s">
        <v>55</v>
      </c>
      <c r="G51" s="458"/>
      <c r="I51" s="459"/>
      <c r="J51" s="791"/>
      <c r="P51" s="460"/>
    </row>
    <row r="52" spans="1:16" s="1810" customFormat="1" ht="6" hidden="1" customHeight="1">
      <c r="A52" s="702"/>
      <c r="B52" s="359"/>
      <c r="C52" s="360"/>
      <c r="D52" s="158"/>
      <c r="E52" s="156"/>
      <c r="F52" s="159"/>
      <c r="G52" s="11"/>
      <c r="H52" s="343"/>
      <c r="I52" s="345"/>
      <c r="J52" s="787"/>
    </row>
    <row r="53" spans="1:16" s="1816" customFormat="1" ht="22.5" hidden="1" customHeight="1">
      <c r="A53" s="703"/>
      <c r="B53" s="347"/>
      <c r="C53" s="456"/>
      <c r="D53" s="457"/>
      <c r="E53" s="325" t="s">
        <v>61</v>
      </c>
      <c r="F53" s="955" t="s">
        <v>55</v>
      </c>
      <c r="G53" s="458"/>
      <c r="I53" s="459"/>
      <c r="J53" s="791"/>
      <c r="P53" s="460"/>
    </row>
    <row r="54" spans="1:16" s="1816" customFormat="1" ht="22.5" hidden="1" customHeight="1">
      <c r="A54" s="703"/>
      <c r="B54" s="347"/>
      <c r="C54" s="456"/>
      <c r="D54" s="457"/>
      <c r="E54" s="325" t="s">
        <v>62</v>
      </c>
      <c r="F54" s="1685"/>
      <c r="G54" s="458"/>
      <c r="I54" s="459"/>
      <c r="J54" s="791"/>
      <c r="P54" s="460"/>
    </row>
    <row r="55" spans="1:16" s="1810" customFormat="1" ht="6" hidden="1" customHeight="1">
      <c r="A55" s="702"/>
      <c r="B55" s="359"/>
      <c r="C55" s="360"/>
      <c r="D55" s="158"/>
      <c r="E55" s="156"/>
      <c r="F55" s="159"/>
      <c r="G55" s="11"/>
      <c r="H55" s="343"/>
      <c r="I55" s="345"/>
      <c r="J55" s="787"/>
    </row>
    <row r="56" spans="1:16" s="1816" customFormat="1" ht="22.5" hidden="1" customHeight="1">
      <c r="A56" s="703"/>
      <c r="B56" s="347"/>
      <c r="C56" s="456"/>
      <c r="D56" s="457"/>
      <c r="E56" s="325" t="s">
        <v>63</v>
      </c>
      <c r="F56" s="955" t="s">
        <v>55</v>
      </c>
      <c r="G56" s="458"/>
      <c r="I56" s="459"/>
      <c r="J56" s="791"/>
      <c r="P56" s="460"/>
    </row>
    <row r="57" spans="1:16" s="1810" customFormat="1" ht="6" hidden="1" customHeight="1">
      <c r="A57" s="702"/>
      <c r="B57" s="359"/>
      <c r="C57" s="360"/>
      <c r="D57" s="158"/>
      <c r="E57" s="156"/>
      <c r="F57" s="159"/>
      <c r="G57" s="11"/>
      <c r="H57" s="343"/>
      <c r="I57" s="345"/>
      <c r="J57" s="787"/>
    </row>
    <row r="58" spans="1:16" s="1816" customFormat="1" ht="15" hidden="1" customHeight="1">
      <c r="A58" s="703"/>
      <c r="B58" s="347"/>
      <c r="C58" s="456"/>
      <c r="D58" s="457"/>
      <c r="E58" s="325" t="s">
        <v>64</v>
      </c>
      <c r="F58" s="955" t="s">
        <v>65</v>
      </c>
      <c r="G58" s="458"/>
      <c r="I58" s="459"/>
      <c r="J58" s="791"/>
      <c r="P58" s="460"/>
    </row>
    <row r="59" spans="1:16" s="1816" customFormat="1" ht="15" hidden="1" customHeight="1">
      <c r="A59" s="703"/>
      <c r="B59" s="347"/>
      <c r="C59" s="456"/>
      <c r="D59" s="457"/>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1"/>
      <c r="G59" s="458"/>
      <c r="I59" s="459"/>
      <c r="J59" s="791"/>
      <c r="P59" s="460"/>
    </row>
    <row r="60" spans="1:16" s="1816" customFormat="1" ht="15" hidden="1" customHeight="1">
      <c r="A60" s="703"/>
      <c r="B60" s="347"/>
      <c r="C60" s="456"/>
      <c r="D60" s="457"/>
      <c r="E60" s="1065" t="s">
        <v>66</v>
      </c>
      <c r="F60" s="1051"/>
      <c r="G60" s="458"/>
      <c r="I60" s="459"/>
      <c r="J60" s="791"/>
      <c r="P60" s="460"/>
    </row>
    <row r="61" spans="1:16" s="1810" customFormat="1" ht="6" hidden="1" customHeight="1">
      <c r="A61" s="702"/>
      <c r="B61" s="359"/>
      <c r="C61" s="360"/>
      <c r="D61" s="361"/>
      <c r="E61" s="362"/>
      <c r="F61" s="960"/>
      <c r="G61" s="8"/>
      <c r="H61" s="343"/>
      <c r="I61" s="345"/>
      <c r="J61" s="789"/>
    </row>
    <row r="62" spans="1:16" s="1808" customFormat="1" ht="33.75" hidden="1" customHeight="1">
      <c r="A62" s="702"/>
      <c r="B62" s="31"/>
      <c r="C62" s="342"/>
      <c r="D62" s="344"/>
      <c r="E62" s="1065" t="s">
        <v>67</v>
      </c>
      <c r="F62" s="1582" t="s">
        <v>65</v>
      </c>
      <c r="G62" s="8"/>
      <c r="H62" s="690" t="s">
        <v>18</v>
      </c>
      <c r="I62" s="345"/>
      <c r="J62" s="789"/>
    </row>
    <row r="63" spans="1:16" s="1805" customFormat="1" ht="6" customHeight="1">
      <c r="A63" s="702"/>
      <c r="B63" s="152"/>
      <c r="C63" s="153"/>
      <c r="D63" s="158"/>
      <c r="E63" s="156"/>
      <c r="F63" s="159"/>
      <c r="G63" s="11"/>
      <c r="H63" s="343"/>
      <c r="I63" s="345"/>
      <c r="J63" s="787"/>
    </row>
    <row r="64" spans="1:16" ht="19.5" customHeight="1">
      <c r="A64" s="704"/>
      <c r="B64" s="32"/>
      <c r="D64" s="16"/>
      <c r="E64" s="325" t="s">
        <v>68</v>
      </c>
      <c r="F64" s="137" t="s">
        <v>69</v>
      </c>
      <c r="G64" s="11"/>
    </row>
    <row r="65" spans="1:9" ht="19.5" customHeight="1">
      <c r="A65" s="704"/>
      <c r="B65" s="32"/>
      <c r="D65" s="16"/>
      <c r="E65" s="325" t="s">
        <v>70</v>
      </c>
      <c r="F65" s="137" t="s">
        <v>71</v>
      </c>
      <c r="G65" s="11"/>
    </row>
    <row r="66" spans="1:9" ht="35.25" customHeight="1">
      <c r="D66" s="9"/>
      <c r="E66" s="327" t="s">
        <v>72</v>
      </c>
      <c r="F66" s="961"/>
      <c r="G66" s="8"/>
    </row>
    <row r="67" spans="1:9" ht="19.5" customHeight="1">
      <c r="A67" s="704"/>
      <c r="D67" s="344"/>
      <c r="E67" s="325" t="s">
        <v>73</v>
      </c>
      <c r="F67" s="190" t="s">
        <v>74</v>
      </c>
      <c r="G67" s="11"/>
    </row>
    <row r="68" spans="1:9" ht="19.5" customHeight="1">
      <c r="A68" s="704"/>
      <c r="B68" s="32"/>
      <c r="D68" s="16"/>
      <c r="E68" s="325" t="s">
        <v>75</v>
      </c>
      <c r="F68" s="190" t="s">
        <v>76</v>
      </c>
      <c r="G68" s="11"/>
    </row>
    <row r="69" spans="1:9" ht="19.5" customHeight="1">
      <c r="A69" s="704"/>
      <c r="B69" s="32"/>
      <c r="D69" s="16"/>
      <c r="E69" s="325" t="s">
        <v>77</v>
      </c>
      <c r="F69" s="190" t="s">
        <v>78</v>
      </c>
      <c r="G69" s="11"/>
    </row>
    <row r="70" spans="1:9" ht="19.5" customHeight="1">
      <c r="D70" s="344"/>
      <c r="E70" s="325" t="s">
        <v>79</v>
      </c>
      <c r="F70" s="190" t="s">
        <v>80</v>
      </c>
      <c r="G70" s="8"/>
    </row>
    <row r="71" spans="1:9" ht="20.25" customHeight="1">
      <c r="A71" s="704"/>
      <c r="D71" s="8"/>
      <c r="F71" s="59"/>
      <c r="G71" s="11"/>
    </row>
    <row r="72" spans="1:9" ht="19.5" customHeight="1">
      <c r="A72" s="704"/>
      <c r="B72" s="32"/>
      <c r="D72" s="16"/>
      <c r="E72" s="15"/>
      <c r="F72" s="60"/>
      <c r="G72" s="11"/>
    </row>
    <row r="73" spans="1:9" ht="19.5" customHeight="1">
      <c r="A73" s="704"/>
      <c r="B73" s="32"/>
      <c r="D73" s="16"/>
      <c r="E73" s="15"/>
      <c r="F73" s="60"/>
      <c r="G73" s="11"/>
    </row>
    <row r="74" spans="1:9" ht="19.5" customHeight="1">
      <c r="A74" s="704"/>
      <c r="B74" s="32"/>
      <c r="D74" s="16"/>
      <c r="E74" s="20"/>
      <c r="F74" s="60"/>
      <c r="G74" s="11"/>
    </row>
    <row r="75" spans="1:9" ht="19.5" customHeight="1">
      <c r="A75" s="704"/>
      <c r="B75" s="32"/>
      <c r="D75" s="16"/>
      <c r="E75" s="15"/>
      <c r="F75" s="60"/>
      <c r="G75" s="11"/>
    </row>
    <row r="78" spans="1:9" ht="11.25" customHeight="1">
      <c r="E78" s="324"/>
      <c r="F78" s="324"/>
      <c r="G78" s="324"/>
      <c r="H78" s="324"/>
      <c r="I78" s="324"/>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824" hidden="1" customWidth="1"/>
    <col min="2" max="2" width="6" style="1825" hidden="1" customWidth="1"/>
    <col min="3" max="3" width="3.7109375" style="1824" customWidth="1"/>
    <col min="4" max="4" width="3.7109375" style="1834" customWidth="1"/>
    <col min="5" max="5" width="6.28515625" style="1835" customWidth="1"/>
    <col min="6" max="6" width="2.7109375" style="1824" hidden="1" customWidth="1"/>
    <col min="7" max="7" width="46.7109375" style="1835" customWidth="1"/>
    <col min="8" max="8" width="43.140625" style="1835" customWidth="1"/>
    <col min="9" max="9" width="14.85546875" style="1835" customWidth="1"/>
    <col min="10" max="10" width="3.7109375" style="1827" customWidth="1"/>
    <col min="11" max="13" width="9.140625" style="1827" hidden="1"/>
    <col min="14" max="14" width="25.7109375" style="1828" hidden="1" customWidth="1"/>
    <col min="15" max="15" width="14.42578125" style="1827" hidden="1" customWidth="1"/>
    <col min="16" max="19" width="9.140625" style="1829" hidden="1"/>
    <col min="20" max="27" width="9.140625" style="1835" hidden="1"/>
    <col min="28" max="28" width="9.140625" style="1835"/>
  </cols>
  <sheetData>
    <row r="1" spans="1:28" s="1819" customFormat="1" ht="5.25" hidden="1" customHeight="1">
      <c r="A1" s="422"/>
      <c r="B1" s="437"/>
      <c r="C1" s="437"/>
      <c r="D1" s="142"/>
      <c r="F1" s="437"/>
      <c r="G1" s="166" t="s">
        <v>81</v>
      </c>
      <c r="H1" s="420" t="s">
        <v>82</v>
      </c>
      <c r="I1" s="148" t="s">
        <v>83</v>
      </c>
      <c r="J1" s="166" t="s">
        <v>81</v>
      </c>
      <c r="K1" s="166"/>
      <c r="L1" s="166"/>
      <c r="M1" s="166"/>
      <c r="N1" s="167"/>
      <c r="O1" s="166"/>
      <c r="P1" s="166"/>
      <c r="Q1" s="166"/>
      <c r="R1" s="166"/>
      <c r="S1" s="166"/>
      <c r="T1" s="148"/>
      <c r="U1" s="148"/>
      <c r="V1" s="148"/>
      <c r="W1" s="148"/>
      <c r="X1" s="148"/>
      <c r="Y1" s="148"/>
      <c r="Z1" s="148"/>
      <c r="AA1" s="148"/>
      <c r="AB1" s="148"/>
    </row>
    <row r="2" spans="1:28" s="1822" customFormat="1" ht="11.25" customHeight="1">
      <c r="A2" s="748"/>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3" customFormat="1" ht="3" customHeight="1">
      <c r="A3" s="675"/>
      <c r="B3" s="351"/>
      <c r="C3" s="675"/>
      <c r="D3" s="85"/>
      <c r="E3" s="35"/>
      <c r="F3" s="435"/>
      <c r="G3" s="35"/>
      <c r="H3" s="35"/>
      <c r="I3" s="87"/>
      <c r="J3" s="166"/>
      <c r="K3" s="77"/>
      <c r="L3" s="77"/>
      <c r="M3" s="77"/>
      <c r="N3" s="147"/>
      <c r="O3" s="77"/>
      <c r="P3" s="146"/>
      <c r="Q3" s="146"/>
      <c r="R3" s="146"/>
      <c r="S3" s="146"/>
    </row>
    <row r="4" spans="1:28" s="1823" customFormat="1" ht="25.5" customHeight="1">
      <c r="A4" s="675"/>
      <c r="B4" s="351"/>
      <c r="C4" s="675"/>
      <c r="D4" s="85"/>
      <c r="E4" s="3922" t="str">
        <f>NameTemplatesInListMO</f>
        <v>Перечень муниципальных районов и муниципальных образований (территорий действия тарифа)</v>
      </c>
      <c r="F4" s="3922"/>
      <c r="G4" s="3922"/>
      <c r="H4" s="3922"/>
      <c r="I4" s="3922"/>
      <c r="J4" s="166"/>
      <c r="K4" s="77"/>
      <c r="L4" s="77"/>
      <c r="M4" s="77"/>
      <c r="N4" s="147"/>
      <c r="O4" s="77"/>
      <c r="P4" s="146"/>
      <c r="Q4" s="146"/>
      <c r="R4" s="146"/>
      <c r="S4" s="146"/>
    </row>
    <row r="5" spans="1:28" s="1823" customFormat="1" ht="3" customHeight="1">
      <c r="A5" s="675"/>
      <c r="B5" s="351"/>
      <c r="C5" s="675"/>
      <c r="D5" s="85"/>
      <c r="E5" s="35"/>
      <c r="F5" s="435"/>
      <c r="G5" s="88"/>
      <c r="H5" s="88"/>
      <c r="I5" s="89"/>
      <c r="J5" s="77"/>
      <c r="K5" s="77"/>
      <c r="L5" s="77"/>
      <c r="M5" s="77"/>
      <c r="N5" s="147"/>
      <c r="O5" s="77"/>
      <c r="P5" s="146"/>
      <c r="Q5" s="146"/>
      <c r="R5" s="146"/>
      <c r="S5" s="146"/>
    </row>
    <row r="6" spans="1:28" s="1823" customFormat="1" ht="20.25" hidden="1" customHeight="1">
      <c r="A6" s="754"/>
      <c r="B6" s="750"/>
      <c r="C6" s="90"/>
      <c r="D6" s="85"/>
      <c r="E6" s="696"/>
      <c r="F6" s="696"/>
      <c r="G6" s="88"/>
      <c r="H6" s="91"/>
      <c r="I6" s="91"/>
      <c r="J6" s="77"/>
      <c r="K6" s="77"/>
      <c r="L6" s="77"/>
      <c r="M6" s="77"/>
      <c r="N6" s="147"/>
      <c r="O6" s="77"/>
      <c r="P6" s="146"/>
      <c r="Q6" s="146"/>
      <c r="R6" s="146"/>
      <c r="S6" s="146"/>
    </row>
    <row r="7" spans="1:28" ht="25.5" hidden="1" customHeight="1"/>
    <row r="8" spans="1:28" s="1823" customFormat="1" ht="14.25" customHeight="1">
      <c r="A8" s="675"/>
      <c r="B8" s="351"/>
      <c r="C8" s="675"/>
      <c r="D8" s="85"/>
      <c r="E8" s="3918" t="s">
        <v>84</v>
      </c>
      <c r="F8" s="3923"/>
      <c r="G8" s="3917"/>
      <c r="H8" s="3924" t="s">
        <v>85</v>
      </c>
      <c r="I8" s="3924"/>
      <c r="J8" s="77"/>
      <c r="K8" s="77"/>
      <c r="L8" s="77"/>
      <c r="M8" s="77"/>
      <c r="N8" s="147"/>
      <c r="O8" s="77"/>
      <c r="P8" s="146"/>
      <c r="Q8" s="146"/>
      <c r="R8" s="146"/>
      <c r="S8" s="146"/>
    </row>
    <row r="9" spans="1:28" s="1823" customFormat="1" ht="20.25" customHeight="1">
      <c r="A9" s="675"/>
      <c r="B9" s="351"/>
      <c r="C9" s="675"/>
      <c r="D9" s="85"/>
      <c r="E9" s="694" t="s">
        <v>86</v>
      </c>
      <c r="F9" s="694"/>
      <c r="G9" s="93" t="s">
        <v>87</v>
      </c>
      <c r="H9" s="93" t="s">
        <v>87</v>
      </c>
      <c r="I9" s="93" t="s">
        <v>83</v>
      </c>
      <c r="J9" s="77"/>
      <c r="K9" s="77"/>
      <c r="L9" s="77"/>
      <c r="M9" s="77"/>
      <c r="N9" s="147"/>
      <c r="O9" s="77"/>
      <c r="P9" s="146"/>
      <c r="Q9" s="146"/>
      <c r="R9" s="146"/>
      <c r="S9" s="146"/>
    </row>
    <row r="10" spans="1:28" ht="11.25" customHeight="1">
      <c r="D10" s="97"/>
      <c r="E10" s="695" t="s">
        <v>88</v>
      </c>
      <c r="F10" s="695"/>
      <c r="G10" s="144" t="s">
        <v>89</v>
      </c>
      <c r="H10" s="144" t="s">
        <v>90</v>
      </c>
      <c r="I10" s="144" t="s">
        <v>91</v>
      </c>
      <c r="J10" s="107"/>
      <c r="K10" s="107"/>
      <c r="L10" s="107"/>
      <c r="M10" s="107"/>
      <c r="N10" s="92"/>
      <c r="O10" s="107"/>
      <c r="P10" s="145"/>
      <c r="Q10" s="145"/>
      <c r="R10" s="145"/>
      <c r="S10" s="145"/>
    </row>
    <row r="11" spans="1:28" s="1823" customFormat="1" ht="0.75" customHeight="1">
      <c r="A11" s="675"/>
      <c r="B11" s="351"/>
      <c r="C11" s="675"/>
      <c r="D11" s="85"/>
      <c r="E11" s="707"/>
      <c r="F11" s="707"/>
      <c r="G11" s="94"/>
      <c r="H11" s="94"/>
      <c r="I11" s="96"/>
      <c r="J11" s="168" t="s">
        <v>92</v>
      </c>
      <c r="K11" s="77"/>
      <c r="L11" s="77"/>
      <c r="M11" s="77" t="s">
        <v>93</v>
      </c>
      <c r="N11" s="147" t="s">
        <v>94</v>
      </c>
      <c r="O11" s="77" t="s">
        <v>95</v>
      </c>
      <c r="P11" s="146"/>
      <c r="Q11" s="146"/>
      <c r="R11" s="146"/>
      <c r="S11" s="146"/>
    </row>
    <row r="12" spans="1:28" s="1830" customFormat="1" ht="14.25" customHeight="1">
      <c r="A12" s="3921">
        <v>1</v>
      </c>
      <c r="B12" s="351"/>
      <c r="C12" s="675"/>
      <c r="D12" s="699"/>
      <c r="E12" s="140">
        <f>A12</f>
        <v>1</v>
      </c>
      <c r="F12" s="719" t="s">
        <v>96</v>
      </c>
      <c r="G12" s="465" t="str">
        <f>"Территория "&amp;E12</f>
        <v>Территория 1</v>
      </c>
      <c r="H12" s="709"/>
      <c r="I12" s="709"/>
      <c r="J12" s="706"/>
      <c r="K12" s="426"/>
      <c r="L12" s="426"/>
      <c r="M12" s="426"/>
      <c r="N12" s="147"/>
      <c r="O12" s="426"/>
      <c r="P12" s="146"/>
      <c r="Q12" s="146"/>
      <c r="R12" s="146"/>
      <c r="S12" s="146"/>
    </row>
    <row r="13" spans="1:28" s="1832" customFormat="1" ht="15" customHeight="1">
      <c r="A13" s="3921"/>
      <c r="B13" s="351">
        <v>1</v>
      </c>
      <c r="C13" s="351"/>
      <c r="D13" s="717"/>
      <c r="E13" s="697" t="str">
        <f>A12&amp;"."&amp;B13</f>
        <v>1.1</v>
      </c>
      <c r="F13" s="712" t="s">
        <v>97</v>
      </c>
      <c r="G13" s="710" t="s">
        <v>98</v>
      </c>
      <c r="H13" s="710" t="s">
        <v>98</v>
      </c>
      <c r="I13" s="708" t="s">
        <v>99</v>
      </c>
      <c r="J13" s="426" t="e">
        <f ca="1">MERGEVALUE(G13)</f>
        <v>#NAME?</v>
      </c>
      <c r="K13" s="437"/>
      <c r="L13" s="437"/>
      <c r="M13" s="426" t="str">
        <f t="array" ref="M13">IF(ISERROR(MATCH(MID(N13,1,250),MID(note_ter,1,250),0)),"n","y")</f>
        <v>n</v>
      </c>
      <c r="N13" s="437"/>
      <c r="O13" s="426" t="str">
        <f>H13&amp;"("&amp;I13&amp;")"</f>
        <v>городской округ "Город Южно-Сахалинск"(64701000)</v>
      </c>
      <c r="P13" s="351"/>
      <c r="Q13" s="351"/>
      <c r="R13" s="353"/>
      <c r="S13" s="351"/>
      <c r="T13" s="351"/>
      <c r="U13" s="351"/>
      <c r="V13" s="355"/>
      <c r="W13" s="355"/>
      <c r="X13" s="352"/>
      <c r="Y13" s="352"/>
      <c r="Z13" s="352"/>
      <c r="AA13" s="352"/>
      <c r="AB13" s="352"/>
    </row>
    <row r="14" spans="1:28" s="1832" customFormat="1" ht="15" customHeight="1">
      <c r="A14" s="3921"/>
      <c r="B14" s="351"/>
      <c r="C14" s="346"/>
      <c r="D14" s="718"/>
      <c r="E14" s="354"/>
      <c r="F14" s="98"/>
      <c r="G14" s="349" t="s">
        <v>100</v>
      </c>
      <c r="H14" s="108"/>
      <c r="I14" s="357"/>
      <c r="J14" s="437"/>
      <c r="K14" s="437"/>
      <c r="L14" s="437"/>
      <c r="M14" s="437"/>
      <c r="N14" s="426"/>
      <c r="O14" s="437"/>
      <c r="P14" s="351"/>
      <c r="Q14" s="351"/>
      <c r="R14" s="353"/>
      <c r="S14" s="351"/>
      <c r="T14" s="351"/>
      <c r="U14" s="351"/>
      <c r="V14" s="355"/>
      <c r="W14" s="355"/>
      <c r="X14" s="352"/>
      <c r="Y14" s="352"/>
      <c r="Z14" s="352"/>
      <c r="AA14" s="352"/>
      <c r="AB14" s="352"/>
    </row>
    <row r="15" spans="1:28" s="1823" customFormat="1" ht="14.25" customHeight="1">
      <c r="A15" s="675"/>
      <c r="B15" s="351"/>
      <c r="C15" s="675"/>
      <c r="D15" s="699"/>
      <c r="E15" s="711"/>
      <c r="F15" s="99"/>
      <c r="G15" s="350" t="s">
        <v>101</v>
      </c>
      <c r="H15" s="99"/>
      <c r="I15" s="100"/>
      <c r="J15" s="168"/>
      <c r="K15" s="77"/>
      <c r="L15" s="77"/>
      <c r="M15" s="77"/>
      <c r="N15" s="147" t="s">
        <v>102</v>
      </c>
      <c r="O15" s="77"/>
      <c r="P15" s="146"/>
      <c r="Q15" s="146"/>
      <c r="R15" s="146"/>
      <c r="S15" s="146"/>
    </row>
    <row r="16" spans="1:28" s="1823" customFormat="1" ht="21" customHeight="1">
      <c r="A16" s="675"/>
      <c r="B16" s="351"/>
      <c r="C16" s="675"/>
      <c r="D16" s="86"/>
      <c r="E16" s="101"/>
      <c r="F16" s="101"/>
      <c r="G16" s="101"/>
      <c r="H16" s="101"/>
      <c r="I16" s="101"/>
      <c r="J16" s="77"/>
      <c r="K16" s="77"/>
      <c r="L16" s="77"/>
      <c r="M16" s="77"/>
      <c r="N16" s="147"/>
      <c r="O16" s="77"/>
      <c r="P16" s="146"/>
      <c r="Q16" s="146"/>
      <c r="R16" s="146"/>
      <c r="S16" s="146"/>
    </row>
    <row r="17" spans="1:19" s="1823" customFormat="1" ht="14.25" customHeight="1">
      <c r="A17" s="675"/>
      <c r="B17" s="351"/>
      <c r="C17" s="675"/>
      <c r="D17" s="86"/>
      <c r="E17" s="17"/>
      <c r="F17" s="675"/>
      <c r="G17" s="17"/>
      <c r="H17" s="17"/>
      <c r="I17" s="17"/>
      <c r="J17" s="77"/>
      <c r="K17" s="77"/>
      <c r="L17" s="77"/>
      <c r="M17" s="77"/>
      <c r="N17" s="147"/>
      <c r="O17" s="77"/>
      <c r="P17" s="146"/>
      <c r="Q17" s="146"/>
      <c r="R17" s="146"/>
      <c r="S17" s="146"/>
    </row>
    <row r="18" spans="1:19" s="1823" customFormat="1" ht="0.75" customHeight="1">
      <c r="A18" s="675"/>
      <c r="B18" s="351"/>
      <c r="C18" s="675"/>
      <c r="D18" s="86"/>
      <c r="E18" s="17"/>
      <c r="F18" s="675"/>
      <c r="G18" s="17"/>
      <c r="H18" s="17"/>
      <c r="I18" s="17"/>
      <c r="J18" s="77"/>
      <c r="K18" s="77"/>
      <c r="L18" s="77"/>
      <c r="M18" s="77"/>
      <c r="N18" s="147"/>
      <c r="O18" s="77"/>
      <c r="P18" s="146"/>
      <c r="Q18" s="146"/>
      <c r="R18" s="146"/>
      <c r="S18" s="146"/>
    </row>
    <row r="19" spans="1:19" s="1836" customFormat="1" ht="10.5" customHeight="1">
      <c r="B19" s="751"/>
      <c r="D19" s="103"/>
      <c r="J19" s="77"/>
      <c r="K19" s="77"/>
      <c r="L19" s="77"/>
      <c r="M19" s="77"/>
      <c r="N19" s="147"/>
      <c r="O19" s="77"/>
      <c r="P19" s="146"/>
      <c r="Q19" s="146"/>
      <c r="R19" s="146"/>
      <c r="S19" s="146"/>
    </row>
    <row r="20" spans="1:19" s="1836" customFormat="1" ht="10.5" customHeight="1">
      <c r="B20" s="751"/>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844" hidden="1" customWidth="1"/>
    <col min="2" max="2" width="2" style="1844" hidden="1" customWidth="1"/>
    <col min="3" max="3" width="3.7109375" style="1844" customWidth="1"/>
    <col min="4" max="4" width="4.28515625" style="1844" customWidth="1"/>
    <col min="5" max="5" width="45" style="1844" customWidth="1"/>
    <col min="6" max="6" width="6.42578125" style="1844" customWidth="1"/>
    <col min="7" max="7" width="4.42578125" style="1844" customWidth="1"/>
    <col min="8" max="8" width="5.5703125" style="1844" customWidth="1"/>
    <col min="9" max="9" width="52.85546875" style="1844" customWidth="1"/>
    <col min="10" max="10" width="7" style="1844" customWidth="1"/>
    <col min="11" max="11" width="3.7109375" style="1844" customWidth="1"/>
    <col min="12" max="12" width="6.28515625" style="1844" customWidth="1"/>
    <col min="13" max="13" width="56.28515625" style="1844" customWidth="1"/>
    <col min="14" max="14" width="9.140625" style="1837"/>
    <col min="15" max="20" width="9.140625" style="1841" hidden="1"/>
    <col min="21" max="24" width="9.140625" style="1845" hidden="1"/>
    <col min="25" max="37" width="9.140625" style="1837" hidden="1"/>
    <col min="38" max="38" width="9.140625" style="1837"/>
  </cols>
  <sheetData>
    <row r="1" spans="1:38" ht="11.25" hidden="1" customHeight="1"/>
    <row r="2" spans="1:38" ht="11.25" hidden="1" customHeight="1"/>
    <row r="4" spans="1:38" ht="34.5" customHeight="1">
      <c r="A4" s="509"/>
      <c r="B4" s="509"/>
      <c r="D4" s="3939"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3940"/>
      <c r="F4" s="3940"/>
      <c r="G4" s="3940"/>
      <c r="H4" s="3940"/>
      <c r="I4" s="3941"/>
      <c r="J4" s="508"/>
      <c r="K4" s="508"/>
      <c r="L4" s="508"/>
      <c r="M4" s="508"/>
    </row>
    <row r="5" spans="1:38" s="1838" customFormat="1" ht="15" customHeight="1">
      <c r="A5" s="509"/>
      <c r="B5" s="509"/>
      <c r="C5" s="509"/>
      <c r="D5" s="3942" t="str">
        <f>IF(org=0,"Не определено",org)</f>
        <v>ООО «РИР-Сахалин»</v>
      </c>
      <c r="E5" s="3943"/>
      <c r="F5" s="3943"/>
      <c r="G5" s="3943"/>
      <c r="H5" s="3943"/>
      <c r="I5" s="3944"/>
      <c r="J5" s="510"/>
      <c r="K5" s="510"/>
      <c r="L5" s="510"/>
      <c r="M5" s="510"/>
      <c r="N5" s="510"/>
      <c r="O5" s="783"/>
      <c r="P5" s="783"/>
      <c r="Q5" s="783"/>
      <c r="R5" s="783"/>
      <c r="S5" s="783"/>
      <c r="T5" s="783"/>
      <c r="U5" s="1181"/>
      <c r="V5" s="1181"/>
      <c r="W5" s="1181"/>
      <c r="X5" s="1181"/>
      <c r="Y5" s="510"/>
      <c r="Z5" s="510"/>
      <c r="AA5" s="510"/>
      <c r="AB5" s="510"/>
      <c r="AC5" s="510"/>
      <c r="AD5" s="510"/>
      <c r="AE5" s="510"/>
      <c r="AF5" s="510"/>
      <c r="AG5" s="510"/>
      <c r="AH5" s="510"/>
      <c r="AI5" s="510"/>
      <c r="AJ5" s="510"/>
      <c r="AK5" s="510"/>
      <c r="AL5" s="510"/>
    </row>
    <row r="6" spans="1:38" s="1839" customFormat="1" ht="6" customHeight="1">
      <c r="A6" s="3921"/>
      <c r="B6" s="3921"/>
      <c r="C6" s="3921"/>
      <c r="D6" s="3921"/>
      <c r="E6" s="3921"/>
      <c r="F6" s="3921"/>
      <c r="G6" s="511"/>
      <c r="H6" s="511"/>
      <c r="I6" s="511"/>
      <c r="J6" s="511"/>
      <c r="K6" s="511"/>
      <c r="N6" s="513"/>
      <c r="O6" s="1330"/>
      <c r="P6" s="1330"/>
      <c r="Q6" s="1330"/>
      <c r="R6" s="1330"/>
      <c r="S6" s="1330"/>
      <c r="T6" s="1330"/>
      <c r="U6" s="1183"/>
      <c r="V6" s="1183"/>
      <c r="W6" s="1183"/>
      <c r="X6" s="1183"/>
      <c r="Y6" s="513"/>
      <c r="Z6" s="513"/>
      <c r="AA6" s="513"/>
      <c r="AB6" s="513"/>
      <c r="AC6" s="513"/>
      <c r="AD6" s="513"/>
      <c r="AE6" s="513"/>
      <c r="AF6" s="513"/>
      <c r="AG6" s="513"/>
      <c r="AH6" s="513"/>
      <c r="AI6" s="513"/>
      <c r="AJ6" s="513"/>
      <c r="AK6" s="513"/>
      <c r="AL6" s="513"/>
    </row>
    <row r="7" spans="1:38" ht="45.75" hidden="1" customHeight="1">
      <c r="E7" s="394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3950"/>
      <c r="G7" s="3950"/>
      <c r="H7" s="3950"/>
      <c r="I7" s="3950"/>
      <c r="J7" s="3950"/>
      <c r="K7" s="3950"/>
      <c r="L7" s="3950"/>
      <c r="M7" s="3950"/>
    </row>
    <row r="8" spans="1:38" s="1838" customFormat="1" ht="6" customHeight="1">
      <c r="A8" s="514"/>
      <c r="B8" s="514"/>
      <c r="C8" s="514"/>
      <c r="D8" s="514"/>
      <c r="E8" s="514"/>
      <c r="F8" s="514"/>
      <c r="G8" s="514"/>
      <c r="H8" s="514"/>
      <c r="I8" s="514"/>
      <c r="J8" s="514"/>
      <c r="K8" s="514"/>
      <c r="L8" s="514"/>
      <c r="M8" s="512"/>
      <c r="N8" s="510"/>
      <c r="O8" s="783"/>
      <c r="P8" s="783"/>
      <c r="Q8" s="783"/>
      <c r="R8" s="783"/>
      <c r="S8" s="783"/>
      <c r="T8" s="783"/>
      <c r="U8" s="1181"/>
      <c r="V8" s="1181"/>
      <c r="W8" s="1181"/>
      <c r="X8" s="1181"/>
      <c r="Y8" s="510"/>
      <c r="Z8" s="510"/>
      <c r="AA8" s="510"/>
      <c r="AB8" s="510"/>
      <c r="AC8" s="510"/>
      <c r="AD8" s="510"/>
      <c r="AE8" s="510"/>
      <c r="AF8" s="510"/>
      <c r="AG8" s="510"/>
      <c r="AH8" s="510"/>
      <c r="AI8" s="510"/>
      <c r="AJ8" s="510"/>
      <c r="AK8" s="510"/>
      <c r="AL8" s="510"/>
    </row>
    <row r="9" spans="1:38" ht="18" customHeight="1">
      <c r="A9" s="3945"/>
      <c r="B9" s="249"/>
      <c r="C9" s="249"/>
      <c r="D9" s="3946" t="s">
        <v>103</v>
      </c>
      <c r="E9" s="3946"/>
      <c r="F9" s="3947" t="s">
        <v>104</v>
      </c>
      <c r="G9" s="3948"/>
      <c r="H9" s="3948"/>
      <c r="I9" s="3948"/>
      <c r="J9" s="3951" t="s">
        <v>105</v>
      </c>
      <c r="K9" s="3951"/>
      <c r="L9" s="3951"/>
      <c r="M9" s="3951"/>
    </row>
    <row r="10" spans="1:38" ht="22.5" customHeight="1">
      <c r="A10" s="3945"/>
      <c r="B10" s="515"/>
      <c r="C10" s="451"/>
      <c r="D10" s="449" t="s">
        <v>86</v>
      </c>
      <c r="E10" s="449" t="s">
        <v>87</v>
      </c>
      <c r="F10" s="449" t="s">
        <v>106</v>
      </c>
      <c r="G10" s="3952" t="s">
        <v>86</v>
      </c>
      <c r="H10" s="3953"/>
      <c r="I10" s="449" t="s">
        <v>87</v>
      </c>
      <c r="J10" s="449" t="s">
        <v>106</v>
      </c>
      <c r="K10" s="3952" t="s">
        <v>86</v>
      </c>
      <c r="L10" s="3953"/>
      <c r="M10" s="449" t="s">
        <v>87</v>
      </c>
      <c r="N10" s="1539"/>
    </row>
    <row r="11" spans="1:38" s="1840" customFormat="1" ht="11.25" hidden="1" customHeight="1">
      <c r="A11" s="516"/>
      <c r="B11" s="516"/>
      <c r="C11" s="516"/>
      <c r="D11" s="517" t="s">
        <v>107</v>
      </c>
      <c r="E11" s="517" t="s">
        <v>108</v>
      </c>
      <c r="F11" s="517" t="s">
        <v>88</v>
      </c>
      <c r="G11" s="3935" t="s">
        <v>89</v>
      </c>
      <c r="H11" s="3936"/>
      <c r="I11" s="517" t="s">
        <v>109</v>
      </c>
      <c r="J11" s="517" t="s">
        <v>90</v>
      </c>
      <c r="K11" s="3937" t="s">
        <v>91</v>
      </c>
      <c r="L11" s="3938"/>
      <c r="M11" s="517" t="s">
        <v>110</v>
      </c>
      <c r="N11" s="1538"/>
      <c r="O11" s="1329"/>
      <c r="P11" s="1331"/>
      <c r="Q11" s="1331"/>
      <c r="R11" s="1331"/>
      <c r="S11" s="1331"/>
      <c r="T11" s="1331"/>
      <c r="U11" s="1184"/>
      <c r="V11" s="1184"/>
      <c r="W11" s="1184"/>
      <c r="X11" s="1184"/>
      <c r="Y11" s="518"/>
      <c r="Z11" s="518"/>
      <c r="AA11" s="518"/>
      <c r="AB11" s="518"/>
      <c r="AC11" s="518"/>
      <c r="AD11" s="518"/>
      <c r="AE11" s="518"/>
      <c r="AF11" s="518"/>
      <c r="AG11" s="518"/>
      <c r="AH11" s="518"/>
      <c r="AI11" s="518"/>
      <c r="AJ11" s="518"/>
      <c r="AK11" s="518"/>
      <c r="AL11" s="518"/>
    </row>
    <row r="12" spans="1:38" ht="0.75" customHeight="1">
      <c r="A12" s="519"/>
      <c r="B12" s="520"/>
      <c r="C12" s="520"/>
      <c r="D12" s="521"/>
      <c r="E12" s="295"/>
      <c r="F12" s="522"/>
      <c r="G12" s="966"/>
      <c r="H12" s="966"/>
      <c r="I12" s="522"/>
      <c r="J12" s="522"/>
      <c r="K12" s="95"/>
      <c r="L12" s="295"/>
      <c r="M12" s="523"/>
      <c r="N12" s="1539"/>
      <c r="O12" s="1329" t="s">
        <v>111</v>
      </c>
      <c r="P12" s="1329" t="s">
        <v>112</v>
      </c>
      <c r="Q12" s="1329" t="s">
        <v>113</v>
      </c>
      <c r="R12" s="1329" t="s">
        <v>114</v>
      </c>
    </row>
    <row r="13" spans="1:38" s="1842" customFormat="1" ht="15" customHeight="1">
      <c r="A13" s="212"/>
      <c r="B13" s="212"/>
      <c r="C13" s="452"/>
      <c r="D13" s="3928" t="s">
        <v>107</v>
      </c>
      <c r="E13" s="3929"/>
      <c r="F13" s="3932" t="s">
        <v>65</v>
      </c>
      <c r="G13" s="3933"/>
      <c r="H13" s="3934">
        <v>1</v>
      </c>
      <c r="I13" s="3925" t="str">
        <f>IF(U13="","",INDEX(TERRITORY_MR_LIST,MATCH(U13,TERRITORY_LIST_ID,0)))</f>
        <v/>
      </c>
      <c r="J13" s="3927" t="s">
        <v>55</v>
      </c>
      <c r="K13" s="524"/>
      <c r="L13" s="453" t="s">
        <v>107</v>
      </c>
      <c r="M13" s="525" t="s">
        <v>24</v>
      </c>
      <c r="N13" s="729"/>
      <c r="O13" s="1332" t="s">
        <v>115</v>
      </c>
      <c r="P13" s="1329">
        <f>$E$13</f>
        <v>0</v>
      </c>
      <c r="Q13" s="1329" t="str">
        <f>IF($F$13="нет","без дифференциации",$I$13)</f>
        <v/>
      </c>
      <c r="R13" s="1329" t="str">
        <f>IF($J$13="нет","без дифференциации",M13)</f>
        <v>без дифференциации</v>
      </c>
      <c r="S13" s="1332"/>
      <c r="T13" s="1332"/>
      <c r="U13" s="1185"/>
      <c r="V13" s="1185"/>
      <c r="W13" s="1185"/>
      <c r="X13" s="1185"/>
      <c r="Y13" s="526" t="s">
        <v>116</v>
      </c>
      <c r="Z13" s="526">
        <v>1705000</v>
      </c>
      <c r="AA13" s="526"/>
      <c r="AB13" s="526"/>
      <c r="AC13" s="526"/>
      <c r="AD13" s="526"/>
      <c r="AE13" s="526"/>
      <c r="AF13" s="526"/>
      <c r="AG13" s="526"/>
      <c r="AH13" s="526"/>
      <c r="AI13" s="526"/>
      <c r="AJ13" s="526"/>
      <c r="AK13" s="526"/>
      <c r="AL13" s="526"/>
    </row>
    <row r="14" spans="1:38" s="1842" customFormat="1" ht="15" customHeight="1">
      <c r="A14" s="212"/>
      <c r="B14" s="212"/>
      <c r="C14" s="97"/>
      <c r="D14" s="3928"/>
      <c r="E14" s="3930"/>
      <c r="F14" s="3927"/>
      <c r="G14" s="3933"/>
      <c r="H14" s="3934"/>
      <c r="I14" s="3926"/>
      <c r="J14" s="3927"/>
      <c r="K14" s="354"/>
      <c r="L14" s="98"/>
      <c r="M14" s="528" t="s">
        <v>117</v>
      </c>
      <c r="N14" s="729"/>
      <c r="O14" s="1332"/>
      <c r="P14" s="1329"/>
      <c r="Q14" s="1329"/>
      <c r="R14" s="1329"/>
      <c r="S14" s="1332"/>
      <c r="T14" s="1332"/>
      <c r="U14" s="1185"/>
      <c r="V14" s="1185"/>
      <c r="W14" s="1185"/>
      <c r="X14" s="1185"/>
      <c r="Y14" s="526"/>
      <c r="Z14" s="526"/>
      <c r="AA14" s="526"/>
      <c r="AB14" s="526"/>
      <c r="AC14" s="526"/>
      <c r="AD14" s="526"/>
      <c r="AE14" s="526"/>
      <c r="AF14" s="526"/>
      <c r="AG14" s="526"/>
      <c r="AH14" s="526"/>
      <c r="AI14" s="526"/>
      <c r="AJ14" s="526"/>
      <c r="AK14" s="526"/>
      <c r="AL14" s="526"/>
    </row>
    <row r="15" spans="1:38" s="1842" customFormat="1" ht="15" customHeight="1">
      <c r="A15" s="212"/>
      <c r="B15" s="212"/>
      <c r="C15" s="97"/>
      <c r="D15" s="3928"/>
      <c r="E15" s="3931"/>
      <c r="F15" s="3927"/>
      <c r="G15" s="967"/>
      <c r="H15" s="968"/>
      <c r="I15" s="505" t="s">
        <v>118</v>
      </c>
      <c r="J15" s="98"/>
      <c r="K15" s="98"/>
      <c r="L15" s="98"/>
      <c r="M15" s="529"/>
      <c r="N15" s="729"/>
      <c r="O15" s="1332"/>
      <c r="P15" s="1329"/>
      <c r="Q15" s="1329"/>
      <c r="R15" s="1329"/>
      <c r="S15" s="1332"/>
      <c r="T15" s="1332"/>
      <c r="U15" s="1185"/>
      <c r="V15" s="1185"/>
      <c r="W15" s="1185"/>
      <c r="X15" s="1185"/>
      <c r="Y15" s="526"/>
      <c r="Z15" s="526"/>
      <c r="AA15" s="526"/>
      <c r="AB15" s="526"/>
      <c r="AC15" s="526"/>
      <c r="AD15" s="526"/>
      <c r="AE15" s="526"/>
      <c r="AF15" s="526"/>
      <c r="AG15" s="526"/>
      <c r="AH15" s="526"/>
      <c r="AI15" s="526"/>
      <c r="AJ15" s="526"/>
      <c r="AK15" s="526"/>
      <c r="AL15" s="526"/>
    </row>
    <row r="16" spans="1:38" ht="15" customHeight="1">
      <c r="A16" s="530"/>
      <c r="B16" s="61"/>
      <c r="C16" s="723"/>
      <c r="D16" s="354"/>
      <c r="E16" s="496" t="s">
        <v>119</v>
      </c>
      <c r="F16" s="98"/>
      <c r="G16" s="98"/>
      <c r="H16" s="98"/>
      <c r="I16" s="98"/>
      <c r="J16" s="98"/>
      <c r="K16" s="98" t="s">
        <v>24</v>
      </c>
      <c r="L16" s="98"/>
      <c r="M16" s="529"/>
      <c r="N16" s="1539"/>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election activeCell="J28" sqref="J28:J31"/>
    </sheetView>
  </sheetViews>
  <sheetFormatPr defaultColWidth="9.140625" defaultRowHeight="11.25" customHeight="1"/>
  <cols>
    <col min="1" max="2" width="3.7109375" style="1913" hidden="1" customWidth="1"/>
    <col min="3" max="3" width="3.7109375" style="1914" customWidth="1"/>
    <col min="4" max="4" width="6.140625" style="1914" customWidth="1"/>
    <col min="5" max="5" width="43.140625" style="1914" customWidth="1"/>
    <col min="6" max="6" width="15" style="1863" customWidth="1"/>
    <col min="7" max="7" width="43.140625" style="1914" customWidth="1"/>
    <col min="8" max="8" width="3.7109375" style="1914" customWidth="1"/>
    <col min="9" max="9" width="5.42578125" style="1914" customWidth="1"/>
    <col min="10" max="10" width="47.85546875" style="1914" customWidth="1"/>
    <col min="11" max="12" width="3.7109375" style="1914" customWidth="1"/>
    <col min="13" max="13" width="5.7109375" style="1914" customWidth="1"/>
    <col min="14" max="14" width="28.140625" style="1914" customWidth="1"/>
    <col min="15" max="16" width="3.7109375" style="1914" customWidth="1"/>
    <col min="17" max="17" width="5.7109375" style="1914" customWidth="1"/>
    <col min="18" max="18" width="34.42578125" style="1914" customWidth="1"/>
    <col min="19" max="20" width="3.7109375" style="1915" customWidth="1"/>
    <col min="21" max="21" width="5.7109375" style="1915" customWidth="1"/>
    <col min="22" max="22" width="34.42578125" style="1915" customWidth="1"/>
    <col min="23" max="23" width="30.7109375" style="1914" customWidth="1"/>
    <col min="24" max="24" width="3.7109375" style="1914" customWidth="1"/>
    <col min="25" max="28" width="9.85546875" style="1848" hidden="1" customWidth="1"/>
    <col min="29" max="29" width="27" style="1848" hidden="1" customWidth="1"/>
    <col min="30" max="30" width="10.5703125" style="1848" hidden="1" customWidth="1"/>
    <col min="31" max="31" width="10.7109375" style="1848" hidden="1" customWidth="1"/>
    <col min="32" max="32" width="10" style="1848" hidden="1" customWidth="1"/>
    <col min="33" max="33" width="12.85546875" style="1848" hidden="1" customWidth="1"/>
    <col min="34" max="34" width="10.28515625" style="1848" hidden="1" customWidth="1"/>
    <col min="35" max="35" width="15.85546875" style="1848" hidden="1" customWidth="1"/>
    <col min="36" max="36" width="19.42578125" style="1848" hidden="1" customWidth="1"/>
    <col min="37" max="37" width="11" style="1848" hidden="1" customWidth="1"/>
    <col min="38" max="38" width="23.5703125" style="1848" hidden="1" customWidth="1"/>
    <col min="39" max="39" width="23.85546875" style="1848" hidden="1" customWidth="1"/>
    <col min="40" max="40" width="25.28515625" style="1848" hidden="1" customWidth="1"/>
    <col min="41" max="41" width="16.85546875" style="1848" hidden="1" customWidth="1"/>
    <col min="42" max="42" width="29.5703125" style="1848" hidden="1" customWidth="1"/>
    <col min="43" max="43" width="29.85546875" style="1848" hidden="1" customWidth="1"/>
    <col min="44" max="44" width="9.140625" style="1914" hidden="1"/>
  </cols>
  <sheetData>
    <row r="1" spans="1:43" ht="11.25" hidden="1" customHeight="1">
      <c r="A1" s="78"/>
    </row>
    <row r="2" spans="1:43" ht="11.25" hidden="1" customHeight="1"/>
    <row r="3" spans="1:43" ht="11.25" hidden="1" customHeight="1"/>
    <row r="4" spans="1:43" ht="3" customHeight="1"/>
    <row r="5" spans="1:43" s="1846" customFormat="1" ht="29.25" customHeight="1">
      <c r="A5" s="76"/>
      <c r="B5" s="76"/>
      <c r="D5" s="39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3979"/>
      <c r="F5" s="3979"/>
      <c r="G5" s="3979"/>
      <c r="H5" s="3979"/>
      <c r="I5" s="3979"/>
      <c r="J5" s="3980"/>
      <c r="K5" s="184"/>
      <c r="L5" s="67"/>
      <c r="M5" s="67"/>
      <c r="N5" s="67"/>
      <c r="O5" s="67"/>
      <c r="P5" s="67"/>
      <c r="Q5" s="67"/>
      <c r="R5" s="67"/>
      <c r="S5" s="209"/>
      <c r="T5" s="209"/>
      <c r="U5" s="209"/>
      <c r="V5" s="209"/>
      <c r="W5" s="67"/>
      <c r="Y5" s="1180"/>
      <c r="Z5" s="1180"/>
      <c r="AA5" s="1180"/>
      <c r="AB5" s="1180"/>
      <c r="AC5" s="1180"/>
      <c r="AD5" s="1180"/>
      <c r="AE5" s="1180"/>
      <c r="AF5" s="1180"/>
      <c r="AG5" s="1180"/>
      <c r="AH5" s="1180"/>
      <c r="AI5" s="1180"/>
      <c r="AJ5" s="1180"/>
      <c r="AK5" s="1180"/>
      <c r="AL5" s="1180"/>
      <c r="AM5" s="1180"/>
      <c r="AN5" s="1180"/>
      <c r="AO5" s="1180"/>
      <c r="AP5" s="1180"/>
      <c r="AQ5" s="1180"/>
    </row>
    <row r="6" spans="1:43" s="1838" customFormat="1" ht="15" customHeight="1">
      <c r="A6" s="509"/>
      <c r="B6" s="509"/>
      <c r="C6" s="509"/>
      <c r="D6" s="3984" t="str">
        <f>IF(org=0,"Не определено",org)</f>
        <v>ООО «РИР-Сахалин»</v>
      </c>
      <c r="E6" s="3984"/>
      <c r="F6" s="3984"/>
      <c r="G6" s="3984"/>
      <c r="H6" s="3984"/>
      <c r="I6" s="3984"/>
      <c r="J6" s="3984"/>
      <c r="K6" s="510"/>
      <c r="L6" s="510"/>
      <c r="M6" s="510"/>
      <c r="N6" s="510"/>
      <c r="O6" s="783"/>
      <c r="P6" s="783"/>
      <c r="Q6" s="783"/>
      <c r="R6" s="783"/>
      <c r="S6" s="783"/>
      <c r="T6" s="783"/>
      <c r="U6" s="783"/>
      <c r="V6" s="783"/>
      <c r="W6" s="783"/>
      <c r="X6" s="510"/>
      <c r="Y6" s="1181"/>
      <c r="Z6" s="1181"/>
      <c r="AA6" s="1181"/>
      <c r="AB6" s="1181"/>
      <c r="AC6" s="1181"/>
      <c r="AD6" s="1181"/>
      <c r="AE6" s="1181"/>
      <c r="AF6" s="1181"/>
      <c r="AG6" s="1181"/>
      <c r="AH6" s="1181"/>
      <c r="AI6" s="1181"/>
      <c r="AJ6" s="1181"/>
      <c r="AK6" s="1181"/>
      <c r="AL6" s="1181"/>
      <c r="AM6" s="1181"/>
      <c r="AN6" s="1181"/>
      <c r="AO6" s="1181"/>
      <c r="AP6" s="1181"/>
      <c r="AQ6" s="1181"/>
    </row>
    <row r="7" spans="1:43" s="1847" customFormat="1" ht="11.25" customHeight="1">
      <c r="A7" s="132"/>
      <c r="B7" s="132"/>
      <c r="D7" s="3981"/>
      <c r="E7" s="3982"/>
      <c r="F7" s="3982"/>
      <c r="G7" s="3982"/>
      <c r="H7" s="3982"/>
      <c r="I7" s="3982"/>
      <c r="J7" s="3983"/>
      <c r="S7" s="218"/>
      <c r="T7" s="218"/>
      <c r="U7" s="218"/>
      <c r="V7" s="218"/>
      <c r="Y7" s="1182"/>
      <c r="Z7" s="1182"/>
      <c r="AA7" s="1182"/>
      <c r="AB7" s="1182"/>
      <c r="AC7" s="1182"/>
      <c r="AD7" s="1182"/>
      <c r="AE7" s="1182"/>
      <c r="AF7" s="1182"/>
      <c r="AG7" s="1182"/>
      <c r="AH7" s="1182"/>
      <c r="AI7" s="1182"/>
      <c r="AJ7" s="1182"/>
      <c r="AK7" s="1182"/>
      <c r="AL7" s="1182"/>
      <c r="AM7" s="1182"/>
      <c r="AN7" s="1182"/>
      <c r="AO7" s="1182"/>
      <c r="AP7" s="1182"/>
      <c r="AQ7" s="1182"/>
    </row>
    <row r="8" spans="1:43" s="1846"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0"/>
      <c r="Z8" s="1180"/>
      <c r="AA8" s="1180"/>
      <c r="AB8" s="1180"/>
      <c r="AC8" s="1180"/>
      <c r="AD8" s="1180"/>
      <c r="AE8" s="1180"/>
      <c r="AF8" s="1180"/>
      <c r="AG8" s="1180"/>
      <c r="AH8" s="1180"/>
      <c r="AI8" s="1180"/>
      <c r="AJ8" s="1180"/>
      <c r="AK8" s="1180"/>
      <c r="AL8" s="1180"/>
      <c r="AM8" s="1180"/>
      <c r="AN8" s="1180"/>
      <c r="AO8" s="1180"/>
      <c r="AP8" s="1180"/>
      <c r="AQ8" s="1180"/>
    </row>
    <row r="9" spans="1:43" ht="27" customHeight="1">
      <c r="D9" s="3946" t="s">
        <v>86</v>
      </c>
      <c r="E9" s="3918" t="s">
        <v>120</v>
      </c>
      <c r="F9" s="3917"/>
      <c r="G9" s="3946" t="s">
        <v>103</v>
      </c>
      <c r="H9" s="3946" t="s">
        <v>86</v>
      </c>
      <c r="I9" s="3946"/>
      <c r="J9" s="3946" t="s">
        <v>121</v>
      </c>
      <c r="K9" s="3974" t="s">
        <v>122</v>
      </c>
      <c r="L9" s="3974"/>
      <c r="M9" s="3974"/>
      <c r="N9" s="3974"/>
      <c r="O9" s="3974" t="s">
        <v>123</v>
      </c>
      <c r="P9" s="3974"/>
      <c r="Q9" s="3974"/>
      <c r="R9" s="3974"/>
      <c r="S9" s="3974" t="s">
        <v>124</v>
      </c>
      <c r="T9" s="3974"/>
      <c r="U9" s="3974"/>
      <c r="V9" s="3974"/>
      <c r="W9" s="3946" t="s">
        <v>125</v>
      </c>
    </row>
    <row r="10" spans="1:43" ht="30" customHeight="1">
      <c r="D10" s="3946"/>
      <c r="E10" s="1203" t="s">
        <v>87</v>
      </c>
      <c r="F10" s="1203" t="s">
        <v>126</v>
      </c>
      <c r="G10" s="3946"/>
      <c r="H10" s="3946"/>
      <c r="I10" s="3946"/>
      <c r="J10" s="3946"/>
      <c r="K10" s="41" t="s">
        <v>106</v>
      </c>
      <c r="L10" s="3946" t="s">
        <v>86</v>
      </c>
      <c r="M10" s="3946"/>
      <c r="N10" s="41" t="s">
        <v>127</v>
      </c>
      <c r="O10" s="41" t="s">
        <v>106</v>
      </c>
      <c r="P10" s="3946" t="s">
        <v>86</v>
      </c>
      <c r="Q10" s="3946"/>
      <c r="R10" s="41" t="s">
        <v>127</v>
      </c>
      <c r="S10" s="202" t="s">
        <v>106</v>
      </c>
      <c r="T10" s="3946" t="s">
        <v>86</v>
      </c>
      <c r="U10" s="3946"/>
      <c r="V10" s="202" t="s">
        <v>87</v>
      </c>
      <c r="W10" s="3946"/>
      <c r="Z10" s="1179" t="s">
        <v>128</v>
      </c>
      <c r="AA10" s="1179" t="s">
        <v>129</v>
      </c>
      <c r="AB10" s="1179" t="s">
        <v>130</v>
      </c>
      <c r="AC10" s="1179" t="s">
        <v>131</v>
      </c>
      <c r="AD10" s="1179" t="s">
        <v>132</v>
      </c>
      <c r="AE10" s="1179" t="s">
        <v>133</v>
      </c>
      <c r="AF10" s="1179" t="s">
        <v>134</v>
      </c>
      <c r="AG10" s="1179" t="s">
        <v>135</v>
      </c>
      <c r="AH10" s="1179" t="s">
        <v>136</v>
      </c>
      <c r="AI10" s="1179" t="s">
        <v>137</v>
      </c>
      <c r="AJ10" s="1179" t="s">
        <v>138</v>
      </c>
      <c r="AK10" s="1179" t="s">
        <v>139</v>
      </c>
      <c r="AL10" s="1179" t="s">
        <v>140</v>
      </c>
      <c r="AM10" s="1179" t="s">
        <v>141</v>
      </c>
      <c r="AN10" s="1179" t="s">
        <v>142</v>
      </c>
      <c r="AO10" s="1179" t="s">
        <v>143</v>
      </c>
      <c r="AP10" s="1179" t="s">
        <v>144</v>
      </c>
      <c r="AQ10" s="1179" t="s">
        <v>145</v>
      </c>
    </row>
    <row r="11" spans="1:43" s="1849" customFormat="1" ht="12" hidden="1" customHeight="1">
      <c r="D11" s="1159" t="s">
        <v>107</v>
      </c>
      <c r="E11" s="1159" t="s">
        <v>108</v>
      </c>
      <c r="F11" s="1159"/>
      <c r="G11" s="1159" t="s">
        <v>88</v>
      </c>
      <c r="H11" s="3975" t="s">
        <v>109</v>
      </c>
      <c r="I11" s="3975"/>
      <c r="J11" s="1159" t="s">
        <v>90</v>
      </c>
      <c r="K11" s="1159" t="s">
        <v>91</v>
      </c>
      <c r="L11" s="3975" t="s">
        <v>110</v>
      </c>
      <c r="M11" s="3975"/>
      <c r="N11" s="1159" t="s">
        <v>146</v>
      </c>
      <c r="O11" s="1159" t="s">
        <v>147</v>
      </c>
      <c r="P11" s="3975" t="s">
        <v>148</v>
      </c>
      <c r="Q11" s="3975"/>
      <c r="R11" s="1159" t="s">
        <v>149</v>
      </c>
      <c r="S11" s="1159" t="s">
        <v>148</v>
      </c>
      <c r="T11" s="3975" t="s">
        <v>149</v>
      </c>
      <c r="U11" s="3975"/>
      <c r="V11" s="1159" t="s">
        <v>150</v>
      </c>
      <c r="W11" s="1159" t="s">
        <v>151</v>
      </c>
      <c r="Y11" s="1179"/>
      <c r="Z11" s="1179"/>
      <c r="AA11" s="1179"/>
      <c r="AB11" s="1179"/>
      <c r="AC11" s="1179"/>
      <c r="AD11" s="1179"/>
      <c r="AE11" s="1179"/>
      <c r="AF11" s="1179"/>
      <c r="AG11" s="1179"/>
      <c r="AH11" s="1179"/>
      <c r="AI11" s="1179"/>
      <c r="AJ11" s="1179"/>
      <c r="AK11" s="1179"/>
      <c r="AL11" s="1179"/>
      <c r="AM11" s="1179"/>
      <c r="AN11" s="1179"/>
      <c r="AO11" s="1179"/>
      <c r="AP11" s="1179"/>
      <c r="AQ11" s="1179"/>
    </row>
    <row r="12" spans="1:43" ht="14.25" hidden="1" customHeight="1">
      <c r="C12" s="130"/>
      <c r="D12" s="1202">
        <v>0</v>
      </c>
      <c r="E12" s="169"/>
      <c r="F12" s="169"/>
      <c r="G12" s="169"/>
      <c r="H12" s="170"/>
      <c r="I12" s="170"/>
      <c r="J12" s="80"/>
      <c r="K12" s="42"/>
      <c r="L12" s="80"/>
      <c r="M12" s="80"/>
      <c r="N12" s="171"/>
      <c r="O12" s="42"/>
      <c r="P12" s="80"/>
      <c r="Q12" s="80"/>
      <c r="R12" s="172"/>
      <c r="S12" s="203"/>
      <c r="T12" s="211"/>
      <c r="U12" s="211"/>
      <c r="V12" s="215"/>
      <c r="W12" s="42"/>
      <c r="X12" s="66"/>
    </row>
    <row r="13" spans="1:43" s="1850" customFormat="1" ht="17.25" customHeight="1">
      <c r="A13" s="245"/>
      <c r="C13" s="130"/>
      <c r="D13" s="3960">
        <v>1</v>
      </c>
      <c r="E13" s="3962" t="s">
        <v>152</v>
      </c>
      <c r="F13" s="3964" t="s">
        <v>55</v>
      </c>
      <c r="G13" s="3985" t="s">
        <v>24</v>
      </c>
      <c r="H13" s="3967"/>
      <c r="I13" s="3969"/>
      <c r="J13" s="3971"/>
      <c r="K13" s="3954"/>
      <c r="L13" s="3954"/>
      <c r="M13" s="3954"/>
      <c r="N13" s="3956"/>
      <c r="O13" s="3954"/>
      <c r="P13" s="3954"/>
      <c r="Q13" s="3954"/>
      <c r="R13" s="3959"/>
      <c r="S13" s="3954"/>
      <c r="T13" s="1851"/>
      <c r="U13" s="1851"/>
      <c r="V13" s="1852"/>
      <c r="W13" s="1853"/>
      <c r="Y13" s="1186"/>
      <c r="Z13" s="1186"/>
      <c r="AA13" s="1186"/>
      <c r="AB13" s="1186"/>
      <c r="AC13" s="1186" t="s">
        <v>153</v>
      </c>
      <c r="AD13" s="1186" t="s">
        <v>154</v>
      </c>
      <c r="AE13" s="1186" t="s">
        <v>155</v>
      </c>
      <c r="AF13" s="1186" t="s">
        <v>156</v>
      </c>
      <c r="AG13" s="1186" t="s">
        <v>157</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row>
    <row r="14" spans="1:43" s="1850" customFormat="1" ht="17.25" customHeight="1">
      <c r="A14" s="245"/>
      <c r="C14" s="244"/>
      <c r="D14" s="3960"/>
      <c r="E14" s="3962"/>
      <c r="F14" s="3965"/>
      <c r="G14" s="3985" t="s">
        <v>24</v>
      </c>
      <c r="H14" s="3968"/>
      <c r="I14" s="3970"/>
      <c r="J14" s="3972"/>
      <c r="K14" s="3955"/>
      <c r="L14" s="3955"/>
      <c r="M14" s="3955"/>
      <c r="N14" s="3957"/>
      <c r="O14" s="3955"/>
      <c r="P14" s="3955"/>
      <c r="Q14" s="3955"/>
      <c r="R14" s="3958"/>
      <c r="S14" s="3955"/>
      <c r="T14" s="1855"/>
      <c r="U14" s="1855"/>
      <c r="V14" s="1855"/>
      <c r="W14" s="1856"/>
      <c r="Y14" s="1179"/>
      <c r="Z14" s="1179"/>
      <c r="AA14" s="1179"/>
      <c r="AB14" s="1179"/>
      <c r="AC14" s="1179"/>
      <c r="AD14" s="1179"/>
      <c r="AE14" s="1179"/>
      <c r="AF14" s="1179"/>
      <c r="AG14" s="1179"/>
      <c r="AH14" s="1179"/>
      <c r="AI14" s="1179"/>
      <c r="AJ14" s="1179"/>
      <c r="AK14" s="1179"/>
      <c r="AL14" s="1179"/>
      <c r="AM14" s="1179"/>
      <c r="AN14" s="1179"/>
      <c r="AO14" s="1179"/>
      <c r="AP14" s="1179"/>
      <c r="AQ14" s="1179"/>
    </row>
    <row r="15" spans="1:43" s="1857" customFormat="1" ht="17.25" customHeight="1">
      <c r="A15" s="245"/>
      <c r="C15" s="130"/>
      <c r="D15" s="3960"/>
      <c r="E15" s="3962"/>
      <c r="F15" s="3965"/>
      <c r="G15" s="3985" t="s">
        <v>24</v>
      </c>
      <c r="H15" s="3968"/>
      <c r="I15" s="3970"/>
      <c r="J15" s="3973"/>
      <c r="K15" s="3955"/>
      <c r="L15" s="3955"/>
      <c r="M15" s="3955"/>
      <c r="N15" s="3958"/>
      <c r="O15" s="3955"/>
      <c r="P15" s="1854"/>
      <c r="Q15" s="1855"/>
      <c r="R15" s="1855"/>
      <c r="S15" s="1858"/>
      <c r="T15" s="1858"/>
      <c r="U15" s="1858"/>
      <c r="V15" s="1858"/>
      <c r="W15" s="1856"/>
      <c r="Y15" s="1186"/>
      <c r="Z15" s="1186"/>
      <c r="AA15" s="1186"/>
      <c r="AB15" s="1186"/>
      <c r="AC15" s="1186"/>
      <c r="AD15" s="1186"/>
      <c r="AE15" s="1186"/>
      <c r="AF15" s="1186"/>
      <c r="AG15" s="1186"/>
      <c r="AH15" s="1186"/>
      <c r="AI15" s="1186"/>
      <c r="AJ15" s="1186"/>
      <c r="AK15" s="1186"/>
      <c r="AL15" s="1186"/>
      <c r="AM15" s="1186"/>
      <c r="AN15" s="1186"/>
      <c r="AO15" s="1186"/>
      <c r="AP15" s="1186"/>
      <c r="AQ15" s="1186"/>
    </row>
    <row r="16" spans="1:43" s="1857" customFormat="1" ht="17.25" customHeight="1">
      <c r="A16" s="245"/>
      <c r="C16" s="244"/>
      <c r="D16" s="3960"/>
      <c r="E16" s="3962"/>
      <c r="F16" s="3965"/>
      <c r="G16" s="3985" t="s">
        <v>24</v>
      </c>
      <c r="H16" s="3968"/>
      <c r="I16" s="3970"/>
      <c r="J16" s="3973"/>
      <c r="K16" s="3955"/>
      <c r="L16" s="1855"/>
      <c r="M16" s="1855"/>
      <c r="N16" s="1855"/>
      <c r="O16" s="1855"/>
      <c r="P16" s="1855"/>
      <c r="Q16" s="1855"/>
      <c r="R16" s="1855"/>
      <c r="S16" s="1858"/>
      <c r="T16" s="1858"/>
      <c r="U16" s="1858"/>
      <c r="V16" s="1858"/>
      <c r="W16" s="1856"/>
      <c r="Y16" s="1179"/>
      <c r="Z16" s="1179"/>
      <c r="AA16" s="1179"/>
      <c r="AB16" s="1179"/>
      <c r="AC16" s="1179"/>
      <c r="AD16" s="1179"/>
      <c r="AE16" s="1179"/>
      <c r="AF16" s="1179"/>
      <c r="AG16" s="1179"/>
      <c r="AH16" s="1179"/>
      <c r="AI16" s="1179"/>
      <c r="AJ16" s="1179"/>
      <c r="AK16" s="1179"/>
      <c r="AL16" s="1179"/>
      <c r="AM16" s="1179"/>
      <c r="AN16" s="1179"/>
      <c r="AO16" s="1179"/>
      <c r="AP16" s="1179"/>
      <c r="AQ16" s="1179"/>
    </row>
    <row r="17" spans="1:43" s="1850" customFormat="1" ht="17.25" customHeight="1">
      <c r="A17" s="245"/>
      <c r="C17" s="244"/>
      <c r="D17" s="3961"/>
      <c r="E17" s="3963"/>
      <c r="F17" s="3966"/>
      <c r="G17" s="3986" t="s">
        <v>24</v>
      </c>
      <c r="H17" s="1859"/>
      <c r="I17" s="1860"/>
      <c r="J17" s="1860"/>
      <c r="K17" s="1860"/>
      <c r="L17" s="1860"/>
      <c r="M17" s="1860"/>
      <c r="N17" s="1860"/>
      <c r="O17" s="1860"/>
      <c r="P17" s="1860"/>
      <c r="Q17" s="1860"/>
      <c r="R17" s="1860"/>
      <c r="S17" s="1861"/>
      <c r="T17" s="1861"/>
      <c r="U17" s="1861"/>
      <c r="V17" s="1861"/>
      <c r="W17" s="1862"/>
      <c r="Y17" s="1179"/>
      <c r="Z17" s="1179"/>
      <c r="AA17" s="1179"/>
      <c r="AB17" s="1179"/>
      <c r="AC17" s="1179"/>
      <c r="AD17" s="1179"/>
      <c r="AE17" s="1179"/>
      <c r="AF17" s="1179"/>
      <c r="AG17" s="1179"/>
      <c r="AH17" s="1179"/>
      <c r="AI17" s="1179"/>
      <c r="AJ17" s="1179"/>
      <c r="AK17" s="1179"/>
      <c r="AL17" s="1179"/>
      <c r="AM17" s="1179"/>
      <c r="AN17" s="1179"/>
      <c r="AO17" s="1179"/>
      <c r="AP17" s="1179"/>
      <c r="AQ17" s="1179"/>
    </row>
    <row r="18" spans="1:43" s="1863" customFormat="1" ht="17.25" customHeight="1">
      <c r="A18" s="245"/>
      <c r="C18" s="130"/>
      <c r="D18" s="3960">
        <v>2</v>
      </c>
      <c r="E18" s="3962" t="s">
        <v>158</v>
      </c>
      <c r="F18" s="3964" t="s">
        <v>65</v>
      </c>
      <c r="G18" s="3976" t="str">
        <f>INDEX(HEAT_PT_VED_NAME,MATCH(4190064,HEAT_PT_VED_ID,0))</f>
        <v>Производство тепловой энергии. Некомбинированная выработка</v>
      </c>
      <c r="H18" s="3996"/>
      <c r="I18" s="3996">
        <v>1</v>
      </c>
      <c r="J18" s="3999" t="s">
        <v>159</v>
      </c>
      <c r="K18" s="4001" t="s">
        <v>55</v>
      </c>
      <c r="L18" s="3928"/>
      <c r="M18" s="3928" t="s">
        <v>107</v>
      </c>
      <c r="N18" s="3997" t="s">
        <v>24</v>
      </c>
      <c r="O18" s="4001" t="s">
        <v>55</v>
      </c>
      <c r="P18" s="3928"/>
      <c r="Q18" s="3928" t="s">
        <v>107</v>
      </c>
      <c r="R18" s="3998" t="s">
        <v>24</v>
      </c>
      <c r="S18" s="3927" t="s">
        <v>55</v>
      </c>
      <c r="T18" s="1865"/>
      <c r="U18" s="1865" t="s">
        <v>107</v>
      </c>
      <c r="V18" s="1866" t="s">
        <v>24</v>
      </c>
      <c r="W18" s="1864"/>
      <c r="X18" s="1186"/>
      <c r="Y18" s="1186"/>
      <c r="Z18" s="1186"/>
      <c r="AA18" s="1186"/>
      <c r="AB18" s="1186" t="s">
        <v>160</v>
      </c>
      <c r="AC18" s="1186" t="s">
        <v>161</v>
      </c>
      <c r="AD18" s="1186" t="s">
        <v>162</v>
      </c>
      <c r="AE18" s="1186" t="s">
        <v>163</v>
      </c>
      <c r="AF18" s="1186" t="s">
        <v>164</v>
      </c>
      <c r="AG18" s="1186" t="s">
        <v>165</v>
      </c>
      <c r="AH18" s="1186"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6" t="str">
        <f>IF($G$18=0,"",$G$18)</f>
        <v>Производство тепловой энергии. Некомбинированная выработка</v>
      </c>
      <c r="AJ18" s="1186" t="str">
        <f>IF($J$18=0,"",$J$18)</f>
        <v>Тарифы на тепловую энергию (мощность) на коллекторах источника тепловой энергии, поставляемую потребителям ООО "РИР-Сахалин"</v>
      </c>
      <c r="AK18" s="1186" t="str">
        <f>IF($K$18="нет","без дифференциации",IF($N$18=0,"",$N$18))</f>
        <v>без дифференциации</v>
      </c>
      <c r="AL18" s="1186" t="str">
        <f>IF($O$18="нет","без дифференциации",IF($R$18=0,"",$R$18))</f>
        <v>без дифференциации</v>
      </c>
      <c r="AM18" s="1186" t="str">
        <f>IF($S$18="нет","без дифференциации",IF($V$18=0,"",$V$18))</f>
        <v>без дифференциации</v>
      </c>
      <c r="AN18" s="1683">
        <f>$I$18</f>
        <v>1</v>
      </c>
      <c r="AO18" s="1186" t="str">
        <f>$I$18&amp;"."&amp;$M$18</f>
        <v>1.1</v>
      </c>
      <c r="AP18" s="1179" t="str">
        <f>$I$18&amp;"."&amp;$M$18&amp;"."&amp;$Q$18</f>
        <v>1.1.1</v>
      </c>
      <c r="AQ18" s="1179" t="str">
        <f>$I$18&amp;"."&amp;$M$18&amp;"."&amp;$Q$18&amp;"."&amp;$U$18</f>
        <v>1.1.1.1</v>
      </c>
    </row>
    <row r="19" spans="1:43" s="1863" customFormat="1" ht="17.25" customHeight="1">
      <c r="A19" s="245"/>
      <c r="C19" s="244"/>
      <c r="D19" s="3960"/>
      <c r="E19" s="3962"/>
      <c r="F19" s="3965"/>
      <c r="G19" s="3976"/>
      <c r="H19" s="3996"/>
      <c r="I19" s="3996"/>
      <c r="J19" s="3999"/>
      <c r="K19" s="4002"/>
      <c r="L19" s="3928"/>
      <c r="M19" s="3928"/>
      <c r="N19" s="3997" t="s">
        <v>24</v>
      </c>
      <c r="O19" s="4002"/>
      <c r="P19" s="3928"/>
      <c r="Q19" s="3928"/>
      <c r="R19" s="3998" t="s">
        <v>24</v>
      </c>
      <c r="S19" s="3927"/>
      <c r="T19" s="1867"/>
      <c r="U19" s="1868"/>
      <c r="V19" s="1869" t="s">
        <v>166</v>
      </c>
      <c r="W19" s="1870"/>
      <c r="X19" s="1179"/>
      <c r="Y19" s="1179"/>
      <c r="Z19" s="1179"/>
      <c r="AA19" s="1179"/>
      <c r="AB19" s="1179"/>
      <c r="AC19" s="1179"/>
      <c r="AD19" s="1179"/>
      <c r="AE19" s="1179"/>
      <c r="AF19" s="1179"/>
      <c r="AG19" s="1179"/>
      <c r="AH19" s="1179"/>
      <c r="AI19" s="1179"/>
      <c r="AJ19" s="1179"/>
      <c r="AK19" s="1179"/>
      <c r="AL19" s="1179"/>
      <c r="AM19" s="1179"/>
      <c r="AN19" s="1179"/>
      <c r="AO19" s="1179"/>
      <c r="AP19" s="1179"/>
      <c r="AQ19" s="1179"/>
    </row>
    <row r="20" spans="1:43" s="1863" customFormat="1" ht="17.25" customHeight="1">
      <c r="A20" s="245"/>
      <c r="C20" s="244"/>
      <c r="D20" s="3961"/>
      <c r="E20" s="3963"/>
      <c r="F20" s="3965"/>
      <c r="G20" s="3977"/>
      <c r="H20" s="3961"/>
      <c r="I20" s="3961"/>
      <c r="J20" s="4000"/>
      <c r="K20" s="4002"/>
      <c r="L20" s="3961"/>
      <c r="M20" s="3961"/>
      <c r="N20" s="3998" t="s">
        <v>24</v>
      </c>
      <c r="O20" s="3932"/>
      <c r="P20" s="1871"/>
      <c r="Q20" s="1872"/>
      <c r="R20" s="1873" t="s">
        <v>167</v>
      </c>
      <c r="S20" s="1874"/>
      <c r="T20" s="1875"/>
      <c r="U20" s="1876"/>
      <c r="V20" s="1877"/>
      <c r="W20" s="1878"/>
      <c r="X20" s="1179"/>
      <c r="Y20" s="1179"/>
      <c r="Z20" s="1179"/>
      <c r="AA20" s="1179"/>
      <c r="AB20" s="1179"/>
      <c r="AC20" s="1179"/>
      <c r="AD20" s="1179"/>
      <c r="AE20" s="1179"/>
      <c r="AF20" s="1179"/>
      <c r="AG20" s="1179"/>
      <c r="AH20" s="1179"/>
      <c r="AI20" s="1179"/>
      <c r="AJ20" s="1179"/>
      <c r="AK20" s="1179"/>
      <c r="AL20" s="1179"/>
      <c r="AM20" s="1179"/>
      <c r="AN20" s="1179"/>
      <c r="AO20" s="1179"/>
      <c r="AP20" s="1179"/>
      <c r="AQ20" s="1179"/>
    </row>
    <row r="21" spans="1:43" s="1863" customFormat="1" ht="17.25" customHeight="1">
      <c r="A21" s="245"/>
      <c r="C21" s="244"/>
      <c r="D21" s="3961"/>
      <c r="E21" s="3963"/>
      <c r="F21" s="3965"/>
      <c r="G21" s="3977"/>
      <c r="H21" s="3961"/>
      <c r="I21" s="3961"/>
      <c r="J21" s="4000"/>
      <c r="K21" s="3932"/>
      <c r="L21" s="1879"/>
      <c r="M21" s="1880"/>
      <c r="N21" s="1881" t="s">
        <v>168</v>
      </c>
      <c r="O21" s="1882"/>
      <c r="P21" s="1883"/>
      <c r="Q21" s="1884"/>
      <c r="R21" s="1885"/>
      <c r="S21" s="1886"/>
      <c r="T21" s="1887"/>
      <c r="U21" s="1888"/>
      <c r="V21" s="1889"/>
      <c r="W21" s="1890"/>
      <c r="X21" s="1179"/>
      <c r="Y21" s="1179"/>
      <c r="Z21" s="1179"/>
      <c r="AA21" s="1179"/>
      <c r="AB21" s="1179"/>
      <c r="AC21" s="1179"/>
      <c r="AD21" s="1179"/>
      <c r="AE21" s="1179"/>
      <c r="AF21" s="1179"/>
      <c r="AG21" s="1179"/>
      <c r="AH21" s="1179"/>
      <c r="AI21" s="1179"/>
      <c r="AJ21" s="1179"/>
      <c r="AK21" s="1179"/>
      <c r="AL21" s="1179"/>
      <c r="AM21" s="1179"/>
      <c r="AN21" s="1179"/>
      <c r="AO21" s="1179"/>
      <c r="AP21" s="1179"/>
      <c r="AQ21" s="1179"/>
    </row>
    <row r="22" spans="1:43" s="1863" customFormat="1" ht="17.25" customHeight="1">
      <c r="A22" s="245"/>
      <c r="C22" s="244"/>
      <c r="D22" s="3961"/>
      <c r="E22" s="3963"/>
      <c r="F22" s="3966"/>
      <c r="G22" s="3977"/>
      <c r="H22" s="1891"/>
      <c r="I22" s="1892"/>
      <c r="J22" s="1893" t="s">
        <v>169</v>
      </c>
      <c r="K22" s="1894"/>
      <c r="L22" s="1895"/>
      <c r="M22" s="1896"/>
      <c r="N22" s="1897"/>
      <c r="O22" s="1898"/>
      <c r="P22" s="1899"/>
      <c r="Q22" s="1900"/>
      <c r="R22" s="1901"/>
      <c r="S22" s="1902"/>
      <c r="T22" s="1903"/>
      <c r="U22" s="1904"/>
      <c r="V22" s="1905"/>
      <c r="W22" s="1906"/>
      <c r="X22" s="1179"/>
      <c r="Y22" s="1179"/>
      <c r="Z22" s="1179"/>
      <c r="AA22" s="1179"/>
      <c r="AB22" s="1179"/>
      <c r="AC22" s="1179"/>
      <c r="AD22" s="1179"/>
      <c r="AE22" s="1179"/>
      <c r="AF22" s="1179"/>
      <c r="AG22" s="1179"/>
      <c r="AH22" s="1179"/>
      <c r="AI22" s="1179"/>
      <c r="AJ22" s="1179"/>
      <c r="AK22" s="1179"/>
      <c r="AL22" s="1179"/>
      <c r="AM22" s="1179"/>
      <c r="AN22" s="1179"/>
      <c r="AO22" s="1179"/>
      <c r="AP22" s="1179"/>
      <c r="AQ22" s="1179"/>
    </row>
    <row r="23" spans="1:43" s="1863" customFormat="1" ht="17.25" customHeight="1">
      <c r="A23" s="245"/>
      <c r="C23" s="130"/>
      <c r="D23" s="3960">
        <v>3</v>
      </c>
      <c r="E23" s="3962" t="s">
        <v>170</v>
      </c>
      <c r="F23" s="3964" t="s">
        <v>55</v>
      </c>
      <c r="G23" s="3962"/>
      <c r="H23" s="3967"/>
      <c r="I23" s="3969"/>
      <c r="J23" s="3971"/>
      <c r="K23" s="3954"/>
      <c r="L23" s="3954"/>
      <c r="M23" s="3954"/>
      <c r="N23" s="3956"/>
      <c r="O23" s="3954"/>
      <c r="P23" s="3954"/>
      <c r="Q23" s="3954"/>
      <c r="R23" s="3959"/>
      <c r="S23" s="3954"/>
      <c r="T23" s="1335"/>
      <c r="U23" s="1335"/>
      <c r="V23" s="1334"/>
      <c r="W23" s="1215"/>
      <c r="X23" s="1186"/>
      <c r="Y23" s="1186"/>
      <c r="Z23" s="1186"/>
      <c r="AA23" s="1186"/>
      <c r="AB23" s="1186"/>
      <c r="AC23" s="1186" t="s">
        <v>171</v>
      </c>
      <c r="AD23" s="1186" t="s">
        <v>172</v>
      </c>
      <c r="AE23" s="1186" t="s">
        <v>173</v>
      </c>
      <c r="AF23" s="1186" t="s">
        <v>174</v>
      </c>
      <c r="AG23" s="1186" t="s">
        <v>175</v>
      </c>
      <c r="AH23" s="1186" t="str">
        <f>IF($E$23=0,"",$E$23)</f>
        <v>Тарифы на теплоноситель, поставляемый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83">
        <f>$I$23</f>
        <v>0</v>
      </c>
      <c r="AO23" s="1186" t="str">
        <f>$I$23&amp;"."&amp;$M$23</f>
        <v>.</v>
      </c>
      <c r="AP23" s="1179" t="str">
        <f>$I$23&amp;"."&amp;$M$23&amp;"."&amp;$Q$23</f>
        <v>..</v>
      </c>
      <c r="AQ23" s="1179" t="str">
        <f>$I$23&amp;"."&amp;$M$23&amp;"."&amp;$Q$23&amp;"."&amp;$U$23</f>
        <v>...</v>
      </c>
    </row>
    <row r="24" spans="1:43" s="1863" customFormat="1" ht="17.25" customHeight="1">
      <c r="A24" s="245"/>
      <c r="C24" s="244"/>
      <c r="D24" s="3960"/>
      <c r="E24" s="3962"/>
      <c r="F24" s="3965"/>
      <c r="G24" s="3962"/>
      <c r="H24" s="3968"/>
      <c r="I24" s="3970"/>
      <c r="J24" s="3972"/>
      <c r="K24" s="3955"/>
      <c r="L24" s="3955"/>
      <c r="M24" s="3955"/>
      <c r="N24" s="3957"/>
      <c r="O24" s="3955"/>
      <c r="P24" s="3955"/>
      <c r="Q24" s="3955"/>
      <c r="R24" s="3958"/>
      <c r="S24" s="3955"/>
      <c r="T24" s="1216"/>
      <c r="U24" s="1216"/>
      <c r="V24" s="1216"/>
      <c r="W24" s="1217"/>
      <c r="X24" s="1179"/>
      <c r="Y24" s="1179"/>
      <c r="Z24" s="1179"/>
      <c r="AA24" s="1179"/>
      <c r="AB24" s="1179"/>
      <c r="AC24" s="1179"/>
      <c r="AD24" s="1179"/>
      <c r="AE24" s="1179"/>
      <c r="AF24" s="1179"/>
      <c r="AG24" s="1179"/>
      <c r="AH24" s="1179"/>
      <c r="AI24" s="1179"/>
      <c r="AJ24" s="1179"/>
      <c r="AK24" s="1179"/>
      <c r="AL24" s="1179"/>
      <c r="AM24" s="1179"/>
      <c r="AN24" s="1179"/>
      <c r="AO24" s="1179"/>
      <c r="AP24" s="1179"/>
      <c r="AQ24" s="1179"/>
    </row>
    <row r="25" spans="1:43" s="1863" customFormat="1" ht="17.25" customHeight="1">
      <c r="A25" s="245"/>
      <c r="C25" s="244"/>
      <c r="D25" s="3961"/>
      <c r="E25" s="3963"/>
      <c r="F25" s="3965"/>
      <c r="G25" s="3963"/>
      <c r="H25" s="3968"/>
      <c r="I25" s="3970"/>
      <c r="J25" s="3973"/>
      <c r="K25" s="3955"/>
      <c r="L25" s="3955"/>
      <c r="M25" s="3955"/>
      <c r="N25" s="3958"/>
      <c r="O25" s="3955"/>
      <c r="P25" s="1333"/>
      <c r="Q25" s="1216"/>
      <c r="R25" s="1216"/>
      <c r="S25" s="256"/>
      <c r="T25" s="256"/>
      <c r="U25" s="256"/>
      <c r="V25" s="256"/>
      <c r="W25" s="1217"/>
      <c r="X25" s="1179"/>
      <c r="Y25" s="1179"/>
      <c r="Z25" s="1179"/>
      <c r="AA25" s="1179"/>
      <c r="AB25" s="1179"/>
      <c r="AC25" s="1179"/>
      <c r="AD25" s="1179"/>
      <c r="AE25" s="1179"/>
      <c r="AF25" s="1179"/>
      <c r="AG25" s="1179"/>
      <c r="AH25" s="1179"/>
      <c r="AI25" s="1179"/>
      <c r="AJ25" s="1179"/>
      <c r="AK25" s="1179"/>
      <c r="AL25" s="1179"/>
      <c r="AM25" s="1179"/>
      <c r="AN25" s="1179"/>
      <c r="AO25" s="1179"/>
      <c r="AP25" s="1179"/>
      <c r="AQ25" s="1179"/>
    </row>
    <row r="26" spans="1:43" s="1863" customFormat="1" ht="17.25" customHeight="1">
      <c r="A26" s="245"/>
      <c r="C26" s="244"/>
      <c r="D26" s="3961"/>
      <c r="E26" s="3963"/>
      <c r="F26" s="3965"/>
      <c r="G26" s="3963"/>
      <c r="H26" s="3968"/>
      <c r="I26" s="3970"/>
      <c r="J26" s="3973"/>
      <c r="K26" s="3955"/>
      <c r="L26" s="1216"/>
      <c r="M26" s="1216"/>
      <c r="N26" s="1216"/>
      <c r="O26" s="1216"/>
      <c r="P26" s="1216"/>
      <c r="Q26" s="1216"/>
      <c r="R26" s="1216"/>
      <c r="S26" s="256"/>
      <c r="T26" s="256"/>
      <c r="U26" s="256"/>
      <c r="V26" s="256"/>
      <c r="W26" s="1217"/>
      <c r="X26" s="1179"/>
      <c r="Y26" s="1179"/>
      <c r="Z26" s="1179"/>
      <c r="AA26" s="1179"/>
      <c r="AB26" s="1179"/>
      <c r="AC26" s="1179"/>
      <c r="AD26" s="1179"/>
      <c r="AE26" s="1179"/>
      <c r="AF26" s="1179"/>
      <c r="AG26" s="1179"/>
      <c r="AH26" s="1179"/>
      <c r="AI26" s="1179"/>
      <c r="AJ26" s="1179"/>
      <c r="AK26" s="1179"/>
      <c r="AL26" s="1179"/>
      <c r="AM26" s="1179"/>
      <c r="AN26" s="1179"/>
      <c r="AO26" s="1179"/>
      <c r="AP26" s="1179"/>
      <c r="AQ26" s="1179"/>
    </row>
    <row r="27" spans="1:43" s="1863" customFormat="1" ht="17.25" customHeight="1">
      <c r="A27" s="245"/>
      <c r="C27" s="244"/>
      <c r="D27" s="3961"/>
      <c r="E27" s="3963"/>
      <c r="F27" s="3966"/>
      <c r="G27" s="3963"/>
      <c r="H27" s="1218"/>
      <c r="I27" s="1219"/>
      <c r="J27" s="1219"/>
      <c r="K27" s="1219"/>
      <c r="L27" s="1219"/>
      <c r="M27" s="1219"/>
      <c r="N27" s="1219"/>
      <c r="O27" s="1219"/>
      <c r="P27" s="1219"/>
      <c r="Q27" s="1219"/>
      <c r="R27" s="1219"/>
      <c r="S27" s="1220"/>
      <c r="T27" s="1220"/>
      <c r="U27" s="1220"/>
      <c r="V27" s="1220"/>
      <c r="W27" s="1221"/>
      <c r="X27" s="1179"/>
      <c r="Y27" s="1179"/>
      <c r="Z27" s="1179"/>
      <c r="AA27" s="1179"/>
      <c r="AB27" s="1179"/>
      <c r="AC27" s="1179"/>
      <c r="AD27" s="1179"/>
      <c r="AE27" s="1179"/>
      <c r="AF27" s="1179"/>
      <c r="AG27" s="1179"/>
      <c r="AH27" s="1179"/>
      <c r="AI27" s="1179"/>
      <c r="AJ27" s="1179"/>
      <c r="AK27" s="1179"/>
      <c r="AL27" s="1179"/>
      <c r="AM27" s="1179"/>
      <c r="AN27" s="1179"/>
      <c r="AO27" s="1179"/>
      <c r="AP27" s="1179"/>
      <c r="AQ27" s="1179"/>
    </row>
    <row r="28" spans="1:43" s="1863" customFormat="1" ht="17.25" customHeight="1">
      <c r="A28" s="245"/>
      <c r="C28" s="130"/>
      <c r="D28" s="3960">
        <v>4</v>
      </c>
      <c r="E28" s="3962" t="s">
        <v>176</v>
      </c>
      <c r="F28" s="3964" t="s">
        <v>55</v>
      </c>
      <c r="G28" s="3962"/>
      <c r="H28" s="3967"/>
      <c r="I28" s="3969"/>
      <c r="J28" s="3971"/>
      <c r="K28" s="3954"/>
      <c r="L28" s="3954"/>
      <c r="M28" s="3954"/>
      <c r="N28" s="3956"/>
      <c r="O28" s="3954"/>
      <c r="P28" s="3954"/>
      <c r="Q28" s="3954"/>
      <c r="R28" s="3959"/>
      <c r="S28" s="3954"/>
      <c r="T28" s="1335"/>
      <c r="U28" s="1335"/>
      <c r="V28" s="1334"/>
      <c r="W28" s="1215"/>
      <c r="X28" s="1186"/>
      <c r="Y28" s="1186"/>
      <c r="Z28" s="1186"/>
      <c r="AA28" s="1186"/>
      <c r="AB28" s="1186"/>
      <c r="AC28" s="1186" t="s">
        <v>177</v>
      </c>
      <c r="AD28" s="1186" t="s">
        <v>178</v>
      </c>
      <c r="AE28" s="1186" t="s">
        <v>179</v>
      </c>
      <c r="AF28" s="1186" t="s">
        <v>180</v>
      </c>
      <c r="AG28" s="1186" t="s">
        <v>181</v>
      </c>
      <c r="AH28" s="118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3">
        <f>$I$28</f>
        <v>0</v>
      </c>
      <c r="AO28" s="1186" t="str">
        <f>$I$28&amp;"."&amp;$M$28</f>
        <v>.</v>
      </c>
      <c r="AP28" s="1179" t="str">
        <f>$I$28&amp;"."&amp;$M$28&amp;"."&amp;$Q$28</f>
        <v>..</v>
      </c>
      <c r="AQ28" s="1179" t="str">
        <f>$I$28&amp;"."&amp;$M$28&amp;"."&amp;$Q$28&amp;"."&amp;$U$28</f>
        <v>...</v>
      </c>
    </row>
    <row r="29" spans="1:43" s="1863" customFormat="1" ht="17.25" customHeight="1">
      <c r="A29" s="245"/>
      <c r="C29" s="244"/>
      <c r="D29" s="3960"/>
      <c r="E29" s="3962"/>
      <c r="F29" s="3965"/>
      <c r="G29" s="3962"/>
      <c r="H29" s="3968"/>
      <c r="I29" s="3970"/>
      <c r="J29" s="3972"/>
      <c r="K29" s="3955"/>
      <c r="L29" s="3955"/>
      <c r="M29" s="3955"/>
      <c r="N29" s="3957"/>
      <c r="O29" s="3955"/>
      <c r="P29" s="3955"/>
      <c r="Q29" s="3955"/>
      <c r="R29" s="3958"/>
      <c r="S29" s="3955"/>
      <c r="T29" s="1216"/>
      <c r="U29" s="1216"/>
      <c r="V29" s="1216"/>
      <c r="W29" s="1217"/>
      <c r="X29" s="1179"/>
      <c r="Y29" s="1179"/>
      <c r="Z29" s="1179"/>
      <c r="AA29" s="1179"/>
      <c r="AB29" s="1179"/>
      <c r="AC29" s="1179"/>
      <c r="AD29" s="1179"/>
      <c r="AE29" s="1179"/>
      <c r="AF29" s="1179"/>
      <c r="AG29" s="1179"/>
      <c r="AH29" s="1179"/>
      <c r="AI29" s="1179"/>
      <c r="AJ29" s="1179"/>
      <c r="AK29" s="1179"/>
      <c r="AL29" s="1179"/>
      <c r="AM29" s="1179"/>
      <c r="AN29" s="1179"/>
      <c r="AO29" s="1179"/>
      <c r="AP29" s="1179"/>
      <c r="AQ29" s="1179"/>
    </row>
    <row r="30" spans="1:43" s="1863" customFormat="1" ht="17.25" customHeight="1">
      <c r="A30" s="245"/>
      <c r="C30" s="244"/>
      <c r="D30" s="3961"/>
      <c r="E30" s="3963"/>
      <c r="F30" s="3965"/>
      <c r="G30" s="3963"/>
      <c r="H30" s="3968"/>
      <c r="I30" s="3970"/>
      <c r="J30" s="3973"/>
      <c r="K30" s="3955"/>
      <c r="L30" s="3955"/>
      <c r="M30" s="3955"/>
      <c r="N30" s="3958"/>
      <c r="O30" s="3955"/>
      <c r="P30" s="1333"/>
      <c r="Q30" s="1216"/>
      <c r="R30" s="1216"/>
      <c r="S30" s="256"/>
      <c r="T30" s="256"/>
      <c r="U30" s="256"/>
      <c r="V30" s="256"/>
      <c r="W30" s="1217"/>
      <c r="X30" s="1179"/>
      <c r="Y30" s="1179"/>
      <c r="Z30" s="1179"/>
      <c r="AA30" s="1179"/>
      <c r="AB30" s="1179"/>
      <c r="AC30" s="1179"/>
      <c r="AD30" s="1179"/>
      <c r="AE30" s="1179"/>
      <c r="AF30" s="1179"/>
      <c r="AG30" s="1179"/>
      <c r="AH30" s="1179"/>
      <c r="AI30" s="1179"/>
      <c r="AJ30" s="1179"/>
      <c r="AK30" s="1179"/>
      <c r="AL30" s="1179"/>
      <c r="AM30" s="1179"/>
      <c r="AN30" s="1179"/>
      <c r="AO30" s="1179"/>
      <c r="AP30" s="1179"/>
      <c r="AQ30" s="1179"/>
    </row>
    <row r="31" spans="1:43" s="1863" customFormat="1" ht="17.25" customHeight="1">
      <c r="A31" s="245"/>
      <c r="C31" s="244"/>
      <c r="D31" s="3961"/>
      <c r="E31" s="3963"/>
      <c r="F31" s="3965"/>
      <c r="G31" s="3963"/>
      <c r="H31" s="3968"/>
      <c r="I31" s="3970"/>
      <c r="J31" s="3973"/>
      <c r="K31" s="3955"/>
      <c r="L31" s="1216"/>
      <c r="M31" s="1216"/>
      <c r="N31" s="1216"/>
      <c r="O31" s="1216"/>
      <c r="P31" s="1216"/>
      <c r="Q31" s="1216"/>
      <c r="R31" s="1216"/>
      <c r="S31" s="256"/>
      <c r="T31" s="256"/>
      <c r="U31" s="256"/>
      <c r="V31" s="256"/>
      <c r="W31" s="1217"/>
      <c r="X31" s="1179"/>
      <c r="Y31" s="1179"/>
      <c r="Z31" s="1179"/>
      <c r="AA31" s="1179"/>
      <c r="AB31" s="1179"/>
      <c r="AC31" s="1179"/>
      <c r="AD31" s="1179"/>
      <c r="AE31" s="1179"/>
      <c r="AF31" s="1179"/>
      <c r="AG31" s="1179"/>
      <c r="AH31" s="1179"/>
      <c r="AI31" s="1179"/>
      <c r="AJ31" s="1179"/>
      <c r="AK31" s="1179"/>
      <c r="AL31" s="1179"/>
      <c r="AM31" s="1179"/>
      <c r="AN31" s="1179"/>
      <c r="AO31" s="1179"/>
      <c r="AP31" s="1179"/>
      <c r="AQ31" s="1179"/>
    </row>
    <row r="32" spans="1:43" s="1863" customFormat="1" ht="17.25" customHeight="1">
      <c r="A32" s="245"/>
      <c r="C32" s="244"/>
      <c r="D32" s="3961"/>
      <c r="E32" s="3963"/>
      <c r="F32" s="3966"/>
      <c r="G32" s="3963"/>
      <c r="H32" s="1218"/>
      <c r="I32" s="1219"/>
      <c r="J32" s="1219"/>
      <c r="K32" s="1219"/>
      <c r="L32" s="1219"/>
      <c r="M32" s="1219"/>
      <c r="N32" s="1219"/>
      <c r="O32" s="1219"/>
      <c r="P32" s="1219"/>
      <c r="Q32" s="1219"/>
      <c r="R32" s="1219"/>
      <c r="S32" s="1220"/>
      <c r="T32" s="1220"/>
      <c r="U32" s="1220"/>
      <c r="V32" s="1220"/>
      <c r="W32" s="1221"/>
      <c r="X32" s="1179"/>
      <c r="Y32" s="1179"/>
      <c r="Z32" s="1179"/>
      <c r="AA32" s="1179"/>
      <c r="AB32" s="1179"/>
      <c r="AC32" s="1179"/>
      <c r="AD32" s="1179"/>
      <c r="AE32" s="1179"/>
      <c r="AF32" s="1179"/>
      <c r="AG32" s="1179"/>
      <c r="AH32" s="1179"/>
      <c r="AI32" s="1179"/>
      <c r="AJ32" s="1179"/>
      <c r="AK32" s="1179"/>
      <c r="AL32" s="1179"/>
      <c r="AM32" s="1179"/>
      <c r="AN32" s="1179"/>
      <c r="AO32" s="1179"/>
      <c r="AP32" s="1179"/>
      <c r="AQ32" s="1179"/>
    </row>
    <row r="33" spans="1:43" s="1863" customFormat="1" ht="17.25" customHeight="1">
      <c r="A33" s="245"/>
      <c r="C33" s="130"/>
      <c r="D33" s="3960">
        <v>5</v>
      </c>
      <c r="E33" s="3962" t="s">
        <v>182</v>
      </c>
      <c r="F33" s="3964" t="s">
        <v>55</v>
      </c>
      <c r="G33" s="3962"/>
      <c r="H33" s="3967"/>
      <c r="I33" s="3969"/>
      <c r="J33" s="3971"/>
      <c r="K33" s="3954"/>
      <c r="L33" s="3954"/>
      <c r="M33" s="3954"/>
      <c r="N33" s="3956"/>
      <c r="O33" s="3954"/>
      <c r="P33" s="3954"/>
      <c r="Q33" s="3954"/>
      <c r="R33" s="3959"/>
      <c r="S33" s="3954"/>
      <c r="T33" s="1335"/>
      <c r="U33" s="1335"/>
      <c r="V33" s="1334"/>
      <c r="W33" s="1215"/>
      <c r="X33" s="1186"/>
      <c r="Y33" s="1186"/>
      <c r="Z33" s="1186"/>
      <c r="AA33" s="1186"/>
      <c r="AB33" s="1186"/>
      <c r="AC33" s="1186" t="s">
        <v>183</v>
      </c>
      <c r="AD33" s="1186" t="s">
        <v>184</v>
      </c>
      <c r="AE33" s="1186" t="s">
        <v>185</v>
      </c>
      <c r="AF33" s="1186" t="s">
        <v>186</v>
      </c>
      <c r="AG33" s="1186" t="s">
        <v>187</v>
      </c>
      <c r="AH33" s="1186" t="str">
        <f>IF($E$33=0,"",$E$33)</f>
        <v>Тарифы на услуги по передаче тепловой энергии</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83">
        <f>$I$33</f>
        <v>0</v>
      </c>
      <c r="AO33" s="1186" t="str">
        <f>$I$33&amp;"."&amp;$M$33</f>
        <v>.</v>
      </c>
      <c r="AP33" s="1179" t="str">
        <f>$I$33&amp;"."&amp;$M$33&amp;"."&amp;$Q$33</f>
        <v>..</v>
      </c>
      <c r="AQ33" s="1179" t="str">
        <f>$I$33&amp;"."&amp;$M$33&amp;"."&amp;$Q$33&amp;"."&amp;$U$33</f>
        <v>...</v>
      </c>
    </row>
    <row r="34" spans="1:43" s="1863" customFormat="1" ht="17.25" customHeight="1">
      <c r="A34" s="245"/>
      <c r="C34" s="244"/>
      <c r="D34" s="3960"/>
      <c r="E34" s="3962"/>
      <c r="F34" s="3965"/>
      <c r="G34" s="3962"/>
      <c r="H34" s="3968"/>
      <c r="I34" s="3970"/>
      <c r="J34" s="3972"/>
      <c r="K34" s="3955"/>
      <c r="L34" s="3955"/>
      <c r="M34" s="3955"/>
      <c r="N34" s="3957"/>
      <c r="O34" s="3955"/>
      <c r="P34" s="3955"/>
      <c r="Q34" s="3955"/>
      <c r="R34" s="3958"/>
      <c r="S34" s="3955"/>
      <c r="T34" s="1216"/>
      <c r="U34" s="1216"/>
      <c r="V34" s="1216"/>
      <c r="W34" s="1217"/>
      <c r="X34" s="1179"/>
      <c r="Y34" s="1179"/>
      <c r="Z34" s="1179"/>
      <c r="AA34" s="1179"/>
      <c r="AB34" s="1179"/>
      <c r="AC34" s="1179"/>
      <c r="AD34" s="1179"/>
      <c r="AE34" s="1179"/>
      <c r="AF34" s="1179"/>
      <c r="AG34" s="1179"/>
      <c r="AH34" s="1179"/>
      <c r="AI34" s="1179"/>
      <c r="AJ34" s="1179"/>
      <c r="AK34" s="1179"/>
      <c r="AL34" s="1179"/>
      <c r="AM34" s="1179"/>
      <c r="AN34" s="1179"/>
      <c r="AO34" s="1179"/>
      <c r="AP34" s="1179"/>
      <c r="AQ34" s="1179"/>
    </row>
    <row r="35" spans="1:43" s="1863" customFormat="1" ht="17.25" customHeight="1">
      <c r="A35" s="245"/>
      <c r="C35" s="244"/>
      <c r="D35" s="3961"/>
      <c r="E35" s="3963"/>
      <c r="F35" s="3965"/>
      <c r="G35" s="3963"/>
      <c r="H35" s="3968"/>
      <c r="I35" s="3970"/>
      <c r="J35" s="3973"/>
      <c r="K35" s="3955"/>
      <c r="L35" s="3955"/>
      <c r="M35" s="3955"/>
      <c r="N35" s="3958"/>
      <c r="O35" s="3955"/>
      <c r="P35" s="1333"/>
      <c r="Q35" s="1216"/>
      <c r="R35" s="1216"/>
      <c r="S35" s="256"/>
      <c r="T35" s="256"/>
      <c r="U35" s="256"/>
      <c r="V35" s="256"/>
      <c r="W35" s="1217"/>
      <c r="X35" s="1179"/>
      <c r="Y35" s="1179"/>
      <c r="Z35" s="1179"/>
      <c r="AA35" s="1179"/>
      <c r="AB35" s="1179"/>
      <c r="AC35" s="1179"/>
      <c r="AD35" s="1179"/>
      <c r="AE35" s="1179"/>
      <c r="AF35" s="1179"/>
      <c r="AG35" s="1179"/>
      <c r="AH35" s="1179"/>
      <c r="AI35" s="1179"/>
      <c r="AJ35" s="1179"/>
      <c r="AK35" s="1179"/>
      <c r="AL35" s="1179"/>
      <c r="AM35" s="1179"/>
      <c r="AN35" s="1179"/>
      <c r="AO35" s="1179"/>
      <c r="AP35" s="1179"/>
      <c r="AQ35" s="1179"/>
    </row>
    <row r="36" spans="1:43" s="1863" customFormat="1" ht="17.25" customHeight="1">
      <c r="A36" s="245"/>
      <c r="C36" s="244"/>
      <c r="D36" s="3961"/>
      <c r="E36" s="3963"/>
      <c r="F36" s="3965"/>
      <c r="G36" s="3963"/>
      <c r="H36" s="3968"/>
      <c r="I36" s="3970"/>
      <c r="J36" s="3973"/>
      <c r="K36" s="3955"/>
      <c r="L36" s="1216"/>
      <c r="M36" s="1216"/>
      <c r="N36" s="1216"/>
      <c r="O36" s="1216"/>
      <c r="P36" s="1216"/>
      <c r="Q36" s="1216"/>
      <c r="R36" s="1216"/>
      <c r="S36" s="256"/>
      <c r="T36" s="256"/>
      <c r="U36" s="256"/>
      <c r="V36" s="256"/>
      <c r="W36" s="1217"/>
      <c r="X36" s="1179"/>
      <c r="Y36" s="1179"/>
      <c r="Z36" s="1179"/>
      <c r="AA36" s="1179"/>
      <c r="AB36" s="1179"/>
      <c r="AC36" s="1179"/>
      <c r="AD36" s="1179"/>
      <c r="AE36" s="1179"/>
      <c r="AF36" s="1179"/>
      <c r="AG36" s="1179"/>
      <c r="AH36" s="1179"/>
      <c r="AI36" s="1179"/>
      <c r="AJ36" s="1179"/>
      <c r="AK36" s="1179"/>
      <c r="AL36" s="1179"/>
      <c r="AM36" s="1179"/>
      <c r="AN36" s="1179"/>
      <c r="AO36" s="1179"/>
      <c r="AP36" s="1179"/>
      <c r="AQ36" s="1179"/>
    </row>
    <row r="37" spans="1:43" s="1863" customFormat="1" ht="17.25" customHeight="1">
      <c r="A37" s="245"/>
      <c r="C37" s="244"/>
      <c r="D37" s="3961"/>
      <c r="E37" s="3963"/>
      <c r="F37" s="3966"/>
      <c r="G37" s="3963"/>
      <c r="H37" s="1218"/>
      <c r="I37" s="1219"/>
      <c r="J37" s="1219"/>
      <c r="K37" s="1219"/>
      <c r="L37" s="1219"/>
      <c r="M37" s="1219"/>
      <c r="N37" s="1219"/>
      <c r="O37" s="1219"/>
      <c r="P37" s="1219"/>
      <c r="Q37" s="1219"/>
      <c r="R37" s="1219"/>
      <c r="S37" s="1220"/>
      <c r="T37" s="1220"/>
      <c r="U37" s="1220"/>
      <c r="V37" s="1220"/>
      <c r="W37" s="1221"/>
      <c r="X37" s="1179"/>
      <c r="Y37" s="1179"/>
      <c r="Z37" s="1179"/>
      <c r="AA37" s="1179"/>
      <c r="AB37" s="1179"/>
      <c r="AC37" s="1179"/>
      <c r="AD37" s="1179"/>
      <c r="AE37" s="1179"/>
      <c r="AF37" s="1179"/>
      <c r="AG37" s="1179"/>
      <c r="AH37" s="1179"/>
      <c r="AI37" s="1179"/>
      <c r="AJ37" s="1179"/>
      <c r="AK37" s="1179"/>
      <c r="AL37" s="1179"/>
      <c r="AM37" s="1179"/>
      <c r="AN37" s="1179"/>
      <c r="AO37" s="1179"/>
      <c r="AP37" s="1179"/>
      <c r="AQ37" s="1179"/>
    </row>
    <row r="38" spans="1:43" s="1863" customFormat="1" ht="17.25" customHeight="1">
      <c r="A38" s="245"/>
      <c r="C38" s="130"/>
      <c r="D38" s="3960">
        <v>6</v>
      </c>
      <c r="E38" s="3962" t="s">
        <v>188</v>
      </c>
      <c r="F38" s="3964" t="s">
        <v>55</v>
      </c>
      <c r="G38" s="3962"/>
      <c r="H38" s="3967"/>
      <c r="I38" s="3969"/>
      <c r="J38" s="3971"/>
      <c r="K38" s="3954"/>
      <c r="L38" s="3954"/>
      <c r="M38" s="3954"/>
      <c r="N38" s="3956"/>
      <c r="O38" s="3954"/>
      <c r="P38" s="3954"/>
      <c r="Q38" s="3954"/>
      <c r="R38" s="3959"/>
      <c r="S38" s="3954"/>
      <c r="T38" s="1335"/>
      <c r="U38" s="1335"/>
      <c r="V38" s="1334"/>
      <c r="W38" s="1215"/>
      <c r="X38" s="1186"/>
      <c r="Y38" s="1186"/>
      <c r="Z38" s="1186"/>
      <c r="AA38" s="1186"/>
      <c r="AB38" s="1186"/>
      <c r="AC38" s="1186" t="s">
        <v>189</v>
      </c>
      <c r="AD38" s="1186" t="s">
        <v>190</v>
      </c>
      <c r="AE38" s="1186" t="s">
        <v>191</v>
      </c>
      <c r="AF38" s="1186" t="s">
        <v>192</v>
      </c>
      <c r="AG38" s="1186" t="s">
        <v>193</v>
      </c>
      <c r="AH38" s="1186" t="str">
        <f>IF($E$38=0,"",$E$38)</f>
        <v>Тарифы на услуги по передаче теплоносителя</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3">
        <f>$I$38</f>
        <v>0</v>
      </c>
      <c r="AO38" s="1186" t="str">
        <f>$I$38&amp;"."&amp;$M$38</f>
        <v>.</v>
      </c>
      <c r="AP38" s="1179" t="str">
        <f>$I$38&amp;"."&amp;$M$38&amp;"."&amp;$Q$38</f>
        <v>..</v>
      </c>
      <c r="AQ38" s="1179" t="str">
        <f>$I$38&amp;"."&amp;$M$38&amp;"."&amp;$Q$38&amp;"."&amp;$U$38</f>
        <v>...</v>
      </c>
    </row>
    <row r="39" spans="1:43" s="1863" customFormat="1" ht="17.25" customHeight="1">
      <c r="A39" s="245"/>
      <c r="C39" s="244"/>
      <c r="D39" s="3960"/>
      <c r="E39" s="3962"/>
      <c r="F39" s="3965"/>
      <c r="G39" s="3962"/>
      <c r="H39" s="3968"/>
      <c r="I39" s="3970"/>
      <c r="J39" s="3972"/>
      <c r="K39" s="3955"/>
      <c r="L39" s="3955"/>
      <c r="M39" s="3955"/>
      <c r="N39" s="3957"/>
      <c r="O39" s="3955"/>
      <c r="P39" s="3955"/>
      <c r="Q39" s="3955"/>
      <c r="R39" s="3958"/>
      <c r="S39" s="3955"/>
      <c r="T39" s="1216"/>
      <c r="U39" s="1216"/>
      <c r="V39" s="1216"/>
      <c r="W39" s="1217"/>
      <c r="X39" s="1179"/>
      <c r="Y39" s="1179"/>
      <c r="Z39" s="1179"/>
      <c r="AA39" s="1179"/>
      <c r="AB39" s="1179"/>
      <c r="AC39" s="1179"/>
      <c r="AD39" s="1179"/>
      <c r="AE39" s="1179"/>
      <c r="AF39" s="1179"/>
      <c r="AG39" s="1179"/>
      <c r="AH39" s="1179"/>
      <c r="AI39" s="1179"/>
      <c r="AJ39" s="1179"/>
      <c r="AK39" s="1179"/>
      <c r="AL39" s="1179"/>
      <c r="AM39" s="1179"/>
      <c r="AN39" s="1179"/>
      <c r="AO39" s="1179"/>
      <c r="AP39" s="1179"/>
      <c r="AQ39" s="1179"/>
    </row>
    <row r="40" spans="1:43" s="1863" customFormat="1" ht="17.25" customHeight="1">
      <c r="A40" s="245"/>
      <c r="C40" s="244"/>
      <c r="D40" s="3961"/>
      <c r="E40" s="3963"/>
      <c r="F40" s="3965"/>
      <c r="G40" s="3963"/>
      <c r="H40" s="3968"/>
      <c r="I40" s="3970"/>
      <c r="J40" s="3973"/>
      <c r="K40" s="3955"/>
      <c r="L40" s="3955"/>
      <c r="M40" s="3955"/>
      <c r="N40" s="3958"/>
      <c r="O40" s="3955"/>
      <c r="P40" s="1333"/>
      <c r="Q40" s="1216"/>
      <c r="R40" s="1216"/>
      <c r="S40" s="256"/>
      <c r="T40" s="256"/>
      <c r="U40" s="256"/>
      <c r="V40" s="256"/>
      <c r="W40" s="1217"/>
      <c r="X40" s="1179"/>
      <c r="Y40" s="1179"/>
      <c r="Z40" s="1179"/>
      <c r="AA40" s="1179"/>
      <c r="AB40" s="1179"/>
      <c r="AC40" s="1179"/>
      <c r="AD40" s="1179"/>
      <c r="AE40" s="1179"/>
      <c r="AF40" s="1179"/>
      <c r="AG40" s="1179"/>
      <c r="AH40" s="1179"/>
      <c r="AI40" s="1179"/>
      <c r="AJ40" s="1179"/>
      <c r="AK40" s="1179"/>
      <c r="AL40" s="1179"/>
      <c r="AM40" s="1179"/>
      <c r="AN40" s="1179"/>
      <c r="AO40" s="1179"/>
      <c r="AP40" s="1179"/>
      <c r="AQ40" s="1179"/>
    </row>
    <row r="41" spans="1:43" s="1908" customFormat="1" ht="17.25" customHeight="1">
      <c r="A41" s="245"/>
      <c r="C41" s="130"/>
      <c r="D41" s="3961"/>
      <c r="E41" s="3963"/>
      <c r="F41" s="3965"/>
      <c r="G41" s="3963"/>
      <c r="H41" s="3968"/>
      <c r="I41" s="3970"/>
      <c r="J41" s="3973"/>
      <c r="K41" s="3955"/>
      <c r="L41" s="1216"/>
      <c r="M41" s="1216"/>
      <c r="N41" s="1216"/>
      <c r="O41" s="1216"/>
      <c r="P41" s="1216"/>
      <c r="Q41" s="1216"/>
      <c r="R41" s="1216"/>
      <c r="S41" s="256"/>
      <c r="T41" s="256"/>
      <c r="U41" s="256"/>
      <c r="V41" s="256"/>
      <c r="W41" s="1217"/>
      <c r="Y41" s="1186"/>
      <c r="Z41" s="1186"/>
      <c r="AA41" s="1186"/>
      <c r="AB41" s="1186"/>
      <c r="AC41" s="1186"/>
      <c r="AD41" s="1186"/>
      <c r="AE41" s="1186"/>
      <c r="AF41" s="1186"/>
      <c r="AG41" s="1186"/>
      <c r="AH41" s="1186"/>
      <c r="AI41" s="1186"/>
      <c r="AJ41" s="1186"/>
      <c r="AK41" s="1186"/>
      <c r="AL41" s="1186"/>
      <c r="AM41" s="1186"/>
      <c r="AN41" s="1186"/>
      <c r="AO41" s="1186"/>
      <c r="AP41" s="1186"/>
      <c r="AQ41" s="1186"/>
    </row>
    <row r="42" spans="1:43" s="1863" customFormat="1" ht="17.25" customHeight="1">
      <c r="A42" s="245"/>
      <c r="C42" s="244"/>
      <c r="D42" s="3961"/>
      <c r="E42" s="3963"/>
      <c r="F42" s="3966"/>
      <c r="G42" s="3963"/>
      <c r="H42" s="1218"/>
      <c r="I42" s="1219"/>
      <c r="J42" s="1219"/>
      <c r="K42" s="1219"/>
      <c r="L42" s="1219"/>
      <c r="M42" s="1219"/>
      <c r="N42" s="1219"/>
      <c r="O42" s="1219"/>
      <c r="P42" s="1219"/>
      <c r="Q42" s="1219"/>
      <c r="R42" s="1219"/>
      <c r="S42" s="1220"/>
      <c r="T42" s="1220"/>
      <c r="U42" s="1220"/>
      <c r="V42" s="1220"/>
      <c r="W42" s="1221"/>
      <c r="X42" s="1179"/>
      <c r="Y42" s="1179"/>
      <c r="Z42" s="1179"/>
      <c r="AA42" s="1179"/>
      <c r="AB42" s="1179"/>
      <c r="AC42" s="1179"/>
      <c r="AD42" s="1179"/>
      <c r="AE42" s="1179"/>
      <c r="AF42" s="1179"/>
      <c r="AG42" s="1179"/>
      <c r="AH42" s="1179"/>
      <c r="AI42" s="1179"/>
      <c r="AJ42" s="1179"/>
      <c r="AK42" s="1179"/>
      <c r="AL42" s="1179"/>
      <c r="AM42" s="1179"/>
      <c r="AN42" s="1179"/>
      <c r="AO42" s="1179"/>
      <c r="AP42" s="1179"/>
      <c r="AQ42" s="1179"/>
    </row>
    <row r="43" spans="1:43" s="1909" customFormat="1" ht="17.25" customHeight="1">
      <c r="A43" s="245"/>
      <c r="C43" s="130"/>
      <c r="D43" s="3987">
        <v>7</v>
      </c>
      <c r="E43" s="3990" t="s">
        <v>194</v>
      </c>
      <c r="F43" s="3964" t="s">
        <v>55</v>
      </c>
      <c r="G43" s="3990"/>
      <c r="H43" s="3967"/>
      <c r="I43" s="3969"/>
      <c r="J43" s="3971"/>
      <c r="K43" s="3954"/>
      <c r="L43" s="3954"/>
      <c r="M43" s="3954"/>
      <c r="N43" s="3956"/>
      <c r="O43" s="3954"/>
      <c r="P43" s="3954"/>
      <c r="Q43" s="3954"/>
      <c r="R43" s="3959"/>
      <c r="S43" s="3954"/>
      <c r="T43" s="1335"/>
      <c r="U43" s="1335"/>
      <c r="V43" s="1334"/>
      <c r="W43" s="1215"/>
      <c r="X43" s="1186"/>
      <c r="Y43" s="1186"/>
      <c r="Z43" s="1186"/>
      <c r="AA43" s="1186"/>
      <c r="AB43" s="1186"/>
      <c r="AC43" s="1186" t="s">
        <v>195</v>
      </c>
      <c r="AD43" s="1186" t="s">
        <v>196</v>
      </c>
      <c r="AE43" s="1186" t="s">
        <v>197</v>
      </c>
      <c r="AF43" s="1186" t="s">
        <v>198</v>
      </c>
      <c r="AG43" s="1186" t="s">
        <v>199</v>
      </c>
      <c r="AH43" s="1186" t="str">
        <f>IF($E$43=0,"",$E$43)</f>
        <v>Плата за услуги по поддержанию резервной тепловой мощности при отсутствии потребления тепловой энергии</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83">
        <f>$I$43</f>
        <v>0</v>
      </c>
      <c r="AO43" s="1186" t="str">
        <f>$I$43&amp;"."&amp;$M$43</f>
        <v>.</v>
      </c>
      <c r="AP43" s="1179" t="str">
        <f>$I$43&amp;"."&amp;$M$43&amp;"."&amp;$Q$43</f>
        <v>..</v>
      </c>
      <c r="AQ43" s="1179" t="str">
        <f>$I$43&amp;"."&amp;$M$43&amp;"."&amp;$Q$43&amp;"."&amp;$U$43</f>
        <v>...</v>
      </c>
    </row>
    <row r="44" spans="1:43" s="1909" customFormat="1" ht="17.25" customHeight="1">
      <c r="A44" s="245"/>
      <c r="C44" s="244"/>
      <c r="D44" s="3988"/>
      <c r="E44" s="3991"/>
      <c r="F44" s="3965"/>
      <c r="G44" s="3991"/>
      <c r="H44" s="3968"/>
      <c r="I44" s="3970"/>
      <c r="J44" s="3972"/>
      <c r="K44" s="3955"/>
      <c r="L44" s="3955"/>
      <c r="M44" s="3955"/>
      <c r="N44" s="3957"/>
      <c r="O44" s="3955"/>
      <c r="P44" s="3955"/>
      <c r="Q44" s="3955"/>
      <c r="R44" s="3958"/>
      <c r="S44" s="3955"/>
      <c r="T44" s="1216"/>
      <c r="U44" s="1216"/>
      <c r="V44" s="1216"/>
      <c r="W44" s="1217"/>
      <c r="X44" s="1179"/>
      <c r="Y44" s="1179"/>
      <c r="Z44" s="1179"/>
      <c r="AA44" s="1179"/>
      <c r="AB44" s="1179"/>
      <c r="AC44" s="1179"/>
      <c r="AD44" s="1179"/>
      <c r="AE44" s="1179"/>
      <c r="AF44" s="1179"/>
      <c r="AG44" s="1179"/>
      <c r="AH44" s="1179"/>
      <c r="AI44" s="1179"/>
      <c r="AJ44" s="1179"/>
      <c r="AK44" s="1179"/>
      <c r="AL44" s="1179"/>
      <c r="AM44" s="1179"/>
      <c r="AN44" s="1179"/>
      <c r="AO44" s="1179"/>
      <c r="AP44" s="1179"/>
      <c r="AQ44" s="1179"/>
    </row>
    <row r="45" spans="1:43" s="1909" customFormat="1" ht="17.25" customHeight="1">
      <c r="A45" s="245"/>
      <c r="C45" s="244"/>
      <c r="D45" s="3988"/>
      <c r="E45" s="3991"/>
      <c r="F45" s="3965"/>
      <c r="G45" s="3991"/>
      <c r="H45" s="3968"/>
      <c r="I45" s="3970"/>
      <c r="J45" s="3973"/>
      <c r="K45" s="3955"/>
      <c r="L45" s="3955"/>
      <c r="M45" s="3955"/>
      <c r="N45" s="3958"/>
      <c r="O45" s="3955"/>
      <c r="P45" s="1333"/>
      <c r="Q45" s="1216"/>
      <c r="R45" s="1216"/>
      <c r="S45" s="256"/>
      <c r="T45" s="256"/>
      <c r="U45" s="256"/>
      <c r="V45" s="256"/>
      <c r="W45" s="1217"/>
      <c r="X45" s="1179"/>
      <c r="Y45" s="1179"/>
      <c r="Z45" s="1179"/>
      <c r="AA45" s="1179"/>
      <c r="AB45" s="1179"/>
      <c r="AC45" s="1179"/>
      <c r="AD45" s="1179"/>
      <c r="AE45" s="1179"/>
      <c r="AF45" s="1179"/>
      <c r="AG45" s="1179"/>
      <c r="AH45" s="1179"/>
      <c r="AI45" s="1179"/>
      <c r="AJ45" s="1179"/>
      <c r="AK45" s="1179"/>
      <c r="AL45" s="1179"/>
      <c r="AM45" s="1179"/>
      <c r="AN45" s="1179"/>
      <c r="AO45" s="1179"/>
      <c r="AP45" s="1179"/>
      <c r="AQ45" s="1179"/>
    </row>
    <row r="46" spans="1:43" s="1908" customFormat="1" ht="17.25" customHeight="1">
      <c r="A46" s="245"/>
      <c r="C46" s="130"/>
      <c r="D46" s="3988"/>
      <c r="E46" s="3991"/>
      <c r="F46" s="3965"/>
      <c r="G46" s="3991"/>
      <c r="H46" s="3968"/>
      <c r="I46" s="3970"/>
      <c r="J46" s="3973"/>
      <c r="K46" s="3955"/>
      <c r="L46" s="1216"/>
      <c r="M46" s="1216"/>
      <c r="N46" s="1216"/>
      <c r="O46" s="1216"/>
      <c r="P46" s="1216"/>
      <c r="Q46" s="1216"/>
      <c r="R46" s="1216"/>
      <c r="S46" s="256"/>
      <c r="T46" s="256"/>
      <c r="U46" s="256"/>
      <c r="V46" s="256"/>
      <c r="W46" s="1217"/>
      <c r="Y46" s="1186"/>
      <c r="Z46" s="1186"/>
      <c r="AA46" s="1186"/>
      <c r="AB46" s="1186"/>
      <c r="AC46" s="1186"/>
      <c r="AD46" s="1186"/>
      <c r="AE46" s="1186"/>
      <c r="AF46" s="1186"/>
      <c r="AG46" s="1186"/>
      <c r="AH46" s="1186"/>
      <c r="AI46" s="1186"/>
      <c r="AJ46" s="1186"/>
      <c r="AK46" s="1186"/>
      <c r="AL46" s="1186"/>
      <c r="AM46" s="1186"/>
      <c r="AN46" s="1186"/>
      <c r="AO46" s="1186"/>
      <c r="AP46" s="1186"/>
      <c r="AQ46" s="1186"/>
    </row>
    <row r="47" spans="1:43" s="1909" customFormat="1" ht="17.25" customHeight="1">
      <c r="A47" s="245"/>
      <c r="C47" s="244"/>
      <c r="D47" s="3989"/>
      <c r="E47" s="3992"/>
      <c r="F47" s="3966"/>
      <c r="G47" s="3992"/>
      <c r="H47" s="1218"/>
      <c r="I47" s="1219"/>
      <c r="J47" s="1219"/>
      <c r="K47" s="1219"/>
      <c r="L47" s="1219"/>
      <c r="M47" s="1219"/>
      <c r="N47" s="1219"/>
      <c r="O47" s="1219"/>
      <c r="P47" s="1219"/>
      <c r="Q47" s="1219"/>
      <c r="R47" s="1219"/>
      <c r="S47" s="1220"/>
      <c r="T47" s="1220"/>
      <c r="U47" s="1220"/>
      <c r="V47" s="1220"/>
      <c r="W47" s="1221"/>
      <c r="X47" s="1179"/>
      <c r="Y47" s="1179"/>
      <c r="Z47" s="1179"/>
      <c r="AA47" s="1179"/>
      <c r="AB47" s="1179"/>
      <c r="AC47" s="1179"/>
      <c r="AD47" s="1179"/>
      <c r="AE47" s="1179"/>
      <c r="AF47" s="1179"/>
      <c r="AG47" s="1179"/>
      <c r="AH47" s="1179"/>
      <c r="AI47" s="1179"/>
      <c r="AJ47" s="1179"/>
      <c r="AK47" s="1179"/>
      <c r="AL47" s="1179"/>
      <c r="AM47" s="1179"/>
      <c r="AN47" s="1179"/>
      <c r="AO47" s="1179"/>
      <c r="AP47" s="1179"/>
      <c r="AQ47" s="1179"/>
    </row>
    <row r="48" spans="1:43" s="1909" customFormat="1" ht="17.25" customHeight="1">
      <c r="A48" s="245"/>
      <c r="C48" s="130"/>
      <c r="D48" s="3960">
        <v>8</v>
      </c>
      <c r="E48" s="3962" t="s">
        <v>200</v>
      </c>
      <c r="F48" s="3964" t="s">
        <v>55</v>
      </c>
      <c r="G48" s="3962"/>
      <c r="H48" s="3967"/>
      <c r="I48" s="3969"/>
      <c r="J48" s="3971"/>
      <c r="K48" s="3954"/>
      <c r="L48" s="3954"/>
      <c r="M48" s="3954"/>
      <c r="N48" s="3956"/>
      <c r="O48" s="3954"/>
      <c r="P48" s="3954"/>
      <c r="Q48" s="3954"/>
      <c r="R48" s="3959"/>
      <c r="S48" s="3954"/>
      <c r="T48" s="1381"/>
      <c r="U48" s="1381"/>
      <c r="V48" s="1383"/>
      <c r="W48" s="1215"/>
      <c r="X48" s="1186"/>
      <c r="Y48" s="1186"/>
      <c r="Z48" s="1186"/>
      <c r="AA48" s="1186"/>
      <c r="AB48" s="1186"/>
      <c r="AC48" s="1186" t="s">
        <v>201</v>
      </c>
      <c r="AD48" s="1186" t="s">
        <v>202</v>
      </c>
      <c r="AE48" s="1186" t="s">
        <v>203</v>
      </c>
      <c r="AF48" s="1186" t="s">
        <v>204</v>
      </c>
      <c r="AG48" s="1186" t="s">
        <v>205</v>
      </c>
      <c r="AH48" s="1186" t="str">
        <f>IF($E$48=0,"",$E$48)</f>
        <v>Плата за подключение (технологическое присоединение) к системе теплоснабжения</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83">
        <f>$I$48</f>
        <v>0</v>
      </c>
      <c r="AO48" s="1186" t="str">
        <f>$I$48&amp;"."&amp;$M$48</f>
        <v>.</v>
      </c>
      <c r="AP48" s="1179" t="str">
        <f>$I$48&amp;"."&amp;$M$48&amp;"."&amp;$Q$48</f>
        <v>..</v>
      </c>
      <c r="AQ48" s="1179" t="str">
        <f>$I$48&amp;"."&amp;$M$48&amp;"."&amp;$Q$48&amp;"."&amp;$U$48</f>
        <v>...</v>
      </c>
    </row>
    <row r="49" spans="1:43" s="1909" customFormat="1" ht="17.25" customHeight="1">
      <c r="A49" s="245"/>
      <c r="C49" s="244"/>
      <c r="D49" s="3960"/>
      <c r="E49" s="3962"/>
      <c r="F49" s="3965"/>
      <c r="G49" s="3962"/>
      <c r="H49" s="3968"/>
      <c r="I49" s="3970"/>
      <c r="J49" s="3972"/>
      <c r="K49" s="3955"/>
      <c r="L49" s="3955"/>
      <c r="M49" s="3955"/>
      <c r="N49" s="3957"/>
      <c r="O49" s="3955"/>
      <c r="P49" s="3955"/>
      <c r="Q49" s="3955"/>
      <c r="R49" s="3958"/>
      <c r="S49" s="3955"/>
      <c r="T49" s="1216"/>
      <c r="U49" s="1216"/>
      <c r="V49" s="1216"/>
      <c r="W49" s="1217"/>
      <c r="X49" s="1179"/>
      <c r="Y49" s="1179"/>
      <c r="Z49" s="1179"/>
      <c r="AA49" s="1179"/>
      <c r="AB49" s="1179"/>
      <c r="AC49" s="1179"/>
      <c r="AD49" s="1179"/>
      <c r="AE49" s="1179"/>
      <c r="AF49" s="1179"/>
      <c r="AG49" s="1179"/>
      <c r="AH49" s="1179"/>
      <c r="AI49" s="1179"/>
      <c r="AJ49" s="1179"/>
      <c r="AK49" s="1179"/>
      <c r="AL49" s="1179"/>
      <c r="AM49" s="1179"/>
      <c r="AN49" s="1179"/>
      <c r="AO49" s="1179"/>
      <c r="AP49" s="1179"/>
      <c r="AQ49" s="1179"/>
    </row>
    <row r="50" spans="1:43" s="1909" customFormat="1" ht="17.25" customHeight="1">
      <c r="A50" s="245"/>
      <c r="C50" s="244"/>
      <c r="D50" s="3961"/>
      <c r="E50" s="3963"/>
      <c r="F50" s="3965"/>
      <c r="G50" s="3963"/>
      <c r="H50" s="3968"/>
      <c r="I50" s="3970"/>
      <c r="J50" s="3973"/>
      <c r="K50" s="3955"/>
      <c r="L50" s="3955"/>
      <c r="M50" s="3955"/>
      <c r="N50" s="3958"/>
      <c r="O50" s="3955"/>
      <c r="P50" s="1382"/>
      <c r="Q50" s="1216"/>
      <c r="R50" s="1216"/>
      <c r="S50" s="256"/>
      <c r="T50" s="256"/>
      <c r="U50" s="256"/>
      <c r="V50" s="256"/>
      <c r="W50" s="1217"/>
      <c r="X50" s="1179"/>
      <c r="Y50" s="1179"/>
      <c r="Z50" s="1179"/>
      <c r="AA50" s="1179"/>
      <c r="AB50" s="1179"/>
      <c r="AC50" s="1179"/>
      <c r="AD50" s="1179"/>
      <c r="AE50" s="1179"/>
      <c r="AF50" s="1179"/>
      <c r="AG50" s="1179"/>
      <c r="AH50" s="1179"/>
      <c r="AI50" s="1179"/>
      <c r="AJ50" s="1179"/>
      <c r="AK50" s="1179"/>
      <c r="AL50" s="1179"/>
      <c r="AM50" s="1179"/>
      <c r="AN50" s="1179"/>
      <c r="AO50" s="1179"/>
      <c r="AP50" s="1179"/>
      <c r="AQ50" s="1179"/>
    </row>
    <row r="51" spans="1:43" s="1908" customFormat="1" ht="17.25" customHeight="1">
      <c r="A51" s="245"/>
      <c r="C51" s="130"/>
      <c r="D51" s="3961"/>
      <c r="E51" s="3963"/>
      <c r="F51" s="3965"/>
      <c r="G51" s="3963"/>
      <c r="H51" s="3968"/>
      <c r="I51" s="3970"/>
      <c r="J51" s="3973"/>
      <c r="K51" s="3955"/>
      <c r="L51" s="1216"/>
      <c r="M51" s="1216"/>
      <c r="N51" s="1216"/>
      <c r="O51" s="1216"/>
      <c r="P51" s="1216"/>
      <c r="Q51" s="1216"/>
      <c r="R51" s="1216"/>
      <c r="S51" s="256"/>
      <c r="T51" s="256"/>
      <c r="U51" s="256"/>
      <c r="V51" s="256"/>
      <c r="W51" s="1217"/>
      <c r="Y51" s="1186"/>
      <c r="Z51" s="1186"/>
      <c r="AA51" s="1186"/>
      <c r="AB51" s="1186"/>
      <c r="AC51" s="1186"/>
      <c r="AD51" s="1186"/>
      <c r="AE51" s="1186"/>
      <c r="AF51" s="1186"/>
      <c r="AG51" s="1186"/>
      <c r="AH51" s="1186"/>
      <c r="AI51" s="1186"/>
      <c r="AJ51" s="1186"/>
      <c r="AK51" s="1186"/>
      <c r="AL51" s="1186"/>
      <c r="AM51" s="1186"/>
      <c r="AN51" s="1186"/>
      <c r="AO51" s="1186"/>
      <c r="AP51" s="1186"/>
      <c r="AQ51" s="1186"/>
    </row>
    <row r="52" spans="1:43" s="1909" customFormat="1" ht="17.25" customHeight="1">
      <c r="A52" s="245"/>
      <c r="C52" s="244"/>
      <c r="D52" s="3961"/>
      <c r="E52" s="3963"/>
      <c r="F52" s="3966"/>
      <c r="G52" s="3963"/>
      <c r="H52" s="1218"/>
      <c r="I52" s="1219"/>
      <c r="J52" s="1219"/>
      <c r="K52" s="1219"/>
      <c r="L52" s="1219"/>
      <c r="M52" s="1219"/>
      <c r="N52" s="1219"/>
      <c r="O52" s="1219"/>
      <c r="P52" s="1219"/>
      <c r="Q52" s="1219"/>
      <c r="R52" s="1219"/>
      <c r="S52" s="1220"/>
      <c r="T52" s="1220"/>
      <c r="U52" s="1220"/>
      <c r="V52" s="1220"/>
      <c r="W52" s="1221"/>
      <c r="X52" s="1179"/>
      <c r="Y52" s="1179"/>
      <c r="Z52" s="1179"/>
      <c r="AA52" s="1179"/>
      <c r="AB52" s="1179"/>
      <c r="AC52" s="1179"/>
      <c r="AD52" s="1179"/>
      <c r="AE52" s="1179"/>
      <c r="AF52" s="1179"/>
      <c r="AG52" s="1179"/>
      <c r="AH52" s="1179"/>
      <c r="AI52" s="1179"/>
      <c r="AJ52" s="1179"/>
      <c r="AK52" s="1179"/>
      <c r="AL52" s="1179"/>
      <c r="AM52" s="1179"/>
      <c r="AN52" s="1179"/>
      <c r="AO52" s="1179"/>
      <c r="AP52" s="1179"/>
      <c r="AQ52" s="1179"/>
    </row>
    <row r="54" spans="1:43" ht="11.25" customHeight="1">
      <c r="E54" s="3995" t="s">
        <v>206</v>
      </c>
      <c r="F54" s="3995"/>
      <c r="G54" s="3995"/>
      <c r="H54" s="3995"/>
      <c r="I54" s="3995"/>
      <c r="J54" s="3995"/>
      <c r="K54" s="3995"/>
      <c r="L54" s="3995"/>
      <c r="M54" s="3995"/>
      <c r="N54" s="3995"/>
      <c r="O54" s="3995"/>
      <c r="P54" s="3995"/>
      <c r="Q54" s="3995"/>
      <c r="R54" s="3995"/>
      <c r="S54" s="3995"/>
      <c r="T54" s="3995"/>
      <c r="U54" s="3995"/>
      <c r="V54" s="3995"/>
      <c r="W54" s="3995"/>
    </row>
    <row r="55" spans="1:43" ht="36.75" customHeight="1">
      <c r="E55" s="3993" t="s">
        <v>207</v>
      </c>
      <c r="F55" s="3993"/>
      <c r="G55" s="3994"/>
      <c r="H55" s="3994"/>
      <c r="I55" s="3994"/>
      <c r="J55" s="3994"/>
      <c r="K55" s="3994"/>
      <c r="L55" s="3994"/>
      <c r="M55" s="3994"/>
      <c r="N55" s="3994"/>
      <c r="O55" s="3994"/>
      <c r="P55" s="3994"/>
      <c r="Q55" s="3994"/>
      <c r="R55" s="3994"/>
      <c r="S55" s="3994"/>
      <c r="T55" s="3994"/>
      <c r="U55" s="3994"/>
      <c r="V55" s="3994"/>
      <c r="W55" s="3994"/>
    </row>
    <row r="56" spans="1:43" ht="28.5" customHeight="1">
      <c r="E56" s="3993" t="s">
        <v>208</v>
      </c>
      <c r="F56" s="3993"/>
      <c r="G56" s="3994"/>
      <c r="H56" s="3994"/>
      <c r="I56" s="3994"/>
      <c r="J56" s="3994"/>
      <c r="K56" s="3994"/>
      <c r="L56" s="3994"/>
      <c r="M56" s="3994"/>
      <c r="N56" s="3994"/>
      <c r="O56" s="3994"/>
      <c r="P56" s="3994"/>
      <c r="Q56" s="3994"/>
      <c r="R56" s="3994"/>
      <c r="S56" s="3994"/>
      <c r="T56" s="3994"/>
      <c r="U56" s="3994"/>
      <c r="V56" s="3994"/>
      <c r="W56" s="3994"/>
    </row>
    <row r="57" spans="1:43" ht="27" customHeight="1">
      <c r="E57" s="3993" t="s">
        <v>209</v>
      </c>
      <c r="F57" s="3993"/>
      <c r="G57" s="3994"/>
      <c r="H57" s="3994"/>
      <c r="I57" s="3994"/>
      <c r="J57" s="3994"/>
      <c r="K57" s="3994"/>
      <c r="L57" s="3994"/>
      <c r="M57" s="3994"/>
      <c r="N57" s="3994"/>
      <c r="O57" s="3994"/>
      <c r="P57" s="3994"/>
      <c r="Q57" s="3994"/>
      <c r="R57" s="3994"/>
      <c r="S57" s="3994"/>
      <c r="T57" s="3994"/>
      <c r="U57" s="3994"/>
      <c r="V57" s="3994"/>
      <c r="W57" s="3994"/>
    </row>
    <row r="58" spans="1:43" ht="17.25" customHeight="1">
      <c r="E58" s="3993" t="s">
        <v>210</v>
      </c>
      <c r="F58" s="3993"/>
      <c r="G58" s="3994"/>
      <c r="H58" s="3994"/>
      <c r="I58" s="3994"/>
      <c r="J58" s="3994"/>
      <c r="K58" s="3994"/>
      <c r="L58" s="3994"/>
      <c r="M58" s="3994"/>
      <c r="N58" s="3994"/>
      <c r="O58" s="3994"/>
      <c r="P58" s="3994"/>
      <c r="Q58" s="3994"/>
      <c r="R58" s="3994"/>
      <c r="S58" s="3994"/>
      <c r="T58" s="3994"/>
      <c r="U58" s="3994"/>
      <c r="V58" s="3994"/>
      <c r="W58" s="3994"/>
    </row>
    <row r="59" spans="1:43" ht="15" customHeight="1">
      <c r="E59" s="267"/>
      <c r="F59" s="1204"/>
      <c r="G59" s="79"/>
      <c r="H59" s="79"/>
      <c r="I59" s="79"/>
      <c r="J59" s="79"/>
      <c r="K59" s="79"/>
      <c r="L59" s="79"/>
      <c r="M59" s="79"/>
      <c r="N59" s="79"/>
      <c r="O59" s="79"/>
      <c r="P59" s="79"/>
      <c r="Q59" s="79"/>
      <c r="R59" s="79"/>
      <c r="S59" s="79"/>
      <c r="T59" s="79"/>
      <c r="U59" s="79"/>
      <c r="V59" s="79"/>
      <c r="W59" s="79"/>
    </row>
    <row r="60" spans="1:43" ht="15" customHeight="1">
      <c r="E60" s="3995" t="s">
        <v>211</v>
      </c>
      <c r="F60" s="3995"/>
      <c r="G60" s="3995"/>
      <c r="H60" s="3995"/>
      <c r="I60" s="3995"/>
      <c r="J60" s="3995"/>
      <c r="K60" s="3995"/>
      <c r="L60" s="3995"/>
      <c r="M60" s="3995"/>
      <c r="N60" s="3995"/>
      <c r="O60" s="3995"/>
      <c r="P60" s="3995"/>
      <c r="Q60" s="3995"/>
      <c r="R60" s="3995"/>
      <c r="S60" s="3995"/>
      <c r="T60" s="3995"/>
      <c r="U60" s="3995"/>
      <c r="V60" s="3995"/>
      <c r="W60" s="3995"/>
    </row>
    <row r="61" spans="1:43" ht="17.25" customHeight="1">
      <c r="E61" s="3993" t="s">
        <v>212</v>
      </c>
      <c r="F61" s="3993"/>
      <c r="G61" s="3994"/>
      <c r="H61" s="3994"/>
      <c r="I61" s="3994"/>
      <c r="J61" s="3994"/>
      <c r="K61" s="3994"/>
      <c r="L61" s="3994"/>
      <c r="M61" s="3994"/>
      <c r="N61" s="3994"/>
      <c r="O61" s="3994"/>
      <c r="P61" s="3994"/>
      <c r="Q61" s="3994"/>
      <c r="R61" s="3994"/>
      <c r="S61" s="3994"/>
      <c r="T61" s="3994"/>
      <c r="U61" s="3994"/>
      <c r="V61" s="3994"/>
      <c r="W61" s="3994"/>
    </row>
    <row r="62" spans="1:43" ht="17.25" customHeight="1">
      <c r="E62" s="3993" t="s">
        <v>213</v>
      </c>
      <c r="F62" s="3993"/>
      <c r="G62" s="3994"/>
      <c r="H62" s="3994"/>
      <c r="I62" s="3994"/>
      <c r="J62" s="3994"/>
      <c r="K62" s="3994"/>
      <c r="L62" s="3994"/>
      <c r="M62" s="3994"/>
      <c r="N62" s="3994"/>
      <c r="O62" s="3994"/>
      <c r="P62" s="3994"/>
      <c r="Q62" s="3994"/>
      <c r="R62" s="3994"/>
      <c r="S62" s="3994"/>
      <c r="T62" s="3994"/>
      <c r="U62" s="3994"/>
      <c r="V62" s="3994"/>
      <c r="W62" s="3994"/>
    </row>
    <row r="63" spans="1:43" s="1910" customFormat="1" ht="11.25" hidden="1" customHeight="1">
      <c r="A63" s="195"/>
      <c r="B63" s="195"/>
      <c r="Y63" s="1179"/>
      <c r="Z63" s="1179"/>
      <c r="AA63" s="1179"/>
      <c r="AB63" s="1179"/>
      <c r="AC63" s="1179"/>
      <c r="AD63" s="1179"/>
      <c r="AE63" s="1179"/>
      <c r="AF63" s="1179"/>
      <c r="AG63" s="1179"/>
      <c r="AH63" s="1179"/>
      <c r="AI63" s="1179"/>
      <c r="AJ63" s="1179"/>
      <c r="AK63" s="1179"/>
      <c r="AL63" s="1179"/>
      <c r="AM63" s="1179"/>
      <c r="AN63" s="1179"/>
      <c r="AO63" s="1179"/>
      <c r="AP63" s="1179"/>
      <c r="AQ63" s="1179"/>
    </row>
    <row r="64" spans="1:43" s="1910" customFormat="1" ht="17.25" hidden="1" customHeight="1">
      <c r="A64" s="245"/>
      <c r="C64" s="130"/>
      <c r="D64" s="3960">
        <v>1</v>
      </c>
      <c r="E64" s="3962" t="s">
        <v>214</v>
      </c>
      <c r="F64" s="3964" t="s">
        <v>55</v>
      </c>
      <c r="G64" s="3962"/>
      <c r="H64" s="3967"/>
      <c r="I64" s="3969"/>
      <c r="J64" s="3971"/>
      <c r="K64" s="3954"/>
      <c r="L64" s="3954"/>
      <c r="M64" s="3954"/>
      <c r="N64" s="3956"/>
      <c r="O64" s="3954"/>
      <c r="P64" s="3954"/>
      <c r="Q64" s="3954"/>
      <c r="R64" s="3959"/>
      <c r="S64" s="3954"/>
      <c r="T64" s="1381"/>
      <c r="U64" s="1381"/>
      <c r="V64" s="1383"/>
      <c r="W64" s="1215"/>
      <c r="Y64" s="1186"/>
      <c r="Z64" s="1186"/>
      <c r="AA64" s="1186"/>
      <c r="AB64" s="1186"/>
      <c r="AC64" s="1186" t="s">
        <v>215</v>
      </c>
      <c r="AD64" s="1186" t="s">
        <v>216</v>
      </c>
      <c r="AE64" s="1186" t="s">
        <v>217</v>
      </c>
      <c r="AF64" s="1186" t="s">
        <v>218</v>
      </c>
      <c r="AG64" s="1186"/>
      <c r="AH64" s="1186" t="str">
        <f>IF($E$64=0,"",$E$64)</f>
        <v>Тариф на питьевую воду (питьевое водоснабжение)</v>
      </c>
      <c r="AI64" s="1186" t="str">
        <f>IF($G$64=0,"",$G$64)</f>
        <v/>
      </c>
      <c r="AJ64" s="1186" t="str">
        <f>IF($J$64=0,"",$J$64)</f>
        <v/>
      </c>
      <c r="AK64" s="1186" t="str">
        <f>IF($K$64="нет","без дифференциации",IF($N$64=0,"",$N$64))</f>
        <v/>
      </c>
      <c r="AL64" s="1186" t="str">
        <f>IF($O$64="нет","без дифференциации",IF($R$64=0,"",$R$64))</f>
        <v/>
      </c>
      <c r="AM64" s="1186" t="str">
        <f>IF($S$64="нет","без дифференциации",IF($V$64=0,"",$V$64))</f>
        <v/>
      </c>
      <c r="AN64" s="1186">
        <f>$I$64</f>
        <v>0</v>
      </c>
      <c r="AO64" s="1186" t="str">
        <f>$I$64&amp;"."&amp;$M$64</f>
        <v>.</v>
      </c>
      <c r="AP64" s="1186" t="str">
        <f>$I$64&amp;"."&amp;$M$64&amp;"."&amp;$Q$64</f>
        <v>..</v>
      </c>
      <c r="AQ64" s="1186" t="str">
        <f>$I$64&amp;"."&amp;$M$64&amp;"."&amp;$Q$64&amp;"."&amp;$U$64</f>
        <v>...</v>
      </c>
    </row>
    <row r="65" spans="1:43" s="1910" customFormat="1" ht="17.25" hidden="1" customHeight="1">
      <c r="A65" s="245"/>
      <c r="C65" s="244"/>
      <c r="D65" s="3960"/>
      <c r="E65" s="3962"/>
      <c r="F65" s="3965"/>
      <c r="G65" s="3962"/>
      <c r="H65" s="3968"/>
      <c r="I65" s="3970"/>
      <c r="J65" s="3972"/>
      <c r="K65" s="3955"/>
      <c r="L65" s="3955"/>
      <c r="M65" s="3955"/>
      <c r="N65" s="3957"/>
      <c r="O65" s="3955"/>
      <c r="P65" s="3955"/>
      <c r="Q65" s="3955"/>
      <c r="R65" s="3958"/>
      <c r="S65" s="3955"/>
      <c r="T65" s="1216"/>
      <c r="U65" s="1216"/>
      <c r="V65" s="1216"/>
      <c r="W65" s="1217"/>
      <c r="Y65" s="1179"/>
      <c r="Z65" s="1179"/>
      <c r="AA65" s="1179"/>
      <c r="AB65" s="1179"/>
      <c r="AC65" s="1179"/>
      <c r="AD65" s="1179"/>
      <c r="AE65" s="1179"/>
      <c r="AF65" s="1179"/>
      <c r="AG65" s="1179"/>
      <c r="AH65" s="1179"/>
      <c r="AI65" s="1179"/>
      <c r="AJ65" s="1179"/>
      <c r="AK65" s="1179"/>
      <c r="AL65" s="1179"/>
      <c r="AM65" s="1179"/>
      <c r="AN65" s="1179"/>
      <c r="AO65" s="1179"/>
      <c r="AP65" s="1179"/>
      <c r="AQ65" s="1179"/>
    </row>
    <row r="66" spans="1:43" s="1911" customFormat="1" ht="17.25" hidden="1" customHeight="1">
      <c r="A66" s="245"/>
      <c r="C66" s="130"/>
      <c r="D66" s="3960"/>
      <c r="E66" s="3962"/>
      <c r="F66" s="3965"/>
      <c r="G66" s="3962"/>
      <c r="H66" s="3968"/>
      <c r="I66" s="3970"/>
      <c r="J66" s="3973"/>
      <c r="K66" s="3955"/>
      <c r="L66" s="3955"/>
      <c r="M66" s="3955"/>
      <c r="N66" s="3958"/>
      <c r="O66" s="3955"/>
      <c r="P66" s="1382"/>
      <c r="Q66" s="1216"/>
      <c r="R66" s="1216"/>
      <c r="S66" s="256"/>
      <c r="T66" s="256"/>
      <c r="U66" s="256"/>
      <c r="V66" s="256"/>
      <c r="W66" s="1217"/>
      <c r="Y66" s="1186"/>
      <c r="Z66" s="1186"/>
      <c r="AA66" s="1186"/>
      <c r="AB66" s="1186"/>
      <c r="AC66" s="1186"/>
      <c r="AD66" s="1186"/>
      <c r="AE66" s="1186"/>
      <c r="AF66" s="1186"/>
      <c r="AG66" s="1186"/>
      <c r="AH66" s="1186"/>
      <c r="AI66" s="1186"/>
      <c r="AJ66" s="1186"/>
      <c r="AK66" s="1186"/>
      <c r="AL66" s="1186"/>
      <c r="AM66" s="1186"/>
      <c r="AN66" s="1186"/>
      <c r="AO66" s="1186"/>
      <c r="AP66" s="1186"/>
      <c r="AQ66" s="1186"/>
    </row>
    <row r="67" spans="1:43" s="1911" customFormat="1" ht="17.25" hidden="1" customHeight="1">
      <c r="A67" s="245"/>
      <c r="C67" s="244"/>
      <c r="D67" s="3960"/>
      <c r="E67" s="3962"/>
      <c r="F67" s="3965"/>
      <c r="G67" s="3962"/>
      <c r="H67" s="3968"/>
      <c r="I67" s="3970"/>
      <c r="J67" s="3973"/>
      <c r="K67" s="3955"/>
      <c r="L67" s="1216"/>
      <c r="M67" s="1216"/>
      <c r="N67" s="1216"/>
      <c r="O67" s="1216"/>
      <c r="P67" s="1216"/>
      <c r="Q67" s="1216"/>
      <c r="R67" s="1216"/>
      <c r="S67" s="256"/>
      <c r="T67" s="256"/>
      <c r="U67" s="256"/>
      <c r="V67" s="256"/>
      <c r="W67" s="1217"/>
      <c r="Y67" s="1179"/>
      <c r="Z67" s="1179"/>
      <c r="AA67" s="1179"/>
      <c r="AB67" s="1179"/>
      <c r="AC67" s="1179"/>
      <c r="AD67" s="1179"/>
      <c r="AE67" s="1179"/>
      <c r="AF67" s="1179"/>
      <c r="AG67" s="1179"/>
      <c r="AH67" s="1179"/>
      <c r="AI67" s="1179"/>
      <c r="AJ67" s="1179"/>
      <c r="AK67" s="1179"/>
      <c r="AL67" s="1179"/>
      <c r="AM67" s="1179"/>
      <c r="AN67" s="1179"/>
      <c r="AO67" s="1179"/>
      <c r="AP67" s="1179"/>
      <c r="AQ67" s="1179"/>
    </row>
    <row r="68" spans="1:43" s="1910" customFormat="1" ht="17.25" hidden="1" customHeight="1">
      <c r="A68" s="245"/>
      <c r="C68" s="244"/>
      <c r="D68" s="3961"/>
      <c r="E68" s="3963"/>
      <c r="F68" s="3966"/>
      <c r="G68" s="3963"/>
      <c r="H68" s="1218"/>
      <c r="I68" s="1219"/>
      <c r="J68" s="1219"/>
      <c r="K68" s="1219"/>
      <c r="L68" s="1219"/>
      <c r="M68" s="1219"/>
      <c r="N68" s="1219"/>
      <c r="O68" s="1219"/>
      <c r="P68" s="1219"/>
      <c r="Q68" s="1219"/>
      <c r="R68" s="1219"/>
      <c r="S68" s="1220"/>
      <c r="T68" s="1220"/>
      <c r="U68" s="1220"/>
      <c r="V68" s="1220"/>
      <c r="W68" s="1221"/>
      <c r="Y68" s="1179"/>
      <c r="Z68" s="1179"/>
      <c r="AA68" s="1179"/>
      <c r="AB68" s="1179"/>
      <c r="AC68" s="1179"/>
      <c r="AD68" s="1179"/>
      <c r="AE68" s="1179"/>
      <c r="AF68" s="1179"/>
      <c r="AG68" s="1179"/>
      <c r="AH68" s="1179"/>
      <c r="AI68" s="1179"/>
      <c r="AJ68" s="1179"/>
      <c r="AK68" s="1179"/>
      <c r="AL68" s="1179"/>
      <c r="AM68" s="1179"/>
      <c r="AN68" s="1179"/>
      <c r="AO68" s="1179"/>
      <c r="AP68" s="1179"/>
      <c r="AQ68" s="1179"/>
    </row>
    <row r="69" spans="1:43" s="1910" customFormat="1" ht="17.25" hidden="1" customHeight="1">
      <c r="A69" s="245"/>
      <c r="C69" s="130"/>
      <c r="D69" s="3960">
        <v>2</v>
      </c>
      <c r="E69" s="3962" t="s">
        <v>219</v>
      </c>
      <c r="F69" s="3964" t="s">
        <v>55</v>
      </c>
      <c r="G69" s="3962"/>
      <c r="H69" s="3967"/>
      <c r="I69" s="3969"/>
      <c r="J69" s="3971"/>
      <c r="K69" s="3954"/>
      <c r="L69" s="3954"/>
      <c r="M69" s="3954"/>
      <c r="N69" s="3956"/>
      <c r="O69" s="3954"/>
      <c r="P69" s="3954"/>
      <c r="Q69" s="3954"/>
      <c r="R69" s="3959"/>
      <c r="S69" s="3954"/>
      <c r="T69" s="1357"/>
      <c r="U69" s="1357"/>
      <c r="V69" s="1359"/>
      <c r="W69" s="1215"/>
      <c r="X69" s="1186"/>
      <c r="Y69" s="1186"/>
      <c r="Z69" s="1186"/>
      <c r="AA69" s="1186"/>
      <c r="AB69" s="1186"/>
      <c r="AC69" s="1186" t="s">
        <v>220</v>
      </c>
      <c r="AD69" s="1186" t="s">
        <v>221</v>
      </c>
      <c r="AE69" s="1186" t="s">
        <v>222</v>
      </c>
      <c r="AF69" s="1186" t="s">
        <v>223</v>
      </c>
      <c r="AG69" s="1186"/>
      <c r="AH69" s="1186" t="str">
        <f>IF($E$69=0,"",$E$69)</f>
        <v>Тариф на техническую воду</v>
      </c>
      <c r="AI69" s="1186" t="str">
        <f>IF($G$69=0,"",$G$69)</f>
        <v/>
      </c>
      <c r="AJ69" s="1186" t="str">
        <f>IF($J$69=0,"",$J$69)</f>
        <v/>
      </c>
      <c r="AK69" s="1186" t="str">
        <f>IF($K$69="нет","без дифференциации",IF($N$69=0,"",$N$69))</f>
        <v/>
      </c>
      <c r="AL69" s="1186" t="str">
        <f>IF($O$69="нет","без дифференциации",IF($R$69=0,"",$R$69))</f>
        <v/>
      </c>
      <c r="AM69" s="1186" t="str">
        <f>IF($S$69="нет","без дифференциации",IF($V$69=0,"",$V$69))</f>
        <v/>
      </c>
      <c r="AN69" s="1683">
        <f>$I$69</f>
        <v>0</v>
      </c>
      <c r="AO69" s="1186" t="str">
        <f>$I$69&amp;"."&amp;$M$69</f>
        <v>.</v>
      </c>
      <c r="AP69" s="1179" t="str">
        <f>$I$69&amp;"."&amp;$M$69&amp;"."&amp;$Q$69</f>
        <v>..</v>
      </c>
      <c r="AQ69" s="1179" t="str">
        <f>$I$69&amp;"."&amp;$M$69&amp;"."&amp;$Q$69&amp;"."&amp;$U$69</f>
        <v>...</v>
      </c>
    </row>
    <row r="70" spans="1:43" s="1910" customFormat="1" ht="17.25" hidden="1" customHeight="1">
      <c r="A70" s="245"/>
      <c r="C70" s="244"/>
      <c r="D70" s="3960"/>
      <c r="E70" s="3962"/>
      <c r="F70" s="3965"/>
      <c r="G70" s="3962"/>
      <c r="H70" s="3968"/>
      <c r="I70" s="3970"/>
      <c r="J70" s="3972"/>
      <c r="K70" s="3955"/>
      <c r="L70" s="3955"/>
      <c r="M70" s="3955"/>
      <c r="N70" s="3957"/>
      <c r="O70" s="3955"/>
      <c r="P70" s="3955"/>
      <c r="Q70" s="3955"/>
      <c r="R70" s="3958"/>
      <c r="S70" s="3955"/>
      <c r="T70" s="1216"/>
      <c r="U70" s="1216"/>
      <c r="V70" s="1216"/>
      <c r="W70" s="1217"/>
      <c r="X70" s="1179"/>
      <c r="Y70" s="1179"/>
      <c r="Z70" s="1179"/>
      <c r="AA70" s="1179"/>
      <c r="AB70" s="1179"/>
      <c r="AC70" s="1179"/>
      <c r="AD70" s="1179"/>
      <c r="AE70" s="1179"/>
      <c r="AF70" s="1179"/>
      <c r="AG70" s="1179"/>
      <c r="AH70" s="1179"/>
      <c r="AI70" s="1179"/>
      <c r="AJ70" s="1179"/>
      <c r="AK70" s="1179"/>
      <c r="AL70" s="1179"/>
      <c r="AM70" s="1179"/>
      <c r="AN70" s="1179"/>
      <c r="AO70" s="1179"/>
      <c r="AP70" s="1179"/>
      <c r="AQ70" s="1179"/>
    </row>
    <row r="71" spans="1:43" s="1910" customFormat="1" ht="17.25" hidden="1" customHeight="1">
      <c r="A71" s="245"/>
      <c r="C71" s="244"/>
      <c r="D71" s="3961"/>
      <c r="E71" s="3963"/>
      <c r="F71" s="3965"/>
      <c r="G71" s="3963"/>
      <c r="H71" s="3968"/>
      <c r="I71" s="3970"/>
      <c r="J71" s="3973"/>
      <c r="K71" s="3955"/>
      <c r="L71" s="3955"/>
      <c r="M71" s="3955"/>
      <c r="N71" s="3958"/>
      <c r="O71" s="3955"/>
      <c r="P71" s="1358"/>
      <c r="Q71" s="1216"/>
      <c r="R71" s="1216"/>
      <c r="S71" s="256"/>
      <c r="T71" s="256"/>
      <c r="U71" s="256"/>
      <c r="V71" s="256"/>
      <c r="W71" s="1217"/>
      <c r="X71" s="1179"/>
      <c r="Y71" s="1179"/>
      <c r="Z71" s="1179"/>
      <c r="AA71" s="1179"/>
      <c r="AB71" s="1179"/>
      <c r="AC71" s="1179"/>
      <c r="AD71" s="1179"/>
      <c r="AE71" s="1179"/>
      <c r="AF71" s="1179"/>
      <c r="AG71" s="1179"/>
      <c r="AH71" s="1179"/>
      <c r="AI71" s="1179"/>
      <c r="AJ71" s="1179"/>
      <c r="AK71" s="1179"/>
      <c r="AL71" s="1179"/>
      <c r="AM71" s="1179"/>
      <c r="AN71" s="1179"/>
      <c r="AO71" s="1179"/>
      <c r="AP71" s="1179"/>
      <c r="AQ71" s="1179"/>
    </row>
    <row r="72" spans="1:43" s="1910" customFormat="1" ht="17.25" hidden="1" customHeight="1">
      <c r="A72" s="245"/>
      <c r="C72" s="244"/>
      <c r="D72" s="3961"/>
      <c r="E72" s="3963"/>
      <c r="F72" s="3965"/>
      <c r="G72" s="3963"/>
      <c r="H72" s="3968"/>
      <c r="I72" s="3970"/>
      <c r="J72" s="3973"/>
      <c r="K72" s="3955"/>
      <c r="L72" s="1216"/>
      <c r="M72" s="1216"/>
      <c r="N72" s="1216"/>
      <c r="O72" s="1216"/>
      <c r="P72" s="1216"/>
      <c r="Q72" s="1216"/>
      <c r="R72" s="1216"/>
      <c r="S72" s="256"/>
      <c r="T72" s="256"/>
      <c r="U72" s="256"/>
      <c r="V72" s="256"/>
      <c r="W72" s="1217"/>
      <c r="X72" s="1179"/>
      <c r="Y72" s="1179"/>
      <c r="Z72" s="1179"/>
      <c r="AA72" s="1179"/>
      <c r="AB72" s="1179"/>
      <c r="AC72" s="1179"/>
      <c r="AD72" s="1179"/>
      <c r="AE72" s="1179"/>
      <c r="AF72" s="1179"/>
      <c r="AG72" s="1179"/>
      <c r="AH72" s="1179"/>
      <c r="AI72" s="1179"/>
      <c r="AJ72" s="1179"/>
      <c r="AK72" s="1179"/>
      <c r="AL72" s="1179"/>
      <c r="AM72" s="1179"/>
      <c r="AN72" s="1179"/>
      <c r="AO72" s="1179"/>
      <c r="AP72" s="1179"/>
      <c r="AQ72" s="1179"/>
    </row>
    <row r="73" spans="1:43" s="1910" customFormat="1" ht="17.25" hidden="1" customHeight="1">
      <c r="A73" s="245"/>
      <c r="C73" s="244"/>
      <c r="D73" s="3961"/>
      <c r="E73" s="3963"/>
      <c r="F73" s="3966"/>
      <c r="G73" s="3963"/>
      <c r="H73" s="1218"/>
      <c r="I73" s="1219"/>
      <c r="J73" s="1219"/>
      <c r="K73" s="1219"/>
      <c r="L73" s="1219"/>
      <c r="M73" s="1219"/>
      <c r="N73" s="1219"/>
      <c r="O73" s="1219"/>
      <c r="P73" s="1219"/>
      <c r="Q73" s="1219"/>
      <c r="R73" s="1219"/>
      <c r="S73" s="1220"/>
      <c r="T73" s="1220"/>
      <c r="U73" s="1220"/>
      <c r="V73" s="1220"/>
      <c r="W73" s="1221"/>
      <c r="X73" s="1179"/>
      <c r="Y73" s="1179"/>
      <c r="Z73" s="1179"/>
      <c r="AA73" s="1179"/>
      <c r="AB73" s="1179"/>
      <c r="AC73" s="1179"/>
      <c r="AD73" s="1179"/>
      <c r="AE73" s="1179"/>
      <c r="AF73" s="1179"/>
      <c r="AG73" s="1179"/>
      <c r="AH73" s="1179"/>
      <c r="AI73" s="1179"/>
      <c r="AJ73" s="1179"/>
      <c r="AK73" s="1179"/>
      <c r="AL73" s="1179"/>
      <c r="AM73" s="1179"/>
      <c r="AN73" s="1179"/>
      <c r="AO73" s="1179"/>
      <c r="AP73" s="1179"/>
      <c r="AQ73" s="1179"/>
    </row>
    <row r="74" spans="1:43" s="1910" customFormat="1" ht="17.25" hidden="1" customHeight="1">
      <c r="A74" s="245"/>
      <c r="C74" s="130"/>
      <c r="D74" s="3960">
        <v>3</v>
      </c>
      <c r="E74" s="3962" t="s">
        <v>224</v>
      </c>
      <c r="F74" s="3964" t="s">
        <v>55</v>
      </c>
      <c r="G74" s="3962"/>
      <c r="H74" s="3967"/>
      <c r="I74" s="3969"/>
      <c r="J74" s="3971"/>
      <c r="K74" s="3954"/>
      <c r="L74" s="3954"/>
      <c r="M74" s="3954"/>
      <c r="N74" s="3956"/>
      <c r="O74" s="3954"/>
      <c r="P74" s="3954"/>
      <c r="Q74" s="3954"/>
      <c r="R74" s="3959"/>
      <c r="S74" s="3954"/>
      <c r="T74" s="1357"/>
      <c r="U74" s="1357"/>
      <c r="V74" s="1359"/>
      <c r="W74" s="1215"/>
      <c r="X74" s="1186"/>
      <c r="Y74" s="1186"/>
      <c r="Z74" s="1186"/>
      <c r="AA74" s="1186"/>
      <c r="AB74" s="1186"/>
      <c r="AC74" s="1186" t="s">
        <v>225</v>
      </c>
      <c r="AD74" s="1186" t="s">
        <v>226</v>
      </c>
      <c r="AE74" s="1186" t="s">
        <v>227</v>
      </c>
      <c r="AF74" s="1186" t="s">
        <v>228</v>
      </c>
      <c r="AG74" s="1186"/>
      <c r="AH74" s="1186" t="str">
        <f>IF($E$74=0,"",$E$74)</f>
        <v>Тариф на транспортировку воды</v>
      </c>
      <c r="AI74" s="1186" t="str">
        <f>IF($G$74=0,"",$G$74)</f>
        <v/>
      </c>
      <c r="AJ74" s="1186" t="str">
        <f>IF($J$74=0,"",$J$74)</f>
        <v/>
      </c>
      <c r="AK74" s="1186" t="str">
        <f>IF($K$74="нет","без дифференциации",IF($N$74=0,"",$N$74))</f>
        <v/>
      </c>
      <c r="AL74" s="1186" t="str">
        <f>IF($O$74="нет","без дифференциации",IF($R$74=0,"",$R$74))</f>
        <v/>
      </c>
      <c r="AM74" s="1186" t="str">
        <f>IF($S$74="нет","без дифференциации",IF($V$74=0,"",$V$74))</f>
        <v/>
      </c>
      <c r="AN74" s="1683">
        <f>$I$74</f>
        <v>0</v>
      </c>
      <c r="AO74" s="1186" t="str">
        <f>$I$74&amp;"."&amp;$M$74</f>
        <v>.</v>
      </c>
      <c r="AP74" s="1179" t="str">
        <f>$I$74&amp;"."&amp;$M$74&amp;"."&amp;$Q$74</f>
        <v>..</v>
      </c>
      <c r="AQ74" s="1179" t="str">
        <f>$I$74&amp;"."&amp;$M$74&amp;"."&amp;$Q$74&amp;"."&amp;$U$74</f>
        <v>...</v>
      </c>
    </row>
    <row r="75" spans="1:43" s="1910" customFormat="1" ht="17.25" hidden="1" customHeight="1">
      <c r="A75" s="245"/>
      <c r="C75" s="244"/>
      <c r="D75" s="3960"/>
      <c r="E75" s="3962"/>
      <c r="F75" s="3965"/>
      <c r="G75" s="3962"/>
      <c r="H75" s="3968"/>
      <c r="I75" s="3970"/>
      <c r="J75" s="3972"/>
      <c r="K75" s="3955"/>
      <c r="L75" s="3955"/>
      <c r="M75" s="3955"/>
      <c r="N75" s="3957"/>
      <c r="O75" s="3955"/>
      <c r="P75" s="3955"/>
      <c r="Q75" s="3955"/>
      <c r="R75" s="3958"/>
      <c r="S75" s="3955"/>
      <c r="T75" s="1216"/>
      <c r="U75" s="1216"/>
      <c r="V75" s="1216"/>
      <c r="W75" s="1217"/>
      <c r="X75" s="1179"/>
      <c r="Y75" s="1179"/>
      <c r="Z75" s="1179"/>
      <c r="AA75" s="1179"/>
      <c r="AB75" s="1179"/>
      <c r="AC75" s="1179"/>
      <c r="AD75" s="1179"/>
      <c r="AE75" s="1179"/>
      <c r="AF75" s="1179"/>
      <c r="AG75" s="1179"/>
      <c r="AH75" s="1179"/>
      <c r="AI75" s="1179"/>
      <c r="AJ75" s="1179"/>
      <c r="AK75" s="1179"/>
      <c r="AL75" s="1179"/>
      <c r="AM75" s="1179"/>
      <c r="AN75" s="1179"/>
      <c r="AO75" s="1179"/>
      <c r="AP75" s="1179"/>
      <c r="AQ75" s="1179"/>
    </row>
    <row r="76" spans="1:43" s="1910" customFormat="1" ht="17.25" hidden="1" customHeight="1">
      <c r="A76" s="245"/>
      <c r="C76" s="244"/>
      <c r="D76" s="3961"/>
      <c r="E76" s="3963"/>
      <c r="F76" s="3965"/>
      <c r="G76" s="3963"/>
      <c r="H76" s="3968"/>
      <c r="I76" s="3970"/>
      <c r="J76" s="3973"/>
      <c r="K76" s="3955"/>
      <c r="L76" s="3955"/>
      <c r="M76" s="3955"/>
      <c r="N76" s="3958"/>
      <c r="O76" s="3955"/>
      <c r="P76" s="1358"/>
      <c r="Q76" s="1216"/>
      <c r="R76" s="1216"/>
      <c r="S76" s="256"/>
      <c r="T76" s="256"/>
      <c r="U76" s="256"/>
      <c r="V76" s="256"/>
      <c r="W76" s="1217"/>
      <c r="X76" s="1179"/>
      <c r="Y76" s="1179"/>
      <c r="Z76" s="1179"/>
      <c r="AA76" s="1179"/>
      <c r="AB76" s="1179"/>
      <c r="AC76" s="1179"/>
      <c r="AD76" s="1179"/>
      <c r="AE76" s="1179"/>
      <c r="AF76" s="1179"/>
      <c r="AG76" s="1179"/>
      <c r="AH76" s="1179"/>
      <c r="AI76" s="1179"/>
      <c r="AJ76" s="1179"/>
      <c r="AK76" s="1179"/>
      <c r="AL76" s="1179"/>
      <c r="AM76" s="1179"/>
      <c r="AN76" s="1179"/>
      <c r="AO76" s="1179"/>
      <c r="AP76" s="1179"/>
      <c r="AQ76" s="1179"/>
    </row>
    <row r="77" spans="1:43" s="1910" customFormat="1" ht="17.25" hidden="1" customHeight="1">
      <c r="A77" s="245"/>
      <c r="C77" s="244"/>
      <c r="D77" s="3961"/>
      <c r="E77" s="3963"/>
      <c r="F77" s="3965"/>
      <c r="G77" s="3963"/>
      <c r="H77" s="3968"/>
      <c r="I77" s="3970"/>
      <c r="J77" s="3973"/>
      <c r="K77" s="3955"/>
      <c r="L77" s="1216"/>
      <c r="M77" s="1216"/>
      <c r="N77" s="1216"/>
      <c r="O77" s="1216"/>
      <c r="P77" s="1216"/>
      <c r="Q77" s="1216"/>
      <c r="R77" s="1216"/>
      <c r="S77" s="256"/>
      <c r="T77" s="256"/>
      <c r="U77" s="256"/>
      <c r="V77" s="256"/>
      <c r="W77" s="1217"/>
      <c r="X77" s="1179"/>
      <c r="Y77" s="1179"/>
      <c r="Z77" s="1179"/>
      <c r="AA77" s="1179"/>
      <c r="AB77" s="1179"/>
      <c r="AC77" s="1179"/>
      <c r="AD77" s="1179"/>
      <c r="AE77" s="1179"/>
      <c r="AF77" s="1179"/>
      <c r="AG77" s="1179"/>
      <c r="AH77" s="1179"/>
      <c r="AI77" s="1179"/>
      <c r="AJ77" s="1179"/>
      <c r="AK77" s="1179"/>
      <c r="AL77" s="1179"/>
      <c r="AM77" s="1179"/>
      <c r="AN77" s="1179"/>
      <c r="AO77" s="1179"/>
      <c r="AP77" s="1179"/>
      <c r="AQ77" s="1179"/>
    </row>
    <row r="78" spans="1:43" s="1910" customFormat="1" ht="17.25" hidden="1" customHeight="1">
      <c r="A78" s="245"/>
      <c r="C78" s="244"/>
      <c r="D78" s="3961"/>
      <c r="E78" s="3963"/>
      <c r="F78" s="3966"/>
      <c r="G78" s="3963"/>
      <c r="H78" s="1218"/>
      <c r="I78" s="1219"/>
      <c r="J78" s="1219"/>
      <c r="K78" s="1219"/>
      <c r="L78" s="1219"/>
      <c r="M78" s="1219"/>
      <c r="N78" s="1219"/>
      <c r="O78" s="1219"/>
      <c r="P78" s="1219"/>
      <c r="Q78" s="1219"/>
      <c r="R78" s="1219"/>
      <c r="S78" s="1220"/>
      <c r="T78" s="1220"/>
      <c r="U78" s="1220"/>
      <c r="V78" s="1220"/>
      <c r="W78" s="1221"/>
      <c r="X78" s="1179"/>
      <c r="Y78" s="1179"/>
      <c r="Z78" s="1179"/>
      <c r="AA78" s="1179"/>
      <c r="AB78" s="1179"/>
      <c r="AC78" s="1179"/>
      <c r="AD78" s="1179"/>
      <c r="AE78" s="1179"/>
      <c r="AF78" s="1179"/>
      <c r="AG78" s="1179"/>
      <c r="AH78" s="1179"/>
      <c r="AI78" s="1179"/>
      <c r="AJ78" s="1179"/>
      <c r="AK78" s="1179"/>
      <c r="AL78" s="1179"/>
      <c r="AM78" s="1179"/>
      <c r="AN78" s="1179"/>
      <c r="AO78" s="1179"/>
      <c r="AP78" s="1179"/>
      <c r="AQ78" s="1179"/>
    </row>
    <row r="79" spans="1:43" s="1910" customFormat="1" ht="17.25" hidden="1" customHeight="1">
      <c r="A79" s="245"/>
      <c r="C79" s="130"/>
      <c r="D79" s="3960">
        <v>4</v>
      </c>
      <c r="E79" s="3962" t="s">
        <v>229</v>
      </c>
      <c r="F79" s="3964" t="s">
        <v>55</v>
      </c>
      <c r="G79" s="3962"/>
      <c r="H79" s="3967"/>
      <c r="I79" s="3969"/>
      <c r="J79" s="3971"/>
      <c r="K79" s="3954"/>
      <c r="L79" s="3954"/>
      <c r="M79" s="3954"/>
      <c r="N79" s="3956"/>
      <c r="O79" s="3954"/>
      <c r="P79" s="3954"/>
      <c r="Q79" s="3954"/>
      <c r="R79" s="3959"/>
      <c r="S79" s="3954"/>
      <c r="T79" s="1357"/>
      <c r="U79" s="1357"/>
      <c r="V79" s="1359"/>
      <c r="W79" s="1215"/>
      <c r="X79" s="1186"/>
      <c r="Y79" s="1186"/>
      <c r="Z79" s="1186"/>
      <c r="AA79" s="1186"/>
      <c r="AB79" s="1186"/>
      <c r="AC79" s="1186" t="s">
        <v>230</v>
      </c>
      <c r="AD79" s="1186" t="s">
        <v>231</v>
      </c>
      <c r="AE79" s="1186" t="s">
        <v>232</v>
      </c>
      <c r="AF79" s="1186" t="s">
        <v>233</v>
      </c>
      <c r="AG79" s="1186"/>
      <c r="AH79" s="1186" t="str">
        <f>IF($E$79=0,"",$E$79)</f>
        <v>Тариф на подвоз воды</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683">
        <f>$I$79</f>
        <v>0</v>
      </c>
      <c r="AO79" s="1186" t="str">
        <f>$I$79&amp;"."&amp;$M$79</f>
        <v>.</v>
      </c>
      <c r="AP79" s="1179" t="str">
        <f>$I$79&amp;"."&amp;$M$79&amp;"."&amp;$Q$79</f>
        <v>..</v>
      </c>
      <c r="AQ79" s="1179" t="str">
        <f>$I$79&amp;"."&amp;$M$79&amp;"."&amp;$Q$79&amp;"."&amp;$U$79</f>
        <v>...</v>
      </c>
    </row>
    <row r="80" spans="1:43" s="1910" customFormat="1" ht="17.25" hidden="1" customHeight="1">
      <c r="A80" s="245"/>
      <c r="C80" s="244"/>
      <c r="D80" s="3960"/>
      <c r="E80" s="3962"/>
      <c r="F80" s="3965"/>
      <c r="G80" s="3962"/>
      <c r="H80" s="3968"/>
      <c r="I80" s="3970"/>
      <c r="J80" s="3972"/>
      <c r="K80" s="3955"/>
      <c r="L80" s="3955"/>
      <c r="M80" s="3955"/>
      <c r="N80" s="3957"/>
      <c r="O80" s="3955"/>
      <c r="P80" s="3955"/>
      <c r="Q80" s="3955"/>
      <c r="R80" s="3958"/>
      <c r="S80" s="3955"/>
      <c r="T80" s="1216"/>
      <c r="U80" s="1216"/>
      <c r="V80" s="1216"/>
      <c r="W80" s="1217"/>
      <c r="X80" s="1179"/>
      <c r="Y80" s="1179"/>
      <c r="Z80" s="1179"/>
      <c r="AA80" s="1179"/>
      <c r="AB80" s="1179"/>
      <c r="AC80" s="1179"/>
      <c r="AD80" s="1179"/>
      <c r="AE80" s="1179"/>
      <c r="AF80" s="1179"/>
      <c r="AG80" s="1179"/>
      <c r="AH80" s="1179"/>
      <c r="AI80" s="1179"/>
      <c r="AJ80" s="1179"/>
      <c r="AK80" s="1179"/>
      <c r="AL80" s="1179"/>
      <c r="AM80" s="1179"/>
      <c r="AN80" s="1179"/>
      <c r="AO80" s="1179"/>
      <c r="AP80" s="1179"/>
      <c r="AQ80" s="1179"/>
    </row>
    <row r="81" spans="1:43" s="1910" customFormat="1" ht="17.25" hidden="1" customHeight="1">
      <c r="A81" s="245"/>
      <c r="C81" s="244"/>
      <c r="D81" s="3961"/>
      <c r="E81" s="3963"/>
      <c r="F81" s="3965"/>
      <c r="G81" s="3963"/>
      <c r="H81" s="3968"/>
      <c r="I81" s="3970"/>
      <c r="J81" s="3973"/>
      <c r="K81" s="3955"/>
      <c r="L81" s="3955"/>
      <c r="M81" s="3955"/>
      <c r="N81" s="3958"/>
      <c r="O81" s="3955"/>
      <c r="P81" s="1358"/>
      <c r="Q81" s="1216"/>
      <c r="R81" s="1216"/>
      <c r="S81" s="256"/>
      <c r="T81" s="256"/>
      <c r="U81" s="256"/>
      <c r="V81" s="256"/>
      <c r="W81" s="1217"/>
      <c r="X81" s="1179"/>
      <c r="Y81" s="1179"/>
      <c r="Z81" s="1179"/>
      <c r="AA81" s="1179"/>
      <c r="AB81" s="1179"/>
      <c r="AC81" s="1179"/>
      <c r="AD81" s="1179"/>
      <c r="AE81" s="1179"/>
      <c r="AF81" s="1179"/>
      <c r="AG81" s="1179"/>
      <c r="AH81" s="1179"/>
      <c r="AI81" s="1179"/>
      <c r="AJ81" s="1179"/>
      <c r="AK81" s="1179"/>
      <c r="AL81" s="1179"/>
      <c r="AM81" s="1179"/>
      <c r="AN81" s="1179"/>
      <c r="AO81" s="1179"/>
      <c r="AP81" s="1179"/>
      <c r="AQ81" s="1179"/>
    </row>
    <row r="82" spans="1:43" s="1910" customFormat="1" ht="17.25" hidden="1" customHeight="1">
      <c r="A82" s="245"/>
      <c r="C82" s="244"/>
      <c r="D82" s="3961"/>
      <c r="E82" s="3963"/>
      <c r="F82" s="3965"/>
      <c r="G82" s="3963"/>
      <c r="H82" s="3968"/>
      <c r="I82" s="3970"/>
      <c r="J82" s="3973"/>
      <c r="K82" s="3955"/>
      <c r="L82" s="1216"/>
      <c r="M82" s="1216"/>
      <c r="N82" s="1216"/>
      <c r="O82" s="1216"/>
      <c r="P82" s="1216"/>
      <c r="Q82" s="1216"/>
      <c r="R82" s="1216"/>
      <c r="S82" s="256"/>
      <c r="T82" s="256"/>
      <c r="U82" s="256"/>
      <c r="V82" s="256"/>
      <c r="W82" s="1217"/>
      <c r="X82" s="1179"/>
      <c r="Y82" s="1179"/>
      <c r="Z82" s="1179"/>
      <c r="AA82" s="1179"/>
      <c r="AB82" s="1179"/>
      <c r="AC82" s="1179"/>
      <c r="AD82" s="1179"/>
      <c r="AE82" s="1179"/>
      <c r="AF82" s="1179"/>
      <c r="AG82" s="1179"/>
      <c r="AH82" s="1179"/>
      <c r="AI82" s="1179"/>
      <c r="AJ82" s="1179"/>
      <c r="AK82" s="1179"/>
      <c r="AL82" s="1179"/>
      <c r="AM82" s="1179"/>
      <c r="AN82" s="1179"/>
      <c r="AO82" s="1179"/>
      <c r="AP82" s="1179"/>
      <c r="AQ82" s="1179"/>
    </row>
    <row r="83" spans="1:43" s="1910" customFormat="1" ht="17.25" hidden="1" customHeight="1">
      <c r="A83" s="245"/>
      <c r="C83" s="244"/>
      <c r="D83" s="3961"/>
      <c r="E83" s="3963"/>
      <c r="F83" s="3966"/>
      <c r="G83" s="3963"/>
      <c r="H83" s="1218"/>
      <c r="I83" s="1219"/>
      <c r="J83" s="1219"/>
      <c r="K83" s="1219"/>
      <c r="L83" s="1219"/>
      <c r="M83" s="1219"/>
      <c r="N83" s="1219"/>
      <c r="O83" s="1219"/>
      <c r="P83" s="1219"/>
      <c r="Q83" s="1219"/>
      <c r="R83" s="1219"/>
      <c r="S83" s="1220"/>
      <c r="T83" s="1220"/>
      <c r="U83" s="1220"/>
      <c r="V83" s="1220"/>
      <c r="W83" s="1221"/>
      <c r="X83" s="1179"/>
      <c r="Y83" s="1179"/>
      <c r="Z83" s="1179"/>
      <c r="AA83" s="1179"/>
      <c r="AB83" s="1179"/>
      <c r="AC83" s="1179"/>
      <c r="AD83" s="1179"/>
      <c r="AE83" s="1179"/>
      <c r="AF83" s="1179"/>
      <c r="AG83" s="1179"/>
      <c r="AH83" s="1179"/>
      <c r="AI83" s="1179"/>
      <c r="AJ83" s="1179"/>
      <c r="AK83" s="1179"/>
      <c r="AL83" s="1179"/>
      <c r="AM83" s="1179"/>
      <c r="AN83" s="1179"/>
      <c r="AO83" s="1179"/>
      <c r="AP83" s="1179"/>
      <c r="AQ83" s="1179"/>
    </row>
    <row r="84" spans="1:43" s="1910" customFormat="1" ht="17.25" hidden="1" customHeight="1">
      <c r="A84" s="245"/>
      <c r="C84" s="130"/>
      <c r="D84" s="3960">
        <v>5</v>
      </c>
      <c r="E84" s="3962" t="s">
        <v>234</v>
      </c>
      <c r="F84" s="3964" t="s">
        <v>55</v>
      </c>
      <c r="G84" s="3962"/>
      <c r="H84" s="3967"/>
      <c r="I84" s="3969"/>
      <c r="J84" s="3971"/>
      <c r="K84" s="3954"/>
      <c r="L84" s="3954"/>
      <c r="M84" s="3954"/>
      <c r="N84" s="3956"/>
      <c r="O84" s="3954"/>
      <c r="P84" s="3954"/>
      <c r="Q84" s="3954"/>
      <c r="R84" s="3959"/>
      <c r="S84" s="3954"/>
      <c r="T84" s="1381"/>
      <c r="U84" s="1381"/>
      <c r="V84" s="1383"/>
      <c r="W84" s="1215"/>
      <c r="X84" s="1186"/>
      <c r="Y84" s="1186"/>
      <c r="Z84" s="1186"/>
      <c r="AA84" s="1186"/>
      <c r="AB84" s="1186"/>
      <c r="AC84" s="1186" t="s">
        <v>235</v>
      </c>
      <c r="AD84" s="1186" t="s">
        <v>236</v>
      </c>
      <c r="AE84" s="1186" t="s">
        <v>237</v>
      </c>
      <c r="AF84" s="1186" t="s">
        <v>238</v>
      </c>
      <c r="AG84" s="1186"/>
      <c r="AH84" s="1186" t="str">
        <f>IF($E$84=0,"",$E$84)</f>
        <v>Тариф на подключение (технологическое присоединение) к централизованной системе холодного водоснабжения</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83">
        <f>$I$84</f>
        <v>0</v>
      </c>
      <c r="AO84" s="1186" t="str">
        <f>$I$84&amp;"."&amp;$M$84</f>
        <v>.</v>
      </c>
      <c r="AP84" s="1179" t="str">
        <f>$I$84&amp;"."&amp;$M$84&amp;"."&amp;$Q$84</f>
        <v>..</v>
      </c>
      <c r="AQ84" s="1179" t="str">
        <f>$I$84&amp;"."&amp;$M$84&amp;"."&amp;$Q$84&amp;"."&amp;$U$84</f>
        <v>...</v>
      </c>
    </row>
    <row r="85" spans="1:43" s="1910" customFormat="1" ht="17.25" hidden="1" customHeight="1">
      <c r="A85" s="245"/>
      <c r="C85" s="244"/>
      <c r="D85" s="3960"/>
      <c r="E85" s="3962"/>
      <c r="F85" s="3965"/>
      <c r="G85" s="3962"/>
      <c r="H85" s="3968"/>
      <c r="I85" s="3970"/>
      <c r="J85" s="3972"/>
      <c r="K85" s="3955"/>
      <c r="L85" s="3955"/>
      <c r="M85" s="3955"/>
      <c r="N85" s="3957"/>
      <c r="O85" s="3955"/>
      <c r="P85" s="3955"/>
      <c r="Q85" s="3955"/>
      <c r="R85" s="3958"/>
      <c r="S85" s="3955"/>
      <c r="T85" s="1216"/>
      <c r="U85" s="1216"/>
      <c r="V85" s="1216"/>
      <c r="W85" s="1217"/>
      <c r="X85" s="1179"/>
      <c r="Y85" s="1179"/>
      <c r="Z85" s="1179"/>
      <c r="AA85" s="1179"/>
      <c r="AB85" s="1179"/>
      <c r="AC85" s="1179"/>
      <c r="AD85" s="1179"/>
      <c r="AE85" s="1179"/>
      <c r="AF85" s="1179"/>
      <c r="AG85" s="1179"/>
      <c r="AH85" s="1179"/>
      <c r="AI85" s="1179"/>
      <c r="AJ85" s="1179"/>
      <c r="AK85" s="1179"/>
      <c r="AL85" s="1179"/>
      <c r="AM85" s="1179"/>
      <c r="AN85" s="1179"/>
      <c r="AO85" s="1179"/>
      <c r="AP85" s="1179"/>
      <c r="AQ85" s="1179"/>
    </row>
    <row r="86" spans="1:43" s="1910" customFormat="1" ht="17.25" hidden="1" customHeight="1">
      <c r="A86" s="245"/>
      <c r="C86" s="244"/>
      <c r="D86" s="3961"/>
      <c r="E86" s="3963"/>
      <c r="F86" s="3965"/>
      <c r="G86" s="3963"/>
      <c r="H86" s="3968"/>
      <c r="I86" s="3970"/>
      <c r="J86" s="3973"/>
      <c r="K86" s="3955"/>
      <c r="L86" s="3955"/>
      <c r="M86" s="3955"/>
      <c r="N86" s="3958"/>
      <c r="O86" s="3955"/>
      <c r="P86" s="1382"/>
      <c r="Q86" s="1216"/>
      <c r="R86" s="1216"/>
      <c r="S86" s="256"/>
      <c r="T86" s="256"/>
      <c r="U86" s="256"/>
      <c r="V86" s="256"/>
      <c r="W86" s="1217"/>
      <c r="X86" s="1179"/>
      <c r="Y86" s="1179"/>
      <c r="Z86" s="1179"/>
      <c r="AA86" s="1179"/>
      <c r="AB86" s="1179"/>
      <c r="AC86" s="1179"/>
      <c r="AD86" s="1179"/>
      <c r="AE86" s="1179"/>
      <c r="AF86" s="1179"/>
      <c r="AG86" s="1179"/>
      <c r="AH86" s="1179"/>
      <c r="AI86" s="1179"/>
      <c r="AJ86" s="1179"/>
      <c r="AK86" s="1179"/>
      <c r="AL86" s="1179"/>
      <c r="AM86" s="1179"/>
      <c r="AN86" s="1179"/>
      <c r="AO86" s="1179"/>
      <c r="AP86" s="1179"/>
      <c r="AQ86" s="1179"/>
    </row>
    <row r="87" spans="1:43" s="1910" customFormat="1" ht="17.25" hidden="1" customHeight="1">
      <c r="A87" s="245"/>
      <c r="C87" s="244"/>
      <c r="D87" s="3961"/>
      <c r="E87" s="3963"/>
      <c r="F87" s="3965"/>
      <c r="G87" s="3963"/>
      <c r="H87" s="3968"/>
      <c r="I87" s="3970"/>
      <c r="J87" s="3973"/>
      <c r="K87" s="3955"/>
      <c r="L87" s="1216"/>
      <c r="M87" s="1216"/>
      <c r="N87" s="1216"/>
      <c r="O87" s="1216"/>
      <c r="P87" s="1216"/>
      <c r="Q87" s="1216"/>
      <c r="R87" s="1216"/>
      <c r="S87" s="256"/>
      <c r="T87" s="256"/>
      <c r="U87" s="256"/>
      <c r="V87" s="256"/>
      <c r="W87" s="1217"/>
      <c r="X87" s="1179"/>
      <c r="Y87" s="1179"/>
      <c r="Z87" s="1179"/>
      <c r="AA87" s="1179"/>
      <c r="AB87" s="1179"/>
      <c r="AC87" s="1179"/>
      <c r="AD87" s="1179"/>
      <c r="AE87" s="1179"/>
      <c r="AF87" s="1179"/>
      <c r="AG87" s="1179"/>
      <c r="AH87" s="1179"/>
      <c r="AI87" s="1179"/>
      <c r="AJ87" s="1179"/>
      <c r="AK87" s="1179"/>
      <c r="AL87" s="1179"/>
      <c r="AM87" s="1179"/>
      <c r="AN87" s="1179"/>
      <c r="AO87" s="1179"/>
      <c r="AP87" s="1179"/>
      <c r="AQ87" s="1179"/>
    </row>
    <row r="88" spans="1:43" s="1910" customFormat="1" ht="17.25" hidden="1" customHeight="1">
      <c r="A88" s="245"/>
      <c r="C88" s="244"/>
      <c r="D88" s="3961"/>
      <c r="E88" s="3963"/>
      <c r="F88" s="3966"/>
      <c r="G88" s="3963"/>
      <c r="H88" s="1218"/>
      <c r="I88" s="1219"/>
      <c r="J88" s="1219"/>
      <c r="K88" s="1219"/>
      <c r="L88" s="1219"/>
      <c r="M88" s="1219"/>
      <c r="N88" s="1219"/>
      <c r="O88" s="1219"/>
      <c r="P88" s="1219"/>
      <c r="Q88" s="1219"/>
      <c r="R88" s="1219"/>
      <c r="S88" s="1220"/>
      <c r="T88" s="1220"/>
      <c r="U88" s="1220"/>
      <c r="V88" s="1220"/>
      <c r="W88" s="1221"/>
      <c r="X88" s="1179"/>
      <c r="Y88" s="1179"/>
      <c r="Z88" s="1179"/>
      <c r="AA88" s="1179"/>
      <c r="AB88" s="1179"/>
      <c r="AC88" s="1179"/>
      <c r="AD88" s="1179"/>
      <c r="AE88" s="1179"/>
      <c r="AF88" s="1179"/>
      <c r="AG88" s="1179"/>
      <c r="AH88" s="1179"/>
      <c r="AI88" s="1179"/>
      <c r="AJ88" s="1179"/>
      <c r="AK88" s="1179"/>
      <c r="AL88" s="1179"/>
      <c r="AM88" s="1179"/>
      <c r="AN88" s="1179"/>
      <c r="AO88" s="1179"/>
      <c r="AP88" s="1179"/>
      <c r="AQ88" s="1179"/>
    </row>
    <row r="89" spans="1:43" s="1912" customFormat="1" ht="11.25" hidden="1" customHeight="1">
      <c r="A89" s="195"/>
      <c r="B89" s="195"/>
      <c r="Y89" s="1179"/>
      <c r="Z89" s="1179"/>
      <c r="AA89" s="1179"/>
      <c r="AB89" s="1179"/>
      <c r="AC89" s="1179"/>
      <c r="AD89" s="1179"/>
      <c r="AE89" s="1179"/>
      <c r="AF89" s="1179"/>
      <c r="AG89" s="1179"/>
      <c r="AH89" s="1179"/>
      <c r="AI89" s="1179"/>
      <c r="AJ89" s="1179"/>
      <c r="AK89" s="1179"/>
      <c r="AL89" s="1179"/>
      <c r="AM89" s="1179"/>
      <c r="AN89" s="1179"/>
      <c r="AO89" s="1179"/>
      <c r="AP89" s="1179"/>
      <c r="AQ89" s="1179"/>
    </row>
    <row r="90" spans="1:43" s="1912" customFormat="1" ht="17.25" hidden="1" customHeight="1">
      <c r="A90" s="245"/>
      <c r="C90" s="130"/>
      <c r="D90" s="3960">
        <v>1</v>
      </c>
      <c r="E90" s="3962" t="s">
        <v>239</v>
      </c>
      <c r="F90" s="3964" t="s">
        <v>55</v>
      </c>
      <c r="G90" s="3962"/>
      <c r="H90" s="3967"/>
      <c r="I90" s="3969"/>
      <c r="J90" s="3971"/>
      <c r="K90" s="3954"/>
      <c r="L90" s="3954"/>
      <c r="M90" s="3954"/>
      <c r="N90" s="3956"/>
      <c r="O90" s="3954"/>
      <c r="P90" s="3954"/>
      <c r="Q90" s="3954"/>
      <c r="R90" s="3959"/>
      <c r="S90" s="3954"/>
      <c r="T90" s="1381"/>
      <c r="U90" s="1381"/>
      <c r="V90" s="1383"/>
      <c r="W90" s="1215"/>
      <c r="Y90" s="1186"/>
      <c r="Z90" s="1186"/>
      <c r="AA90" s="1186"/>
      <c r="AB90" s="1186"/>
      <c r="AC90" s="1186" t="s">
        <v>240</v>
      </c>
      <c r="AD90" s="1186" t="s">
        <v>241</v>
      </c>
      <c r="AE90" s="1186" t="s">
        <v>242</v>
      </c>
      <c r="AF90" s="1186" t="s">
        <v>243</v>
      </c>
      <c r="AG90" s="1186"/>
      <c r="AH90" s="1186" t="str">
        <f>IF($E$90=0,"",$E$90)</f>
        <v>Тариф на горячую воду (горячее водоснабжение)</v>
      </c>
      <c r="AI90" s="1186" t="str">
        <f>IF($G$90=0,"",$G$90)</f>
        <v/>
      </c>
      <c r="AJ90" s="1186" t="str">
        <f>IF($J$90=0,"",$J$90)</f>
        <v/>
      </c>
      <c r="AK90" s="1186" t="str">
        <f>IF($K$90="нет","без дифференциации",IF($N$90=0,"",$N$90))</f>
        <v/>
      </c>
      <c r="AL90" s="1186" t="str">
        <f>IF($O$90="нет","без дифференциации",IF($R$90=0,"",$R$90))</f>
        <v/>
      </c>
      <c r="AM90" s="1186" t="str">
        <f>IF($S$90="нет","без дифференциации",IF($V$90=0,"",$V$90))</f>
        <v/>
      </c>
      <c r="AN90" s="1186">
        <f>$I$90</f>
        <v>0</v>
      </c>
      <c r="AO90" s="1186" t="str">
        <f>$I$90&amp;"."&amp;$M$90</f>
        <v>.</v>
      </c>
      <c r="AP90" s="1186" t="str">
        <f>$I$90&amp;"."&amp;$M$90&amp;"."&amp;$Q$90</f>
        <v>..</v>
      </c>
      <c r="AQ90" s="1186" t="str">
        <f>$I$90&amp;"."&amp;$M$90&amp;"."&amp;$Q$90&amp;"."&amp;$U$90</f>
        <v>...</v>
      </c>
    </row>
    <row r="91" spans="1:43" s="1912" customFormat="1" ht="17.25" hidden="1" customHeight="1">
      <c r="A91" s="245"/>
      <c r="C91" s="244"/>
      <c r="D91" s="3960"/>
      <c r="E91" s="3962"/>
      <c r="F91" s="3965"/>
      <c r="G91" s="3962"/>
      <c r="H91" s="3968"/>
      <c r="I91" s="3970"/>
      <c r="J91" s="3972"/>
      <c r="K91" s="3955"/>
      <c r="L91" s="3955"/>
      <c r="M91" s="3955"/>
      <c r="N91" s="3957"/>
      <c r="O91" s="3955"/>
      <c r="P91" s="3955"/>
      <c r="Q91" s="3955"/>
      <c r="R91" s="3958"/>
      <c r="S91" s="3955"/>
      <c r="T91" s="1216"/>
      <c r="U91" s="1216"/>
      <c r="V91" s="1216"/>
      <c r="W91" s="1217"/>
      <c r="Y91" s="1179"/>
      <c r="Z91" s="1179"/>
      <c r="AA91" s="1179"/>
      <c r="AB91" s="1179"/>
      <c r="AC91" s="1179"/>
      <c r="AD91" s="1179"/>
      <c r="AE91" s="1179"/>
      <c r="AF91" s="1179"/>
      <c r="AG91" s="1179"/>
      <c r="AH91" s="1179"/>
      <c r="AI91" s="1179"/>
      <c r="AJ91" s="1179"/>
      <c r="AK91" s="1179"/>
      <c r="AL91" s="1179"/>
      <c r="AM91" s="1179"/>
      <c r="AN91" s="1179"/>
      <c r="AO91" s="1179"/>
      <c r="AP91" s="1179"/>
      <c r="AQ91" s="1179"/>
    </row>
    <row r="92" spans="1:43" s="1912" customFormat="1" ht="17.25" hidden="1" customHeight="1">
      <c r="A92" s="245"/>
      <c r="C92" s="130"/>
      <c r="D92" s="3960"/>
      <c r="E92" s="3962"/>
      <c r="F92" s="3965"/>
      <c r="G92" s="3962"/>
      <c r="H92" s="3968"/>
      <c r="I92" s="3970"/>
      <c r="J92" s="3973"/>
      <c r="K92" s="3955"/>
      <c r="L92" s="3955"/>
      <c r="M92" s="3955"/>
      <c r="N92" s="3958"/>
      <c r="O92" s="3955"/>
      <c r="P92" s="1382"/>
      <c r="Q92" s="1216"/>
      <c r="R92" s="1216"/>
      <c r="S92" s="256"/>
      <c r="T92" s="256"/>
      <c r="U92" s="256"/>
      <c r="V92" s="256"/>
      <c r="W92" s="1217"/>
      <c r="Y92" s="1186"/>
      <c r="Z92" s="1186"/>
      <c r="AA92" s="1186"/>
      <c r="AB92" s="1186"/>
      <c r="AC92" s="1186"/>
      <c r="AD92" s="1186"/>
      <c r="AE92" s="1186"/>
      <c r="AF92" s="1186"/>
      <c r="AG92" s="1186"/>
      <c r="AH92" s="1186"/>
      <c r="AI92" s="1186"/>
      <c r="AJ92" s="1186"/>
      <c r="AK92" s="1186"/>
      <c r="AL92" s="1186"/>
      <c r="AM92" s="1186"/>
      <c r="AN92" s="1186"/>
      <c r="AO92" s="1186"/>
      <c r="AP92" s="1186"/>
      <c r="AQ92" s="1186"/>
    </row>
    <row r="93" spans="1:43" s="1912" customFormat="1" ht="17.25" hidden="1" customHeight="1">
      <c r="A93" s="245"/>
      <c r="C93" s="244"/>
      <c r="D93" s="3960"/>
      <c r="E93" s="3962"/>
      <c r="F93" s="3965"/>
      <c r="G93" s="3962"/>
      <c r="H93" s="3968"/>
      <c r="I93" s="3970"/>
      <c r="J93" s="3973"/>
      <c r="K93" s="3955"/>
      <c r="L93" s="1216"/>
      <c r="M93" s="1216"/>
      <c r="N93" s="1216"/>
      <c r="O93" s="1216"/>
      <c r="P93" s="1216"/>
      <c r="Q93" s="1216"/>
      <c r="R93" s="1216"/>
      <c r="S93" s="256"/>
      <c r="T93" s="256"/>
      <c r="U93" s="256"/>
      <c r="V93" s="256"/>
      <c r="W93" s="1217"/>
      <c r="Y93" s="1179"/>
      <c r="Z93" s="1179"/>
      <c r="AA93" s="1179"/>
      <c r="AB93" s="1179"/>
      <c r="AC93" s="1179"/>
      <c r="AD93" s="1179"/>
      <c r="AE93" s="1179"/>
      <c r="AF93" s="1179"/>
      <c r="AG93" s="1179"/>
      <c r="AH93" s="1179"/>
      <c r="AI93" s="1179"/>
      <c r="AJ93" s="1179"/>
      <c r="AK93" s="1179"/>
      <c r="AL93" s="1179"/>
      <c r="AM93" s="1179"/>
      <c r="AN93" s="1179"/>
      <c r="AO93" s="1179"/>
      <c r="AP93" s="1179"/>
      <c r="AQ93" s="1179"/>
    </row>
    <row r="94" spans="1:43" s="1912" customFormat="1" ht="17.25" hidden="1" customHeight="1">
      <c r="A94" s="245"/>
      <c r="C94" s="244"/>
      <c r="D94" s="3961"/>
      <c r="E94" s="3963"/>
      <c r="F94" s="3966"/>
      <c r="G94" s="3963"/>
      <c r="H94" s="1218"/>
      <c r="I94" s="1219"/>
      <c r="J94" s="1219"/>
      <c r="K94" s="1219"/>
      <c r="L94" s="1219"/>
      <c r="M94" s="1219"/>
      <c r="N94" s="1219"/>
      <c r="O94" s="1219"/>
      <c r="P94" s="1219"/>
      <c r="Q94" s="1219"/>
      <c r="R94" s="1219"/>
      <c r="S94" s="1220"/>
      <c r="T94" s="1220"/>
      <c r="U94" s="1220"/>
      <c r="V94" s="1220"/>
      <c r="W94" s="1221"/>
      <c r="Y94" s="1179"/>
      <c r="Z94" s="1179"/>
      <c r="AA94" s="1179"/>
      <c r="AB94" s="1179"/>
      <c r="AC94" s="1179"/>
      <c r="AD94" s="1179"/>
      <c r="AE94" s="1179"/>
      <c r="AF94" s="1179"/>
      <c r="AG94" s="1179"/>
      <c r="AH94" s="1179"/>
      <c r="AI94" s="1179"/>
      <c r="AJ94" s="1179"/>
      <c r="AK94" s="1179"/>
      <c r="AL94" s="1179"/>
      <c r="AM94" s="1179"/>
      <c r="AN94" s="1179"/>
      <c r="AO94" s="1179"/>
      <c r="AP94" s="1179"/>
      <c r="AQ94" s="1179"/>
    </row>
    <row r="95" spans="1:43" s="1912" customFormat="1" ht="17.25" hidden="1" customHeight="1">
      <c r="A95" s="245"/>
      <c r="C95" s="130"/>
      <c r="D95" s="3960">
        <v>2</v>
      </c>
      <c r="E95" s="3962" t="s">
        <v>244</v>
      </c>
      <c r="F95" s="3964" t="s">
        <v>55</v>
      </c>
      <c r="G95" s="3962"/>
      <c r="H95" s="3967"/>
      <c r="I95" s="3969"/>
      <c r="J95" s="3971"/>
      <c r="K95" s="3954"/>
      <c r="L95" s="3954"/>
      <c r="M95" s="3954"/>
      <c r="N95" s="3956"/>
      <c r="O95" s="3954"/>
      <c r="P95" s="3954"/>
      <c r="Q95" s="3954"/>
      <c r="R95" s="3959"/>
      <c r="S95" s="3954"/>
      <c r="T95" s="1381"/>
      <c r="U95" s="1381"/>
      <c r="V95" s="1383"/>
      <c r="W95" s="1215"/>
      <c r="X95" s="1186"/>
      <c r="Y95" s="1186"/>
      <c r="Z95" s="1186"/>
      <c r="AA95" s="1186"/>
      <c r="AB95" s="1186"/>
      <c r="AC95" s="1186" t="s">
        <v>245</v>
      </c>
      <c r="AD95" s="1186" t="s">
        <v>246</v>
      </c>
      <c r="AE95" s="1186" t="s">
        <v>247</v>
      </c>
      <c r="AF95" s="1186" t="s">
        <v>248</v>
      </c>
      <c r="AG95" s="1186"/>
      <c r="AH95" s="1186" t="str">
        <f>IF($E$95=0,"",$E$95)</f>
        <v>Тариф на транспортировку горячей воды</v>
      </c>
      <c r="AI95" s="1186" t="str">
        <f>IF($G$95=0,"",$G$95)</f>
        <v/>
      </c>
      <c r="AJ95" s="1186" t="str">
        <f>IF($J$95=0,"",$J$95)</f>
        <v/>
      </c>
      <c r="AK95" s="1186" t="str">
        <f>IF($K$95="нет","без дифференциации",IF($N$95=0,"",$N$95))</f>
        <v/>
      </c>
      <c r="AL95" s="1186" t="str">
        <f>IF($O$95="нет","без дифференциации",IF($R$95=0,"",$R$95))</f>
        <v/>
      </c>
      <c r="AM95" s="1186" t="str">
        <f>IF($S$95="нет","без дифференциации",IF($V$95=0,"",$V$95))</f>
        <v/>
      </c>
      <c r="AN95" s="1683">
        <f>$I$95</f>
        <v>0</v>
      </c>
      <c r="AO95" s="1186" t="str">
        <f>$I$95&amp;"."&amp;$M$95</f>
        <v>.</v>
      </c>
      <c r="AP95" s="1179" t="str">
        <f>$I$95&amp;"."&amp;$M$95&amp;"."&amp;$Q$95</f>
        <v>..</v>
      </c>
      <c r="AQ95" s="1179" t="str">
        <f>$I$95&amp;"."&amp;$M$95&amp;"."&amp;$Q$95&amp;"."&amp;$U$95</f>
        <v>...</v>
      </c>
    </row>
    <row r="96" spans="1:43" s="1912" customFormat="1" ht="17.25" hidden="1" customHeight="1">
      <c r="A96" s="245"/>
      <c r="C96" s="244"/>
      <c r="D96" s="3960"/>
      <c r="E96" s="3962"/>
      <c r="F96" s="3965"/>
      <c r="G96" s="3962"/>
      <c r="H96" s="3968"/>
      <c r="I96" s="3970"/>
      <c r="J96" s="3972"/>
      <c r="K96" s="3955"/>
      <c r="L96" s="3955"/>
      <c r="M96" s="3955"/>
      <c r="N96" s="3957"/>
      <c r="O96" s="3955"/>
      <c r="P96" s="3955"/>
      <c r="Q96" s="3955"/>
      <c r="R96" s="3958"/>
      <c r="S96" s="3955"/>
      <c r="T96" s="1216"/>
      <c r="U96" s="1216"/>
      <c r="V96" s="1216"/>
      <c r="W96" s="1217"/>
      <c r="X96" s="1179"/>
      <c r="Y96" s="1179"/>
      <c r="Z96" s="1179"/>
      <c r="AA96" s="1179"/>
      <c r="AB96" s="1179"/>
      <c r="AC96" s="1179"/>
      <c r="AD96" s="1179"/>
      <c r="AE96" s="1179"/>
      <c r="AF96" s="1179"/>
      <c r="AG96" s="1179"/>
      <c r="AH96" s="1179"/>
      <c r="AI96" s="1179"/>
      <c r="AJ96" s="1179"/>
      <c r="AK96" s="1179"/>
      <c r="AL96" s="1179"/>
      <c r="AM96" s="1179"/>
      <c r="AN96" s="1179"/>
      <c r="AO96" s="1179"/>
      <c r="AP96" s="1179"/>
      <c r="AQ96" s="1179"/>
    </row>
    <row r="97" spans="1:43" s="1912" customFormat="1" ht="17.25" hidden="1" customHeight="1">
      <c r="A97" s="245"/>
      <c r="C97" s="244"/>
      <c r="D97" s="3961"/>
      <c r="E97" s="3963"/>
      <c r="F97" s="3965"/>
      <c r="G97" s="3963"/>
      <c r="H97" s="3968"/>
      <c r="I97" s="3970"/>
      <c r="J97" s="3973"/>
      <c r="K97" s="3955"/>
      <c r="L97" s="3955"/>
      <c r="M97" s="3955"/>
      <c r="N97" s="3958"/>
      <c r="O97" s="3955"/>
      <c r="P97" s="1382"/>
      <c r="Q97" s="1216"/>
      <c r="R97" s="1216"/>
      <c r="S97" s="256"/>
      <c r="T97" s="256"/>
      <c r="U97" s="256"/>
      <c r="V97" s="256"/>
      <c r="W97" s="1217"/>
      <c r="X97" s="1179"/>
      <c r="Y97" s="1179"/>
      <c r="Z97" s="1179"/>
      <c r="AA97" s="1179"/>
      <c r="AB97" s="1179"/>
      <c r="AC97" s="1179"/>
      <c r="AD97" s="1179"/>
      <c r="AE97" s="1179"/>
      <c r="AF97" s="1179"/>
      <c r="AG97" s="1179"/>
      <c r="AH97" s="1179"/>
      <c r="AI97" s="1179"/>
      <c r="AJ97" s="1179"/>
      <c r="AK97" s="1179"/>
      <c r="AL97" s="1179"/>
      <c r="AM97" s="1179"/>
      <c r="AN97" s="1179"/>
      <c r="AO97" s="1179"/>
      <c r="AP97" s="1179"/>
      <c r="AQ97" s="1179"/>
    </row>
    <row r="98" spans="1:43" s="1912" customFormat="1" ht="17.25" hidden="1" customHeight="1">
      <c r="A98" s="245"/>
      <c r="C98" s="244"/>
      <c r="D98" s="3961"/>
      <c r="E98" s="3963"/>
      <c r="F98" s="3965"/>
      <c r="G98" s="3963"/>
      <c r="H98" s="3968"/>
      <c r="I98" s="3970"/>
      <c r="J98" s="3973"/>
      <c r="K98" s="3955"/>
      <c r="L98" s="1216"/>
      <c r="M98" s="1216"/>
      <c r="N98" s="1216"/>
      <c r="O98" s="1216"/>
      <c r="P98" s="1216"/>
      <c r="Q98" s="1216"/>
      <c r="R98" s="1216"/>
      <c r="S98" s="256"/>
      <c r="T98" s="256"/>
      <c r="U98" s="256"/>
      <c r="V98" s="256"/>
      <c r="W98" s="1217"/>
      <c r="X98" s="1179"/>
      <c r="Y98" s="1179"/>
      <c r="Z98" s="1179"/>
      <c r="AA98" s="1179"/>
      <c r="AB98" s="1179"/>
      <c r="AC98" s="1179"/>
      <c r="AD98" s="1179"/>
      <c r="AE98" s="1179"/>
      <c r="AF98" s="1179"/>
      <c r="AG98" s="1179"/>
      <c r="AH98" s="1179"/>
      <c r="AI98" s="1179"/>
      <c r="AJ98" s="1179"/>
      <c r="AK98" s="1179"/>
      <c r="AL98" s="1179"/>
      <c r="AM98" s="1179"/>
      <c r="AN98" s="1179"/>
      <c r="AO98" s="1179"/>
      <c r="AP98" s="1179"/>
      <c r="AQ98" s="1179"/>
    </row>
    <row r="99" spans="1:43" s="1912" customFormat="1" ht="17.25" hidden="1" customHeight="1">
      <c r="A99" s="245"/>
      <c r="C99" s="244"/>
      <c r="D99" s="3961"/>
      <c r="E99" s="3963"/>
      <c r="F99" s="3966"/>
      <c r="G99" s="3963"/>
      <c r="H99" s="1218"/>
      <c r="I99" s="1219"/>
      <c r="J99" s="1219"/>
      <c r="K99" s="1219"/>
      <c r="L99" s="1219"/>
      <c r="M99" s="1219"/>
      <c r="N99" s="1219"/>
      <c r="O99" s="1219"/>
      <c r="P99" s="1219"/>
      <c r="Q99" s="1219"/>
      <c r="R99" s="1219"/>
      <c r="S99" s="1220"/>
      <c r="T99" s="1220"/>
      <c r="U99" s="1220"/>
      <c r="V99" s="1220"/>
      <c r="W99" s="1221"/>
      <c r="X99" s="1179"/>
      <c r="Y99" s="1179"/>
      <c r="Z99" s="1179"/>
      <c r="AA99" s="1179"/>
      <c r="AB99" s="1179"/>
      <c r="AC99" s="1179"/>
      <c r="AD99" s="1179"/>
      <c r="AE99" s="1179"/>
      <c r="AF99" s="1179"/>
      <c r="AG99" s="1179"/>
      <c r="AH99" s="1179"/>
      <c r="AI99" s="1179"/>
      <c r="AJ99" s="1179"/>
      <c r="AK99" s="1179"/>
      <c r="AL99" s="1179"/>
      <c r="AM99" s="1179"/>
      <c r="AN99" s="1179"/>
      <c r="AO99" s="1179"/>
      <c r="AP99" s="1179"/>
      <c r="AQ99" s="1179"/>
    </row>
    <row r="100" spans="1:43" s="1912" customFormat="1" ht="17.25" hidden="1" customHeight="1">
      <c r="A100" s="245"/>
      <c r="C100" s="130"/>
      <c r="D100" s="3960">
        <v>3</v>
      </c>
      <c r="E100" s="3962" t="s">
        <v>249</v>
      </c>
      <c r="F100" s="3964" t="s">
        <v>55</v>
      </c>
      <c r="G100" s="3962"/>
      <c r="H100" s="3967"/>
      <c r="I100" s="3969"/>
      <c r="J100" s="3971"/>
      <c r="K100" s="3954"/>
      <c r="L100" s="3954"/>
      <c r="M100" s="3954"/>
      <c r="N100" s="3956"/>
      <c r="O100" s="3954"/>
      <c r="P100" s="3954"/>
      <c r="Q100" s="3954"/>
      <c r="R100" s="3959"/>
      <c r="S100" s="3954"/>
      <c r="T100" s="1381"/>
      <c r="U100" s="1381"/>
      <c r="V100" s="1383"/>
      <c r="W100" s="1215"/>
      <c r="X100" s="1186"/>
      <c r="Y100" s="1186"/>
      <c r="Z100" s="1186"/>
      <c r="AA100" s="1186"/>
      <c r="AB100" s="1186"/>
      <c r="AC100" s="1186" t="s">
        <v>250</v>
      </c>
      <c r="AD100" s="1186" t="s">
        <v>251</v>
      </c>
      <c r="AE100" s="1186" t="s">
        <v>252</v>
      </c>
      <c r="AF100" s="1186" t="s">
        <v>253</v>
      </c>
      <c r="AG100" s="1186"/>
      <c r="AH100" s="1186" t="str">
        <f>IF($E$100=0,"",$E$100)</f>
        <v>Тариф на подключение (технологическое присоединение) к централизованной системе горячего водоснабжения</v>
      </c>
      <c r="AI100" s="1186" t="str">
        <f>IF($G$100=0,"",$G$100)</f>
        <v/>
      </c>
      <c r="AJ100" s="1186" t="str">
        <f>IF($J$100=0,"",$J$100)</f>
        <v/>
      </c>
      <c r="AK100" s="1186" t="str">
        <f>IF($K$100="нет","без дифференциации",IF($N$100=0,"",$N$100))</f>
        <v/>
      </c>
      <c r="AL100" s="1186" t="str">
        <f>IF($O$100="нет","без дифференциации",IF($R$100=0,"",$R$100))</f>
        <v/>
      </c>
      <c r="AM100" s="1186" t="str">
        <f>IF($S$100="нет","без дифференциации",IF($V$100=0,"",$V$100))</f>
        <v/>
      </c>
      <c r="AN100" s="1683">
        <f>$I$100</f>
        <v>0</v>
      </c>
      <c r="AO100" s="1186" t="str">
        <f>$I$100&amp;"."&amp;$M$100</f>
        <v>.</v>
      </c>
      <c r="AP100" s="1179" t="str">
        <f>$I$100&amp;"."&amp;$M$100&amp;"."&amp;$Q$100</f>
        <v>..</v>
      </c>
      <c r="AQ100" s="1179" t="str">
        <f>$I$100&amp;"."&amp;$M$100&amp;"."&amp;$Q$100&amp;"."&amp;$U$100</f>
        <v>...</v>
      </c>
    </row>
    <row r="101" spans="1:43" s="1912" customFormat="1" ht="17.25" hidden="1" customHeight="1">
      <c r="A101" s="245"/>
      <c r="C101" s="244"/>
      <c r="D101" s="3960"/>
      <c r="E101" s="3962"/>
      <c r="F101" s="3965"/>
      <c r="G101" s="3962"/>
      <c r="H101" s="3968"/>
      <c r="I101" s="3970"/>
      <c r="J101" s="3972"/>
      <c r="K101" s="3955"/>
      <c r="L101" s="3955"/>
      <c r="M101" s="3955"/>
      <c r="N101" s="3957"/>
      <c r="O101" s="3955"/>
      <c r="P101" s="3955"/>
      <c r="Q101" s="3955"/>
      <c r="R101" s="3958"/>
      <c r="S101" s="3955"/>
      <c r="T101" s="1216"/>
      <c r="U101" s="1216"/>
      <c r="V101" s="1216"/>
      <c r="W101" s="1217"/>
      <c r="X101" s="1179"/>
      <c r="Y101" s="1179"/>
      <c r="Z101" s="1179"/>
      <c r="AA101" s="1179"/>
      <c r="AB101" s="1179"/>
      <c r="AC101" s="1179"/>
      <c r="AD101" s="1179"/>
      <c r="AE101" s="1179"/>
      <c r="AF101" s="1179"/>
      <c r="AG101" s="1179"/>
      <c r="AH101" s="1179"/>
      <c r="AI101" s="1179"/>
      <c r="AJ101" s="1179"/>
      <c r="AK101" s="1179"/>
      <c r="AL101" s="1179"/>
      <c r="AM101" s="1179"/>
      <c r="AN101" s="1179"/>
      <c r="AO101" s="1179"/>
      <c r="AP101" s="1179"/>
      <c r="AQ101" s="1179"/>
    </row>
    <row r="102" spans="1:43" s="1912" customFormat="1" ht="17.25" hidden="1" customHeight="1">
      <c r="A102" s="245"/>
      <c r="C102" s="244"/>
      <c r="D102" s="3961"/>
      <c r="E102" s="3963"/>
      <c r="F102" s="3965"/>
      <c r="G102" s="3963"/>
      <c r="H102" s="3968"/>
      <c r="I102" s="3970"/>
      <c r="J102" s="3973"/>
      <c r="K102" s="3955"/>
      <c r="L102" s="3955"/>
      <c r="M102" s="3955"/>
      <c r="N102" s="3958"/>
      <c r="O102" s="3955"/>
      <c r="P102" s="1382"/>
      <c r="Q102" s="1216"/>
      <c r="R102" s="1216"/>
      <c r="S102" s="256"/>
      <c r="T102" s="256"/>
      <c r="U102" s="256"/>
      <c r="V102" s="256"/>
      <c r="W102" s="1217"/>
      <c r="X102" s="1179"/>
      <c r="Y102" s="1179"/>
      <c r="Z102" s="1179"/>
      <c r="AA102" s="1179"/>
      <c r="AB102" s="1179"/>
      <c r="AC102" s="1179"/>
      <c r="AD102" s="1179"/>
      <c r="AE102" s="1179"/>
      <c r="AF102" s="1179"/>
      <c r="AG102" s="1179"/>
      <c r="AH102" s="1179"/>
      <c r="AI102" s="1179"/>
      <c r="AJ102" s="1179"/>
      <c r="AK102" s="1179"/>
      <c r="AL102" s="1179"/>
      <c r="AM102" s="1179"/>
      <c r="AN102" s="1179"/>
      <c r="AO102" s="1179"/>
      <c r="AP102" s="1179"/>
      <c r="AQ102" s="1179"/>
    </row>
    <row r="103" spans="1:43" s="1912" customFormat="1" ht="17.25" hidden="1" customHeight="1">
      <c r="A103" s="245"/>
      <c r="C103" s="244"/>
      <c r="D103" s="3961"/>
      <c r="E103" s="3963"/>
      <c r="F103" s="3965"/>
      <c r="G103" s="3963"/>
      <c r="H103" s="3968"/>
      <c r="I103" s="3970"/>
      <c r="J103" s="3973"/>
      <c r="K103" s="3955"/>
      <c r="L103" s="1216"/>
      <c r="M103" s="1216"/>
      <c r="N103" s="1216"/>
      <c r="O103" s="1216"/>
      <c r="P103" s="1216"/>
      <c r="Q103" s="1216"/>
      <c r="R103" s="1216"/>
      <c r="S103" s="256"/>
      <c r="T103" s="256"/>
      <c r="U103" s="256"/>
      <c r="V103" s="256"/>
      <c r="W103" s="1217"/>
      <c r="X103" s="1179"/>
      <c r="Y103" s="1179"/>
      <c r="Z103" s="1179"/>
      <c r="AA103" s="1179"/>
      <c r="AB103" s="1179"/>
      <c r="AC103" s="1179"/>
      <c r="AD103" s="1179"/>
      <c r="AE103" s="1179"/>
      <c r="AF103" s="1179"/>
      <c r="AG103" s="1179"/>
      <c r="AH103" s="1179"/>
      <c r="AI103" s="1179"/>
      <c r="AJ103" s="1179"/>
      <c r="AK103" s="1179"/>
      <c r="AL103" s="1179"/>
      <c r="AM103" s="1179"/>
      <c r="AN103" s="1179"/>
      <c r="AO103" s="1179"/>
      <c r="AP103" s="1179"/>
      <c r="AQ103" s="1179"/>
    </row>
    <row r="104" spans="1:43" s="1912" customFormat="1" ht="17.25" hidden="1" customHeight="1">
      <c r="A104" s="245"/>
      <c r="C104" s="244"/>
      <c r="D104" s="3961"/>
      <c r="E104" s="3963"/>
      <c r="F104" s="3966"/>
      <c r="G104" s="3963"/>
      <c r="H104" s="1218"/>
      <c r="I104" s="1219"/>
      <c r="J104" s="1219"/>
      <c r="K104" s="1219"/>
      <c r="L104" s="1219"/>
      <c r="M104" s="1219"/>
      <c r="N104" s="1219"/>
      <c r="O104" s="1219"/>
      <c r="P104" s="1219"/>
      <c r="Q104" s="1219"/>
      <c r="R104" s="1219"/>
      <c r="S104" s="1220"/>
      <c r="T104" s="1220"/>
      <c r="U104" s="1220"/>
      <c r="V104" s="1220"/>
      <c r="W104" s="1221"/>
      <c r="X104" s="1179"/>
      <c r="Y104" s="1179"/>
      <c r="Z104" s="1179"/>
      <c r="AA104" s="1179"/>
      <c r="AB104" s="1179"/>
      <c r="AC104" s="1179"/>
      <c r="AD104" s="1179"/>
      <c r="AE104" s="1179"/>
      <c r="AF104" s="1179"/>
      <c r="AG104" s="1179"/>
      <c r="AH104" s="1179"/>
      <c r="AI104" s="1179"/>
      <c r="AJ104" s="1179"/>
      <c r="AK104" s="1179"/>
      <c r="AL104" s="1179"/>
      <c r="AM104" s="1179"/>
      <c r="AN104" s="1179"/>
      <c r="AO104" s="1179"/>
      <c r="AP104" s="1179"/>
      <c r="AQ104" s="1179"/>
    </row>
    <row r="105" spans="1:43" s="1912" customFormat="1" ht="11.25" hidden="1" customHeight="1">
      <c r="A105" s="195"/>
      <c r="B105" s="195"/>
      <c r="Y105" s="1179"/>
      <c r="Z105" s="1179"/>
      <c r="AA105" s="1179"/>
      <c r="AB105" s="1179"/>
      <c r="AC105" s="1179"/>
      <c r="AD105" s="1179"/>
      <c r="AE105" s="1179"/>
      <c r="AF105" s="1179"/>
      <c r="AG105" s="1179"/>
      <c r="AH105" s="1179"/>
      <c r="AI105" s="1179"/>
      <c r="AJ105" s="1179"/>
      <c r="AK105" s="1179"/>
      <c r="AL105" s="1179"/>
      <c r="AM105" s="1179"/>
      <c r="AN105" s="1179"/>
      <c r="AO105" s="1179"/>
      <c r="AP105" s="1179"/>
      <c r="AQ105" s="1179"/>
    </row>
    <row r="106" spans="1:43" s="1912" customFormat="1" ht="17.25" hidden="1" customHeight="1">
      <c r="A106" s="245"/>
      <c r="C106" s="130"/>
      <c r="D106" s="3960">
        <v>1</v>
      </c>
      <c r="E106" s="3962" t="s">
        <v>254</v>
      </c>
      <c r="F106" s="3964" t="s">
        <v>55</v>
      </c>
      <c r="G106" s="3962"/>
      <c r="H106" s="3967"/>
      <c r="I106" s="3969"/>
      <c r="J106" s="3971"/>
      <c r="K106" s="3954"/>
      <c r="L106" s="3954"/>
      <c r="M106" s="3954"/>
      <c r="N106" s="3956"/>
      <c r="O106" s="3954"/>
      <c r="P106" s="3954"/>
      <c r="Q106" s="3954"/>
      <c r="R106" s="3959"/>
      <c r="S106" s="3954"/>
      <c r="T106" s="1381"/>
      <c r="U106" s="1381"/>
      <c r="V106" s="1383"/>
      <c r="W106" s="1215"/>
      <c r="Y106" s="1186"/>
      <c r="Z106" s="1186"/>
      <c r="AA106" s="1186"/>
      <c r="AB106" s="1186"/>
      <c r="AC106" s="1186" t="s">
        <v>255</v>
      </c>
      <c r="AD106" s="1186" t="s">
        <v>256</v>
      </c>
      <c r="AE106" s="1186" t="s">
        <v>257</v>
      </c>
      <c r="AF106" s="1186" t="s">
        <v>258</v>
      </c>
      <c r="AG106" s="1186"/>
      <c r="AH106" s="1186" t="str">
        <f>IF($E$106=0,"",$E$106)</f>
        <v>Тариф на водоотведение</v>
      </c>
      <c r="AI106" s="1186" t="str">
        <f>IF($G$106=0,"",$G$106)</f>
        <v/>
      </c>
      <c r="AJ106" s="1186" t="str">
        <f>IF($J$106=0,"",$J$106)</f>
        <v/>
      </c>
      <c r="AK106" s="1186" t="str">
        <f>IF($K$106="нет","без дифференциации",IF($N$106=0,"",$N$106))</f>
        <v/>
      </c>
      <c r="AL106" s="1186" t="str">
        <f>IF($O$106="нет","без дифференциации",IF($R$106=0,"",$R$106))</f>
        <v/>
      </c>
      <c r="AM106" s="1186" t="str">
        <f>IF($S$106="нет","без дифференциации",IF($V$106=0,"",$V$106))</f>
        <v/>
      </c>
      <c r="AN106" s="1186">
        <f>$I$106</f>
        <v>0</v>
      </c>
      <c r="AO106" s="1186" t="str">
        <f>$I$106&amp;"."&amp;$M$106</f>
        <v>.</v>
      </c>
      <c r="AP106" s="1186" t="str">
        <f>$I$106&amp;"."&amp;$M$106&amp;"."&amp;$Q$106</f>
        <v>..</v>
      </c>
      <c r="AQ106" s="1186" t="str">
        <f>$I$106&amp;"."&amp;$M$106&amp;"."&amp;$Q$106&amp;"."&amp;$U$106</f>
        <v>...</v>
      </c>
    </row>
    <row r="107" spans="1:43" s="1912" customFormat="1" ht="17.25" hidden="1" customHeight="1">
      <c r="A107" s="245"/>
      <c r="C107" s="244"/>
      <c r="D107" s="3960"/>
      <c r="E107" s="3962"/>
      <c r="F107" s="3965"/>
      <c r="G107" s="3962"/>
      <c r="H107" s="3968"/>
      <c r="I107" s="3970"/>
      <c r="J107" s="3972"/>
      <c r="K107" s="3955"/>
      <c r="L107" s="3955"/>
      <c r="M107" s="3955"/>
      <c r="N107" s="3957"/>
      <c r="O107" s="3955"/>
      <c r="P107" s="3955"/>
      <c r="Q107" s="3955"/>
      <c r="R107" s="3958"/>
      <c r="S107" s="3955"/>
      <c r="T107" s="1216"/>
      <c r="U107" s="1216"/>
      <c r="V107" s="1216"/>
      <c r="W107" s="1217"/>
      <c r="Y107" s="1179"/>
      <c r="Z107" s="1179"/>
      <c r="AA107" s="1179"/>
      <c r="AB107" s="1179"/>
      <c r="AC107" s="1179"/>
      <c r="AD107" s="1179"/>
      <c r="AE107" s="1179"/>
      <c r="AF107" s="1179"/>
      <c r="AG107" s="1179"/>
      <c r="AH107" s="1179"/>
      <c r="AI107" s="1179"/>
      <c r="AJ107" s="1179"/>
      <c r="AK107" s="1179"/>
      <c r="AL107" s="1179"/>
      <c r="AM107" s="1179"/>
      <c r="AN107" s="1179"/>
      <c r="AO107" s="1179"/>
      <c r="AP107" s="1179"/>
      <c r="AQ107" s="1179"/>
    </row>
    <row r="108" spans="1:43" s="1912" customFormat="1" ht="17.25" hidden="1" customHeight="1">
      <c r="A108" s="245"/>
      <c r="C108" s="130"/>
      <c r="D108" s="3960"/>
      <c r="E108" s="3962"/>
      <c r="F108" s="3965"/>
      <c r="G108" s="3962"/>
      <c r="H108" s="3968"/>
      <c r="I108" s="3970"/>
      <c r="J108" s="3973"/>
      <c r="K108" s="3955"/>
      <c r="L108" s="3955"/>
      <c r="M108" s="3955"/>
      <c r="N108" s="3958"/>
      <c r="O108" s="3955"/>
      <c r="P108" s="1382"/>
      <c r="Q108" s="1216"/>
      <c r="R108" s="1216"/>
      <c r="S108" s="256"/>
      <c r="T108" s="256"/>
      <c r="U108" s="256"/>
      <c r="V108" s="256"/>
      <c r="W108" s="1217"/>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row>
    <row r="109" spans="1:43" s="1912" customFormat="1" ht="17.25" hidden="1" customHeight="1">
      <c r="A109" s="245"/>
      <c r="C109" s="244"/>
      <c r="D109" s="3960"/>
      <c r="E109" s="3962"/>
      <c r="F109" s="3965"/>
      <c r="G109" s="3962"/>
      <c r="H109" s="3968"/>
      <c r="I109" s="3970"/>
      <c r="J109" s="3973"/>
      <c r="K109" s="3955"/>
      <c r="L109" s="1216"/>
      <c r="M109" s="1216"/>
      <c r="N109" s="1216"/>
      <c r="O109" s="1216"/>
      <c r="P109" s="1216"/>
      <c r="Q109" s="1216"/>
      <c r="R109" s="1216"/>
      <c r="S109" s="256"/>
      <c r="T109" s="256"/>
      <c r="U109" s="256"/>
      <c r="V109" s="256"/>
      <c r="W109" s="1217"/>
      <c r="Y109" s="1179"/>
      <c r="Z109" s="1179"/>
      <c r="AA109" s="1179"/>
      <c r="AB109" s="1179"/>
      <c r="AC109" s="1179"/>
      <c r="AD109" s="1179"/>
      <c r="AE109" s="1179"/>
      <c r="AF109" s="1179"/>
      <c r="AG109" s="1179"/>
      <c r="AH109" s="1179"/>
      <c r="AI109" s="1179"/>
      <c r="AJ109" s="1179"/>
      <c r="AK109" s="1179"/>
      <c r="AL109" s="1179"/>
      <c r="AM109" s="1179"/>
      <c r="AN109" s="1179"/>
      <c r="AO109" s="1179"/>
      <c r="AP109" s="1179"/>
      <c r="AQ109" s="1179"/>
    </row>
    <row r="110" spans="1:43" s="1912" customFormat="1" ht="17.25" hidden="1" customHeight="1">
      <c r="A110" s="245"/>
      <c r="C110" s="244"/>
      <c r="D110" s="3961"/>
      <c r="E110" s="3963"/>
      <c r="F110" s="3966"/>
      <c r="G110" s="3963"/>
      <c r="H110" s="1218"/>
      <c r="I110" s="1219"/>
      <c r="J110" s="1219"/>
      <c r="K110" s="1219"/>
      <c r="L110" s="1219"/>
      <c r="M110" s="1219"/>
      <c r="N110" s="1219"/>
      <c r="O110" s="1219"/>
      <c r="P110" s="1219"/>
      <c r="Q110" s="1219"/>
      <c r="R110" s="1219"/>
      <c r="S110" s="1220"/>
      <c r="T110" s="1220"/>
      <c r="U110" s="1220"/>
      <c r="V110" s="1220"/>
      <c r="W110" s="1221"/>
      <c r="Y110" s="1179"/>
      <c r="Z110" s="1179"/>
      <c r="AA110" s="1179"/>
      <c r="AB110" s="1179"/>
      <c r="AC110" s="1179"/>
      <c r="AD110" s="1179"/>
      <c r="AE110" s="1179"/>
      <c r="AF110" s="1179"/>
      <c r="AG110" s="1179"/>
      <c r="AH110" s="1179"/>
      <c r="AI110" s="1179"/>
      <c r="AJ110" s="1179"/>
      <c r="AK110" s="1179"/>
      <c r="AL110" s="1179"/>
      <c r="AM110" s="1179"/>
      <c r="AN110" s="1179"/>
      <c r="AO110" s="1179"/>
      <c r="AP110" s="1179"/>
      <c r="AQ110" s="1179"/>
    </row>
    <row r="111" spans="1:43" s="1912" customFormat="1" ht="17.25" hidden="1" customHeight="1">
      <c r="A111" s="245"/>
      <c r="C111" s="130"/>
      <c r="D111" s="3960">
        <v>2</v>
      </c>
      <c r="E111" s="3962" t="s">
        <v>259</v>
      </c>
      <c r="F111" s="3964" t="s">
        <v>55</v>
      </c>
      <c r="G111" s="3962"/>
      <c r="H111" s="3967"/>
      <c r="I111" s="3969"/>
      <c r="J111" s="3971"/>
      <c r="K111" s="3954"/>
      <c r="L111" s="3954"/>
      <c r="M111" s="3954"/>
      <c r="N111" s="3956"/>
      <c r="O111" s="3954"/>
      <c r="P111" s="3954"/>
      <c r="Q111" s="3954"/>
      <c r="R111" s="3959"/>
      <c r="S111" s="3954"/>
      <c r="T111" s="1381"/>
      <c r="U111" s="1381"/>
      <c r="V111" s="1383"/>
      <c r="W111" s="1215"/>
      <c r="X111" s="1186"/>
      <c r="Y111" s="1186"/>
      <c r="Z111" s="1186"/>
      <c r="AA111" s="1186"/>
      <c r="AB111" s="1186"/>
      <c r="AC111" s="1186" t="s">
        <v>260</v>
      </c>
      <c r="AD111" s="1186" t="s">
        <v>261</v>
      </c>
      <c r="AE111" s="1186" t="s">
        <v>262</v>
      </c>
      <c r="AF111" s="1186" t="s">
        <v>263</v>
      </c>
      <c r="AG111" s="1186"/>
      <c r="AH111" s="1186" t="str">
        <f>IF($E$111=0,"",$E$111)</f>
        <v>Тариф на транспортировку сточных вод</v>
      </c>
      <c r="AI111" s="1186" t="str">
        <f>IF($G$111=0,"",$G$111)</f>
        <v/>
      </c>
      <c r="AJ111" s="1186" t="str">
        <f>IF($J$111=0,"",$J$111)</f>
        <v/>
      </c>
      <c r="AK111" s="1186" t="str">
        <f>IF($K$111="нет","без дифференциации",IF($N$111=0,"",$N$111))</f>
        <v/>
      </c>
      <c r="AL111" s="1186" t="str">
        <f>IF($O$111="нет","без дифференциации",IF($R$111=0,"",$R$111))</f>
        <v/>
      </c>
      <c r="AM111" s="1186" t="str">
        <f>IF($S$111="нет","без дифференциации",IF($V$111=0,"",$V$111))</f>
        <v/>
      </c>
      <c r="AN111" s="1683">
        <f>$I$111</f>
        <v>0</v>
      </c>
      <c r="AO111" s="1186" t="str">
        <f>$I$111&amp;"."&amp;$M$111</f>
        <v>.</v>
      </c>
      <c r="AP111" s="1179" t="str">
        <f>$I$111&amp;"."&amp;$M$111&amp;"."&amp;$Q$111</f>
        <v>..</v>
      </c>
      <c r="AQ111" s="1179" t="str">
        <f>$I$111&amp;"."&amp;$M$111&amp;"."&amp;$Q$111&amp;"."&amp;$U$111</f>
        <v>...</v>
      </c>
    </row>
    <row r="112" spans="1:43" s="1912" customFormat="1" ht="17.25" hidden="1" customHeight="1">
      <c r="A112" s="245"/>
      <c r="C112" s="244"/>
      <c r="D112" s="3960"/>
      <c r="E112" s="3962"/>
      <c r="F112" s="3965"/>
      <c r="G112" s="3962"/>
      <c r="H112" s="3968"/>
      <c r="I112" s="3970"/>
      <c r="J112" s="3972"/>
      <c r="K112" s="3955"/>
      <c r="L112" s="3955"/>
      <c r="M112" s="3955"/>
      <c r="N112" s="3957"/>
      <c r="O112" s="3955"/>
      <c r="P112" s="3955"/>
      <c r="Q112" s="3955"/>
      <c r="R112" s="3958"/>
      <c r="S112" s="3955"/>
      <c r="T112" s="1216"/>
      <c r="U112" s="1216"/>
      <c r="V112" s="1216"/>
      <c r="W112" s="1217"/>
      <c r="X112" s="1179"/>
      <c r="Y112" s="1179"/>
      <c r="Z112" s="1179"/>
      <c r="AA112" s="1179"/>
      <c r="AB112" s="1179"/>
      <c r="AC112" s="1179"/>
      <c r="AD112" s="1179"/>
      <c r="AE112" s="1179"/>
      <c r="AF112" s="1179"/>
      <c r="AG112" s="1179"/>
      <c r="AH112" s="1179"/>
      <c r="AI112" s="1179"/>
      <c r="AJ112" s="1179"/>
      <c r="AK112" s="1179"/>
      <c r="AL112" s="1179"/>
      <c r="AM112" s="1179"/>
      <c r="AN112" s="1179"/>
      <c r="AO112" s="1179"/>
      <c r="AP112" s="1179"/>
      <c r="AQ112" s="1179"/>
    </row>
    <row r="113" spans="1:43" s="1912" customFormat="1" ht="17.25" hidden="1" customHeight="1">
      <c r="A113" s="245"/>
      <c r="C113" s="244"/>
      <c r="D113" s="3961"/>
      <c r="E113" s="3963"/>
      <c r="F113" s="3965"/>
      <c r="G113" s="3963"/>
      <c r="H113" s="3968"/>
      <c r="I113" s="3970"/>
      <c r="J113" s="3973"/>
      <c r="K113" s="3955"/>
      <c r="L113" s="3955"/>
      <c r="M113" s="3955"/>
      <c r="N113" s="3958"/>
      <c r="O113" s="3955"/>
      <c r="P113" s="1382"/>
      <c r="Q113" s="1216"/>
      <c r="R113" s="1216"/>
      <c r="S113" s="256"/>
      <c r="T113" s="256"/>
      <c r="U113" s="256"/>
      <c r="V113" s="256"/>
      <c r="W113" s="1217"/>
      <c r="X113" s="1179"/>
      <c r="Y113" s="1179"/>
      <c r="Z113" s="1179"/>
      <c r="AA113" s="1179"/>
      <c r="AB113" s="1179"/>
      <c r="AC113" s="1179"/>
      <c r="AD113" s="1179"/>
      <c r="AE113" s="1179"/>
      <c r="AF113" s="1179"/>
      <c r="AG113" s="1179"/>
      <c r="AH113" s="1179"/>
      <c r="AI113" s="1179"/>
      <c r="AJ113" s="1179"/>
      <c r="AK113" s="1179"/>
      <c r="AL113" s="1179"/>
      <c r="AM113" s="1179"/>
      <c r="AN113" s="1179"/>
      <c r="AO113" s="1179"/>
      <c r="AP113" s="1179"/>
      <c r="AQ113" s="1179"/>
    </row>
    <row r="114" spans="1:43" s="1912" customFormat="1" ht="17.25" hidden="1" customHeight="1">
      <c r="A114" s="245"/>
      <c r="C114" s="244"/>
      <c r="D114" s="3961"/>
      <c r="E114" s="3963"/>
      <c r="F114" s="3965"/>
      <c r="G114" s="3963"/>
      <c r="H114" s="3968"/>
      <c r="I114" s="3970"/>
      <c r="J114" s="3973"/>
      <c r="K114" s="3955"/>
      <c r="L114" s="1216"/>
      <c r="M114" s="1216"/>
      <c r="N114" s="1216"/>
      <c r="O114" s="1216"/>
      <c r="P114" s="1216"/>
      <c r="Q114" s="1216"/>
      <c r="R114" s="1216"/>
      <c r="S114" s="256"/>
      <c r="T114" s="256"/>
      <c r="U114" s="256"/>
      <c r="V114" s="256"/>
      <c r="W114" s="1217"/>
      <c r="X114" s="1179"/>
      <c r="Y114" s="1179"/>
      <c r="Z114" s="1179"/>
      <c r="AA114" s="1179"/>
      <c r="AB114" s="1179"/>
      <c r="AC114" s="1179"/>
      <c r="AD114" s="1179"/>
      <c r="AE114" s="1179"/>
      <c r="AF114" s="1179"/>
      <c r="AG114" s="1179"/>
      <c r="AH114" s="1179"/>
      <c r="AI114" s="1179"/>
      <c r="AJ114" s="1179"/>
      <c r="AK114" s="1179"/>
      <c r="AL114" s="1179"/>
      <c r="AM114" s="1179"/>
      <c r="AN114" s="1179"/>
      <c r="AO114" s="1179"/>
      <c r="AP114" s="1179"/>
      <c r="AQ114" s="1179"/>
    </row>
    <row r="115" spans="1:43" s="1912" customFormat="1" ht="17.25" hidden="1" customHeight="1">
      <c r="A115" s="245"/>
      <c r="C115" s="244"/>
      <c r="D115" s="3961"/>
      <c r="E115" s="3963"/>
      <c r="F115" s="3966"/>
      <c r="G115" s="3963"/>
      <c r="H115" s="1218"/>
      <c r="I115" s="1219"/>
      <c r="J115" s="1219"/>
      <c r="K115" s="1219"/>
      <c r="L115" s="1219"/>
      <c r="M115" s="1219"/>
      <c r="N115" s="1219"/>
      <c r="O115" s="1219"/>
      <c r="P115" s="1219"/>
      <c r="Q115" s="1219"/>
      <c r="R115" s="1219"/>
      <c r="S115" s="1220"/>
      <c r="T115" s="1220"/>
      <c r="U115" s="1220"/>
      <c r="V115" s="1220"/>
      <c r="W115" s="1221"/>
      <c r="X115" s="1179"/>
      <c r="Y115" s="1179"/>
      <c r="Z115" s="1179"/>
      <c r="AA115" s="1179"/>
      <c r="AB115" s="1179"/>
      <c r="AC115" s="1179"/>
      <c r="AD115" s="1179"/>
      <c r="AE115" s="1179"/>
      <c r="AF115" s="1179"/>
      <c r="AG115" s="1179"/>
      <c r="AH115" s="1179"/>
      <c r="AI115" s="1179"/>
      <c r="AJ115" s="1179"/>
      <c r="AK115" s="1179"/>
      <c r="AL115" s="1179"/>
      <c r="AM115" s="1179"/>
      <c r="AN115" s="1179"/>
      <c r="AO115" s="1179"/>
      <c r="AP115" s="1179"/>
      <c r="AQ115" s="1179"/>
    </row>
    <row r="116" spans="1:43" s="1912" customFormat="1" ht="17.25" hidden="1" customHeight="1">
      <c r="A116" s="245"/>
      <c r="C116" s="130"/>
      <c r="D116" s="3960">
        <v>3</v>
      </c>
      <c r="E116" s="3962" t="s">
        <v>264</v>
      </c>
      <c r="F116" s="3964" t="s">
        <v>55</v>
      </c>
      <c r="G116" s="3962"/>
      <c r="H116" s="3967"/>
      <c r="I116" s="3969"/>
      <c r="J116" s="3971"/>
      <c r="K116" s="3954"/>
      <c r="L116" s="3954"/>
      <c r="M116" s="3954"/>
      <c r="N116" s="3956"/>
      <c r="O116" s="3954"/>
      <c r="P116" s="3954"/>
      <c r="Q116" s="3954"/>
      <c r="R116" s="3959"/>
      <c r="S116" s="3954"/>
      <c r="T116" s="1381"/>
      <c r="U116" s="1381"/>
      <c r="V116" s="1383"/>
      <c r="W116" s="1215"/>
      <c r="X116" s="1186"/>
      <c r="Y116" s="1186"/>
      <c r="Z116" s="1186"/>
      <c r="AA116" s="1186"/>
      <c r="AB116" s="1186"/>
      <c r="AC116" s="1186" t="s">
        <v>265</v>
      </c>
      <c r="AD116" s="1186" t="s">
        <v>266</v>
      </c>
      <c r="AE116" s="1186" t="s">
        <v>267</v>
      </c>
      <c r="AF116" s="1186" t="s">
        <v>268</v>
      </c>
      <c r="AG116" s="1186"/>
      <c r="AH116" s="1186" t="str">
        <f>IF($E$116=0,"",$E$116)</f>
        <v>Тариф на подключение (технологическое присоединение) к централизованной системе водоотведения</v>
      </c>
      <c r="AI116" s="1186" t="str">
        <f>IF($G$116=0,"",$G$116)</f>
        <v/>
      </c>
      <c r="AJ116" s="1186" t="str">
        <f>IF($J$116=0,"",$J$116)</f>
        <v/>
      </c>
      <c r="AK116" s="1186" t="str">
        <f>IF($K$116="нет","без дифференциации",IF($N$116=0,"",$N$116))</f>
        <v/>
      </c>
      <c r="AL116" s="1186" t="str">
        <f>IF($O$116="нет","без дифференциации",IF($R$116=0,"",$R$116))</f>
        <v/>
      </c>
      <c r="AM116" s="1186" t="str">
        <f>IF($S$116="нет","без дифференциации",IF($V$116=0,"",$V$116))</f>
        <v/>
      </c>
      <c r="AN116" s="1683">
        <f>$I$116</f>
        <v>0</v>
      </c>
      <c r="AO116" s="1186" t="str">
        <f>$I$116&amp;"."&amp;$M$116</f>
        <v>.</v>
      </c>
      <c r="AP116" s="1179" t="str">
        <f>$I$116&amp;"."&amp;$M$116&amp;"."&amp;$Q$116</f>
        <v>..</v>
      </c>
      <c r="AQ116" s="1179" t="str">
        <f>$I$116&amp;"."&amp;$M$116&amp;"."&amp;$Q$116&amp;"."&amp;$U$116</f>
        <v>...</v>
      </c>
    </row>
    <row r="117" spans="1:43" s="1912" customFormat="1" ht="17.25" hidden="1" customHeight="1">
      <c r="A117" s="245"/>
      <c r="C117" s="244"/>
      <c r="D117" s="3960"/>
      <c r="E117" s="3962"/>
      <c r="F117" s="3965"/>
      <c r="G117" s="3962"/>
      <c r="H117" s="3968"/>
      <c r="I117" s="3970"/>
      <c r="J117" s="3972"/>
      <c r="K117" s="3955"/>
      <c r="L117" s="3955"/>
      <c r="M117" s="3955"/>
      <c r="N117" s="3957"/>
      <c r="O117" s="3955"/>
      <c r="P117" s="3955"/>
      <c r="Q117" s="3955"/>
      <c r="R117" s="3958"/>
      <c r="S117" s="3955"/>
      <c r="T117" s="1216"/>
      <c r="U117" s="1216"/>
      <c r="V117" s="1216"/>
      <c r="W117" s="1217"/>
      <c r="X117" s="1179"/>
      <c r="Y117" s="1179"/>
      <c r="Z117" s="1179"/>
      <c r="AA117" s="1179"/>
      <c r="AB117" s="1179"/>
      <c r="AC117" s="1179"/>
      <c r="AD117" s="1179"/>
      <c r="AE117" s="1179"/>
      <c r="AF117" s="1179"/>
      <c r="AG117" s="1179"/>
      <c r="AH117" s="1179"/>
      <c r="AI117" s="1179"/>
      <c r="AJ117" s="1179"/>
      <c r="AK117" s="1179"/>
      <c r="AL117" s="1179"/>
      <c r="AM117" s="1179"/>
      <c r="AN117" s="1179"/>
      <c r="AO117" s="1179"/>
      <c r="AP117" s="1179"/>
      <c r="AQ117" s="1179"/>
    </row>
    <row r="118" spans="1:43" s="1912" customFormat="1" ht="17.25" hidden="1" customHeight="1">
      <c r="A118" s="245"/>
      <c r="C118" s="244"/>
      <c r="D118" s="3961"/>
      <c r="E118" s="3963"/>
      <c r="F118" s="3965"/>
      <c r="G118" s="3963"/>
      <c r="H118" s="3968"/>
      <c r="I118" s="3970"/>
      <c r="J118" s="3973"/>
      <c r="K118" s="3955"/>
      <c r="L118" s="3955"/>
      <c r="M118" s="3955"/>
      <c r="N118" s="3958"/>
      <c r="O118" s="3955"/>
      <c r="P118" s="1382"/>
      <c r="Q118" s="1216"/>
      <c r="R118" s="1216"/>
      <c r="S118" s="256"/>
      <c r="T118" s="256"/>
      <c r="U118" s="256"/>
      <c r="V118" s="256"/>
      <c r="W118" s="1217"/>
      <c r="X118" s="1179"/>
      <c r="Y118" s="1179"/>
      <c r="Z118" s="1179"/>
      <c r="AA118" s="1179"/>
      <c r="AB118" s="1179"/>
      <c r="AC118" s="1179"/>
      <c r="AD118" s="1179"/>
      <c r="AE118" s="1179"/>
      <c r="AF118" s="1179"/>
      <c r="AG118" s="1179"/>
      <c r="AH118" s="1179"/>
      <c r="AI118" s="1179"/>
      <c r="AJ118" s="1179"/>
      <c r="AK118" s="1179"/>
      <c r="AL118" s="1179"/>
      <c r="AM118" s="1179"/>
      <c r="AN118" s="1179"/>
      <c r="AO118" s="1179"/>
      <c r="AP118" s="1179"/>
      <c r="AQ118" s="1179"/>
    </row>
    <row r="119" spans="1:43" s="1912" customFormat="1" ht="17.25" hidden="1" customHeight="1">
      <c r="A119" s="245"/>
      <c r="C119" s="244"/>
      <c r="D119" s="3961"/>
      <c r="E119" s="3963"/>
      <c r="F119" s="3965"/>
      <c r="G119" s="3963"/>
      <c r="H119" s="3968"/>
      <c r="I119" s="3970"/>
      <c r="J119" s="3973"/>
      <c r="K119" s="3955"/>
      <c r="L119" s="1216"/>
      <c r="M119" s="1216"/>
      <c r="N119" s="1216"/>
      <c r="O119" s="1216"/>
      <c r="P119" s="1216"/>
      <c r="Q119" s="1216"/>
      <c r="R119" s="1216"/>
      <c r="S119" s="256"/>
      <c r="T119" s="256"/>
      <c r="U119" s="256"/>
      <c r="V119" s="256"/>
      <c r="W119" s="1217"/>
      <c r="X119" s="1179"/>
      <c r="Y119" s="1179"/>
      <c r="Z119" s="1179"/>
      <c r="AA119" s="1179"/>
      <c r="AB119" s="1179"/>
      <c r="AC119" s="1179"/>
      <c r="AD119" s="1179"/>
      <c r="AE119" s="1179"/>
      <c r="AF119" s="1179"/>
      <c r="AG119" s="1179"/>
      <c r="AH119" s="1179"/>
      <c r="AI119" s="1179"/>
      <c r="AJ119" s="1179"/>
      <c r="AK119" s="1179"/>
      <c r="AL119" s="1179"/>
      <c r="AM119" s="1179"/>
      <c r="AN119" s="1179"/>
      <c r="AO119" s="1179"/>
      <c r="AP119" s="1179"/>
      <c r="AQ119" s="1179"/>
    </row>
    <row r="120" spans="1:43" s="1912" customFormat="1" ht="17.25" hidden="1" customHeight="1">
      <c r="A120" s="245"/>
      <c r="C120" s="244"/>
      <c r="D120" s="3961"/>
      <c r="E120" s="3963"/>
      <c r="F120" s="3966"/>
      <c r="G120" s="3963"/>
      <c r="H120" s="1218"/>
      <c r="I120" s="1219"/>
      <c r="J120" s="1219"/>
      <c r="K120" s="1219"/>
      <c r="L120" s="1219"/>
      <c r="M120" s="1219"/>
      <c r="N120" s="1219"/>
      <c r="O120" s="1219"/>
      <c r="P120" s="1219"/>
      <c r="Q120" s="1219"/>
      <c r="R120" s="1219"/>
      <c r="S120" s="1220"/>
      <c r="T120" s="1220"/>
      <c r="U120" s="1220"/>
      <c r="V120" s="1220"/>
      <c r="W120" s="1221"/>
      <c r="X120" s="1179"/>
      <c r="Y120" s="1179"/>
      <c r="Z120" s="1179"/>
      <c r="AA120" s="1179"/>
      <c r="AB120" s="1179"/>
      <c r="AC120" s="1179"/>
      <c r="AD120" s="1179"/>
      <c r="AE120" s="1179"/>
      <c r="AF120" s="1179"/>
      <c r="AG120" s="1179"/>
      <c r="AH120" s="1179"/>
      <c r="AI120" s="1179"/>
      <c r="AJ120" s="1179"/>
      <c r="AK120" s="1179"/>
      <c r="AL120" s="1179"/>
      <c r="AM120" s="1179"/>
      <c r="AN120" s="1179"/>
      <c r="AO120" s="1179"/>
      <c r="AP120" s="1179"/>
      <c r="AQ120" s="1179"/>
    </row>
    <row r="124" spans="1:43" ht="11.25" customHeight="1">
      <c r="E124" s="1267"/>
    </row>
    <row r="125" spans="1:43" ht="11.25" customHeight="1">
      <c r="E125" s="1267"/>
    </row>
    <row r="126" spans="1:43" ht="11.25" customHeight="1">
      <c r="E126" s="1267"/>
    </row>
    <row r="127" spans="1:43" ht="11.25" customHeight="1">
      <c r="E127" s="1267"/>
    </row>
    <row r="128" spans="1:43" ht="11.25" customHeight="1">
      <c r="E128" s="1267"/>
    </row>
    <row r="129" spans="5:5" ht="11.25" customHeight="1">
      <c r="E129" s="1267"/>
    </row>
    <row r="130" spans="5:5" ht="11.25" customHeight="1">
      <c r="E130" s="1267"/>
    </row>
  </sheetData>
  <sheetProtection formatColumns="0" formatRows="0" insertRows="0" deleteColumns="0" deleteRows="0" sort="0" autoFilter="0"/>
  <mergeCells count="331">
    <mergeCell ref="S18:S19"/>
    <mergeCell ref="P18:P19"/>
    <mergeCell ref="Q18:Q19"/>
    <mergeCell ref="R18:R19"/>
    <mergeCell ref="K18:K21"/>
    <mergeCell ref="Q13:Q14"/>
    <mergeCell ref="R13:R14"/>
    <mergeCell ref="S13:S14"/>
    <mergeCell ref="P13:P14"/>
    <mergeCell ref="K13:K16"/>
    <mergeCell ref="M13:M15"/>
    <mergeCell ref="O13:O15"/>
    <mergeCell ref="L13:L15"/>
    <mergeCell ref="N13:N15"/>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D95:D99"/>
    <mergeCell ref="E95:E99"/>
    <mergeCell ref="F95:F99"/>
    <mergeCell ref="G95:G99"/>
    <mergeCell ref="H95:H98"/>
    <mergeCell ref="I95:I98"/>
    <mergeCell ref="J95:J98"/>
    <mergeCell ref="K95:K98"/>
    <mergeCell ref="L95:L97"/>
    <mergeCell ref="P43:P44"/>
    <mergeCell ref="Q43:Q44"/>
    <mergeCell ref="R43:R44"/>
    <mergeCell ref="S43:S44"/>
    <mergeCell ref="S23:S24"/>
    <mergeCell ref="P100:P101"/>
    <mergeCell ref="Q100:Q101"/>
    <mergeCell ref="R100:R101"/>
    <mergeCell ref="S100:S101"/>
    <mergeCell ref="M43:M45"/>
    <mergeCell ref="N43:N45"/>
    <mergeCell ref="O43:O45"/>
    <mergeCell ref="N33:N35"/>
    <mergeCell ref="D90:D94"/>
    <mergeCell ref="E90:E94"/>
    <mergeCell ref="F90:F94"/>
    <mergeCell ref="G90:G94"/>
    <mergeCell ref="H90:H93"/>
    <mergeCell ref="I90:I93"/>
    <mergeCell ref="J90:J93"/>
    <mergeCell ref="K90:K93"/>
    <mergeCell ref="L90:L92"/>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P48:P49"/>
    <mergeCell ref="Q48:Q49"/>
    <mergeCell ref="R48:R49"/>
    <mergeCell ref="S48:S49"/>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E38:E42"/>
    <mergeCell ref="F38:F42"/>
    <mergeCell ref="H38:H41"/>
    <mergeCell ref="G38:G42"/>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R23:R24"/>
    <mergeCell ref="O23:O25"/>
    <mergeCell ref="D23:D27"/>
    <mergeCell ref="E23:E27"/>
    <mergeCell ref="F23:F27"/>
    <mergeCell ref="H23:H26"/>
    <mergeCell ref="I23:I26"/>
    <mergeCell ref="J23:J26"/>
    <mergeCell ref="G23:G27"/>
    <mergeCell ref="L11:M11"/>
    <mergeCell ref="P11:Q11"/>
    <mergeCell ref="K23:K26"/>
    <mergeCell ref="L23:L25"/>
    <mergeCell ref="P23:P24"/>
    <mergeCell ref="Q23:Q24"/>
    <mergeCell ref="D18:D22"/>
    <mergeCell ref="E18:E22"/>
    <mergeCell ref="F18:F22"/>
    <mergeCell ref="M23:M25"/>
    <mergeCell ref="I18:I21"/>
    <mergeCell ref="L18:L20"/>
    <mergeCell ref="N18:N20"/>
    <mergeCell ref="J18:J21"/>
    <mergeCell ref="H18:H21"/>
    <mergeCell ref="M18:M20"/>
    <mergeCell ref="O18:O20"/>
    <mergeCell ref="I13:I16"/>
    <mergeCell ref="H13:H16"/>
    <mergeCell ref="J13:J16"/>
    <mergeCell ref="D5:J5"/>
    <mergeCell ref="D9:D10"/>
    <mergeCell ref="D7:J7"/>
    <mergeCell ref="G9:G10"/>
    <mergeCell ref="H9:I10"/>
    <mergeCell ref="D6:J6"/>
    <mergeCell ref="D13:D17"/>
    <mergeCell ref="E13:E17"/>
    <mergeCell ref="G13:G17"/>
    <mergeCell ref="J9:J10"/>
    <mergeCell ref="H11:I11"/>
    <mergeCell ref="E9:F9"/>
    <mergeCell ref="F13:F17"/>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G18:G22"/>
    <mergeCell ref="N23:N25"/>
    <mergeCell ref="L10:M10"/>
    <mergeCell ref="P10:Q10"/>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32">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38:N40 N23:N25 N33:N3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43:J44 R43:R44 V43:W43 J38:J39 J23:J24 R33:R34 R38:R39 R23:R24 V33:W33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43:K44 O43:O44 S43:S44 K38:K39 K23:K24 O33:O34 O38:O39 O23:O24 S33:S34 S38:S39 S23:S24 F13:F52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1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J14">
      <formula1>900</formula1>
    </dataValidation>
    <dataValidation allowBlank="1" showInputMessage="1" showErrorMessage="1" prompt="Для выбора выполните двойной щелчок левой клавиши мыши по соответствующей ячейке." sqref="K1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S1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formula1>DESCRIPTION_TERRITORY</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43" hidden="1"/>
    <col min="3" max="4" width="3.7109375" style="1843" customWidth="1"/>
    <col min="5" max="6" width="16" style="1843" customWidth="1"/>
    <col min="7" max="7" width="11.5703125" style="1843" customWidth="1"/>
    <col min="8" max="9" width="3.7109375" style="1843" customWidth="1"/>
    <col min="10" max="10" width="13.140625" style="1843" customWidth="1"/>
    <col min="11" max="11" width="0.28515625" style="1843" customWidth="1"/>
    <col min="12" max="13" width="10.7109375" style="1843" customWidth="1"/>
    <col min="14" max="15" width="3.7109375" style="1843" customWidth="1"/>
    <col min="16" max="16" width="19.7109375" style="1843" customWidth="1"/>
    <col min="17" max="17" width="0.28515625" style="1843" customWidth="1"/>
    <col min="18" max="19" width="10.7109375" style="1843" customWidth="1"/>
    <col min="20" max="21" width="3.7109375" style="1843" customWidth="1"/>
    <col min="22" max="22" width="25.7109375" style="1843" customWidth="1"/>
    <col min="23" max="23" width="0.28515625" style="1843" customWidth="1"/>
    <col min="24" max="25" width="10.7109375" style="1843" customWidth="1"/>
    <col min="26" max="27" width="3.7109375" style="1843" customWidth="1"/>
    <col min="28" max="28" width="16.42578125" style="1843" customWidth="1"/>
    <col min="29" max="29" width="0.28515625" style="1843" customWidth="1"/>
    <col min="30" max="31" width="10.7109375" style="1843" customWidth="1"/>
    <col min="32" max="33" width="3.7109375" style="1843" customWidth="1"/>
    <col min="34" max="34" width="8.7109375" style="1843" customWidth="1"/>
    <col min="35" max="35" width="21.7109375" style="1843" customWidth="1"/>
    <col min="36" max="36" width="9.140625" style="1832"/>
    <col min="37" max="37" width="9.140625" style="1918"/>
    <col min="38" max="64" width="9.140625" style="1832"/>
  </cols>
  <sheetData>
    <row r="1" spans="1:64" s="1833" customFormat="1" ht="11.25" hidden="1" customHeight="1">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row>
    <row r="2" spans="1:64" s="1916" customFormat="1" ht="11.25" hidden="1" customHeight="1">
      <c r="L2" s="1471" t="s">
        <v>269</v>
      </c>
      <c r="M2" s="1471" t="s">
        <v>270</v>
      </c>
      <c r="R2" s="1471" t="s">
        <v>271</v>
      </c>
      <c r="S2" s="1471" t="s">
        <v>270</v>
      </c>
      <c r="X2" s="1471" t="s">
        <v>269</v>
      </c>
      <c r="Y2" s="1471" t="s">
        <v>270</v>
      </c>
      <c r="AD2" s="1471" t="s">
        <v>269</v>
      </c>
      <c r="AE2" s="1471" t="s">
        <v>270</v>
      </c>
      <c r="AJ2" s="1492"/>
      <c r="AK2" s="1492"/>
      <c r="AL2" s="1492"/>
      <c r="AM2" s="1492"/>
      <c r="AN2" s="1492"/>
      <c r="AO2" s="1492"/>
      <c r="AP2" s="1492"/>
      <c r="AQ2" s="1492"/>
      <c r="AR2" s="1492"/>
      <c r="AS2" s="1492"/>
      <c r="AT2" s="1492"/>
      <c r="AU2" s="1492"/>
      <c r="AV2" s="1492"/>
      <c r="AW2" s="1492"/>
      <c r="AX2" s="1492"/>
      <c r="AY2" s="1492"/>
      <c r="AZ2" s="1492"/>
      <c r="BA2" s="1492"/>
      <c r="BB2" s="1492"/>
      <c r="BC2" s="1492"/>
      <c r="BD2" s="1492"/>
      <c r="BE2" s="1492"/>
      <c r="BF2" s="1492"/>
      <c r="BG2" s="1492"/>
      <c r="BH2" s="1492"/>
      <c r="BI2" s="1492"/>
      <c r="BJ2" s="1492"/>
      <c r="BK2" s="1492"/>
      <c r="BL2" s="1492"/>
    </row>
    <row r="3" spans="1:64" s="1917" customFormat="1" ht="11.25" customHeight="1">
      <c r="AJ3" s="1491"/>
      <c r="AK3" s="226"/>
      <c r="AL3" s="1491"/>
      <c r="AM3" s="1491"/>
      <c r="AN3" s="1491"/>
      <c r="AO3" s="1491"/>
      <c r="AP3" s="1491"/>
      <c r="AQ3" s="1491"/>
      <c r="AR3" s="1491"/>
      <c r="AS3" s="1491"/>
      <c r="AT3" s="1491"/>
      <c r="AU3" s="1491"/>
      <c r="AV3" s="1491"/>
      <c r="AW3" s="1491"/>
      <c r="AX3" s="1491"/>
      <c r="AY3" s="1491"/>
      <c r="AZ3" s="1491"/>
      <c r="BA3" s="1491"/>
      <c r="BB3" s="1491"/>
      <c r="BC3" s="1491"/>
      <c r="BD3" s="1491"/>
      <c r="BE3" s="1491"/>
      <c r="BF3" s="1491"/>
      <c r="BG3" s="1491"/>
      <c r="BH3" s="1491"/>
      <c r="BI3" s="1491"/>
      <c r="BJ3" s="1491"/>
      <c r="BK3" s="1491"/>
      <c r="BL3" s="1491"/>
    </row>
    <row r="4" spans="1:64" s="1830" customFormat="1" ht="33" customHeight="1">
      <c r="A4" s="1056"/>
      <c r="B4" s="1055"/>
      <c r="C4" s="1425"/>
      <c r="D4" s="4017" t="s">
        <v>272</v>
      </c>
      <c r="E4" s="4017"/>
      <c r="F4" s="4017"/>
      <c r="G4" s="4017"/>
      <c r="H4" s="4017"/>
      <c r="I4" s="4017"/>
      <c r="J4" s="4017"/>
      <c r="K4" s="619"/>
      <c r="T4" s="1472"/>
      <c r="AJ4" s="1493"/>
      <c r="AK4" s="1494"/>
      <c r="AL4" s="1493"/>
      <c r="AM4" s="1493"/>
      <c r="AN4" s="1493"/>
      <c r="AO4" s="1493"/>
      <c r="AP4" s="1493"/>
      <c r="AQ4" s="1493"/>
      <c r="AR4" s="1493"/>
      <c r="AS4" s="1493"/>
      <c r="AT4" s="1493"/>
      <c r="AU4" s="1493"/>
      <c r="AV4" s="1493"/>
      <c r="AW4" s="1493"/>
      <c r="AX4" s="1493"/>
      <c r="AY4" s="1493"/>
      <c r="AZ4" s="1493"/>
      <c r="BA4" s="1493"/>
      <c r="BB4" s="1493"/>
      <c r="BC4" s="1493"/>
      <c r="BD4" s="1493"/>
      <c r="BE4" s="1493"/>
      <c r="BF4" s="1493"/>
      <c r="BG4" s="1493"/>
      <c r="BH4" s="1493"/>
      <c r="BI4" s="1493"/>
      <c r="BJ4" s="1493"/>
      <c r="BK4" s="1493"/>
      <c r="BL4" s="1493"/>
    </row>
    <row r="5" spans="1:64" s="1921" customFormat="1" ht="14.25" customHeight="1">
      <c r="A5" s="1544"/>
      <c r="B5" s="1543"/>
      <c r="C5" s="1425"/>
      <c r="D5" s="4004" t="str">
        <f>IF(org=0,"Не определено",org)</f>
        <v>ООО «РИР-Сахалин»</v>
      </c>
      <c r="E5" s="4004"/>
      <c r="F5" s="4004"/>
      <c r="G5" s="4004"/>
      <c r="H5" s="4004"/>
      <c r="I5" s="4004"/>
      <c r="J5" s="4004"/>
      <c r="K5" s="619"/>
      <c r="T5" s="1472"/>
      <c r="AJ5" s="1493"/>
      <c r="AK5" s="1494"/>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c r="BI5" s="1493"/>
      <c r="BJ5" s="1493"/>
      <c r="BK5" s="1493"/>
      <c r="BL5" s="1493"/>
    </row>
    <row r="6" spans="1:64" s="1830" customFormat="1" ht="14.25" customHeight="1">
      <c r="A6" s="1056"/>
      <c r="B6" s="1055"/>
      <c r="C6" s="1425"/>
      <c r="D6" s="619"/>
      <c r="E6" s="619"/>
      <c r="F6" s="619"/>
      <c r="G6" s="619"/>
      <c r="H6" s="619"/>
      <c r="I6" s="619"/>
      <c r="J6" s="619"/>
      <c r="K6" s="619"/>
      <c r="T6" s="1472"/>
      <c r="AJ6" s="1493"/>
      <c r="AK6" s="1494"/>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c r="BI6" s="1493"/>
      <c r="BJ6" s="1493"/>
      <c r="BK6" s="1493"/>
      <c r="BL6" s="1493"/>
    </row>
    <row r="7" spans="1:64" s="1833" customFormat="1" ht="0.75" customHeight="1">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row>
    <row r="8" spans="1:64" ht="31.5" customHeight="1">
      <c r="D8" s="3946" t="s">
        <v>86</v>
      </c>
      <c r="E8" s="3946" t="s">
        <v>103</v>
      </c>
      <c r="F8" s="4018" t="s">
        <v>120</v>
      </c>
      <c r="G8" s="4019"/>
      <c r="H8" s="4018" t="s">
        <v>86</v>
      </c>
      <c r="I8" s="4019"/>
      <c r="J8" s="3946" t="s">
        <v>121</v>
      </c>
      <c r="K8" s="1473"/>
      <c r="L8" s="4003" t="s">
        <v>273</v>
      </c>
      <c r="M8" s="4003"/>
      <c r="N8" s="4003"/>
      <c r="O8" s="4003"/>
      <c r="P8" s="4003"/>
      <c r="Q8" s="1474"/>
      <c r="R8" s="3918" t="s">
        <v>274</v>
      </c>
      <c r="S8" s="3923"/>
      <c r="T8" s="3923"/>
      <c r="U8" s="3923"/>
      <c r="V8" s="3923"/>
      <c r="W8" s="1474"/>
      <c r="X8" s="3946" t="s">
        <v>275</v>
      </c>
      <c r="Y8" s="3946"/>
      <c r="Z8" s="3946"/>
      <c r="AA8" s="3946"/>
      <c r="AB8" s="3946"/>
      <c r="AC8" s="1475"/>
      <c r="AD8" s="3946" t="s">
        <v>276</v>
      </c>
      <c r="AE8" s="3946"/>
      <c r="AF8" s="3946"/>
      <c r="AG8" s="3946"/>
      <c r="AH8" s="3918"/>
      <c r="AI8" s="3946" t="s">
        <v>277</v>
      </c>
      <c r="AJ8" s="1491"/>
    </row>
    <row r="9" spans="1:64" ht="22.5" customHeight="1">
      <c r="D9" s="3946"/>
      <c r="E9" s="3946"/>
      <c r="F9" s="4003" t="s">
        <v>87</v>
      </c>
      <c r="G9" s="4003" t="s">
        <v>126</v>
      </c>
      <c r="H9" s="4020"/>
      <c r="I9" s="4021"/>
      <c r="J9" s="3918"/>
      <c r="K9" s="1476"/>
      <c r="L9" s="3946" t="s">
        <v>278</v>
      </c>
      <c r="M9" s="3918"/>
      <c r="N9" s="4018" t="s">
        <v>86</v>
      </c>
      <c r="O9" s="4019"/>
      <c r="P9" s="3946" t="s">
        <v>127</v>
      </c>
      <c r="Q9" s="1473"/>
      <c r="R9" s="3946" t="s">
        <v>278</v>
      </c>
      <c r="S9" s="3918"/>
      <c r="T9" s="4018" t="s">
        <v>86</v>
      </c>
      <c r="U9" s="4019"/>
      <c r="V9" s="3946" t="s">
        <v>127</v>
      </c>
      <c r="W9" s="1473"/>
      <c r="X9" s="3946" t="s">
        <v>278</v>
      </c>
      <c r="Y9" s="3918"/>
      <c r="Z9" s="4018" t="s">
        <v>86</v>
      </c>
      <c r="AA9" s="4019"/>
      <c r="AB9" s="3946" t="s">
        <v>279</v>
      </c>
      <c r="AC9" s="1473"/>
      <c r="AD9" s="3946" t="s">
        <v>278</v>
      </c>
      <c r="AE9" s="3918"/>
      <c r="AF9" s="4018" t="s">
        <v>86</v>
      </c>
      <c r="AG9" s="4019"/>
      <c r="AH9" s="3918" t="s">
        <v>279</v>
      </c>
      <c r="AI9" s="3946"/>
      <c r="AJ9" s="1491"/>
    </row>
    <row r="10" spans="1:64" ht="22.5" customHeight="1">
      <c r="D10" s="4003"/>
      <c r="E10" s="4003"/>
      <c r="F10" s="4022"/>
      <c r="G10" s="4022"/>
      <c r="H10" s="4023"/>
      <c r="I10" s="4024"/>
      <c r="J10" s="4018"/>
      <c r="K10" s="1476"/>
      <c r="L10" s="1495" t="s">
        <v>280</v>
      </c>
      <c r="M10" s="1490" t="s">
        <v>281</v>
      </c>
      <c r="N10" s="4020"/>
      <c r="O10" s="4021"/>
      <c r="P10" s="4003"/>
      <c r="Q10" s="1473"/>
      <c r="R10" s="1495" t="s">
        <v>280</v>
      </c>
      <c r="S10" s="1490" t="s">
        <v>281</v>
      </c>
      <c r="T10" s="4020"/>
      <c r="U10" s="4021"/>
      <c r="V10" s="4003"/>
      <c r="W10" s="1473"/>
      <c r="X10" s="1495" t="s">
        <v>280</v>
      </c>
      <c r="Y10" s="1490" t="s">
        <v>281</v>
      </c>
      <c r="Z10" s="4020"/>
      <c r="AA10" s="4021"/>
      <c r="AB10" s="4003"/>
      <c r="AC10" s="1473"/>
      <c r="AD10" s="1495" t="s">
        <v>280</v>
      </c>
      <c r="AE10" s="1490" t="s">
        <v>281</v>
      </c>
      <c r="AF10" s="4020"/>
      <c r="AG10" s="4021"/>
      <c r="AH10" s="4018"/>
      <c r="AI10" s="4003"/>
      <c r="AJ10" s="1491"/>
      <c r="AK10" s="173" t="s">
        <v>282</v>
      </c>
      <c r="AL10" s="173" t="s">
        <v>128</v>
      </c>
    </row>
    <row r="11" spans="1:64" ht="14.25" customHeight="1">
      <c r="D11" s="4011" t="s">
        <v>107</v>
      </c>
      <c r="E11" s="4007" t="s">
        <v>283</v>
      </c>
      <c r="F11" s="4007" t="s">
        <v>284</v>
      </c>
      <c r="G11" s="4001" t="s">
        <v>55</v>
      </c>
      <c r="H11" s="1516"/>
      <c r="I11" s="4009"/>
      <c r="J11" s="3971"/>
      <c r="K11" s="1424"/>
      <c r="L11" s="3954"/>
      <c r="M11" s="3954"/>
      <c r="N11" s="1501"/>
      <c r="O11" s="3954"/>
      <c r="P11" s="3971"/>
      <c r="Q11" s="1502"/>
      <c r="R11" s="3954"/>
      <c r="S11" s="3954"/>
      <c r="T11" s="1503"/>
      <c r="U11" s="3954"/>
      <c r="V11" s="3971"/>
      <c r="W11" s="1504"/>
      <c r="X11" s="3954"/>
      <c r="Y11" s="3954"/>
      <c r="Z11" s="1501"/>
      <c r="AA11" s="3954"/>
      <c r="AB11" s="3971"/>
      <c r="AC11" s="1505"/>
      <c r="AD11" s="3954"/>
      <c r="AE11" s="3954"/>
      <c r="AF11" s="1423"/>
      <c r="AG11" s="1423"/>
      <c r="AH11" s="1506"/>
      <c r="AI11" s="1215"/>
      <c r="AJ11" s="1491"/>
    </row>
    <row r="12" spans="1:64" ht="14.25" customHeight="1">
      <c r="D12" s="4011"/>
      <c r="E12" s="4007"/>
      <c r="F12" s="4007"/>
      <c r="G12" s="4002"/>
      <c r="H12" s="1517"/>
      <c r="I12" s="4010"/>
      <c r="J12" s="3972"/>
      <c r="K12" s="1525"/>
      <c r="L12" s="3955"/>
      <c r="M12" s="3955"/>
      <c r="N12" s="1507"/>
      <c r="O12" s="3955"/>
      <c r="P12" s="3972"/>
      <c r="Q12" s="1508"/>
      <c r="R12" s="3955"/>
      <c r="S12" s="3955"/>
      <c r="T12" s="1509"/>
      <c r="U12" s="3955"/>
      <c r="V12" s="3972"/>
      <c r="W12" s="1510"/>
      <c r="X12" s="3955"/>
      <c r="Y12" s="3955"/>
      <c r="Z12" s="1507"/>
      <c r="AA12" s="3955"/>
      <c r="AB12" s="3972"/>
      <c r="AC12" s="1511"/>
      <c r="AD12" s="3955"/>
      <c r="AE12" s="3955"/>
      <c r="AF12" s="1512"/>
      <c r="AG12" s="1512"/>
      <c r="AH12" s="4005"/>
      <c r="AI12" s="4006"/>
      <c r="AJ12" s="1491"/>
    </row>
    <row r="13" spans="1:64" ht="14.25" customHeight="1">
      <c r="D13" s="4011"/>
      <c r="E13" s="4007"/>
      <c r="F13" s="4007"/>
      <c r="G13" s="4002"/>
      <c r="H13" s="1517"/>
      <c r="I13" s="4010"/>
      <c r="J13" s="3972"/>
      <c r="K13" s="1525"/>
      <c r="L13" s="3955"/>
      <c r="M13" s="3955"/>
      <c r="N13" s="1507"/>
      <c r="O13" s="3955"/>
      <c r="P13" s="3972"/>
      <c r="Q13" s="1508"/>
      <c r="R13" s="3955"/>
      <c r="S13" s="3955"/>
      <c r="T13" s="1509"/>
      <c r="U13" s="3955"/>
      <c r="V13" s="3972"/>
      <c r="W13" s="1510"/>
      <c r="X13" s="3955"/>
      <c r="Y13" s="3955"/>
      <c r="Z13" s="1422"/>
      <c r="AA13" s="1512"/>
      <c r="AB13" s="4005"/>
      <c r="AC13" s="4005"/>
      <c r="AD13" s="4005"/>
      <c r="AE13" s="4005"/>
      <c r="AF13" s="4005"/>
      <c r="AG13" s="4005"/>
      <c r="AH13" s="4005"/>
      <c r="AI13" s="4006"/>
      <c r="AJ13" s="1491"/>
    </row>
    <row r="14" spans="1:64" ht="14.25" customHeight="1">
      <c r="D14" s="4011"/>
      <c r="E14" s="4007"/>
      <c r="F14" s="4007"/>
      <c r="G14" s="4002"/>
      <c r="H14" s="1517"/>
      <c r="I14" s="4010"/>
      <c r="J14" s="3972"/>
      <c r="K14" s="1525"/>
      <c r="L14" s="3955"/>
      <c r="M14" s="3955"/>
      <c r="N14" s="1507"/>
      <c r="O14" s="3955"/>
      <c r="P14" s="3972"/>
      <c r="Q14" s="1508"/>
      <c r="R14" s="3955"/>
      <c r="S14" s="3955"/>
      <c r="T14" s="1513"/>
      <c r="U14" s="1514"/>
      <c r="V14" s="4005"/>
      <c r="W14" s="4005"/>
      <c r="X14" s="4005"/>
      <c r="Y14" s="4005"/>
      <c r="Z14" s="4005"/>
      <c r="AA14" s="4005"/>
      <c r="AB14" s="4005"/>
      <c r="AC14" s="4005"/>
      <c r="AD14" s="4005"/>
      <c r="AE14" s="4005"/>
      <c r="AF14" s="4005"/>
      <c r="AG14" s="4005"/>
      <c r="AH14" s="4005"/>
      <c r="AI14" s="4006"/>
      <c r="AJ14" s="1491"/>
    </row>
    <row r="15" spans="1:64" ht="11.25" customHeight="1">
      <c r="D15" s="4011"/>
      <c r="E15" s="4007"/>
      <c r="F15" s="4007"/>
      <c r="G15" s="4002"/>
      <c r="H15" s="1518"/>
      <c r="I15" s="4010"/>
      <c r="J15" s="3972"/>
      <c r="K15" s="1525"/>
      <c r="L15" s="3955"/>
      <c r="M15" s="3955"/>
      <c r="N15" s="1512"/>
      <c r="O15" s="1512"/>
      <c r="P15" s="4005"/>
      <c r="Q15" s="4005"/>
      <c r="R15" s="4005"/>
      <c r="S15" s="4005"/>
      <c r="T15" s="4005"/>
      <c r="U15" s="4005"/>
      <c r="V15" s="4005"/>
      <c r="W15" s="4005"/>
      <c r="X15" s="4005"/>
      <c r="Y15" s="4005"/>
      <c r="Z15" s="4005"/>
      <c r="AA15" s="4005"/>
      <c r="AB15" s="4005"/>
      <c r="AC15" s="4005"/>
      <c r="AD15" s="4005"/>
      <c r="AE15" s="4005"/>
      <c r="AF15" s="4005"/>
      <c r="AG15" s="4005"/>
      <c r="AH15" s="4005"/>
      <c r="AI15" s="4006"/>
      <c r="AJ15" s="1491"/>
    </row>
    <row r="16" spans="1:64" s="1917" customFormat="1" ht="11.25" customHeight="1">
      <c r="D16" s="4015"/>
      <c r="E16" s="4016"/>
      <c r="F16" s="4008"/>
      <c r="G16" s="3932"/>
      <c r="H16" s="1515"/>
      <c r="I16" s="1519"/>
      <c r="J16" s="4013"/>
      <c r="K16" s="4013"/>
      <c r="L16" s="4013"/>
      <c r="M16" s="4013"/>
      <c r="N16" s="4013"/>
      <c r="O16" s="4013"/>
      <c r="P16" s="4013"/>
      <c r="Q16" s="4013"/>
      <c r="R16" s="4013"/>
      <c r="S16" s="4013"/>
      <c r="T16" s="4013"/>
      <c r="U16" s="4013"/>
      <c r="V16" s="4013"/>
      <c r="W16" s="4013"/>
      <c r="X16" s="4013"/>
      <c r="Y16" s="4013"/>
      <c r="Z16" s="4013"/>
      <c r="AA16" s="4013"/>
      <c r="AB16" s="4013"/>
      <c r="AC16" s="4013"/>
      <c r="AD16" s="4013"/>
      <c r="AE16" s="4013"/>
      <c r="AF16" s="4013"/>
      <c r="AG16" s="4013"/>
      <c r="AH16" s="4013"/>
      <c r="AI16" s="4014"/>
      <c r="AJ16" s="1491"/>
      <c r="AK16" s="226"/>
      <c r="AL16" s="1491"/>
      <c r="AM16" s="1491"/>
      <c r="AN16" s="1491"/>
      <c r="AO16" s="1491"/>
      <c r="AP16" s="1491"/>
      <c r="AQ16" s="1491"/>
      <c r="AR16" s="1491"/>
      <c r="AS16" s="1491"/>
      <c r="AT16" s="1491"/>
      <c r="AU16" s="1491"/>
      <c r="AV16" s="1491"/>
      <c r="AW16" s="1491"/>
      <c r="AX16" s="1491"/>
      <c r="AY16" s="1491"/>
      <c r="AZ16" s="1491"/>
      <c r="BA16" s="1491"/>
      <c r="BB16" s="1491"/>
      <c r="BC16" s="1491"/>
      <c r="BD16" s="1491"/>
      <c r="BE16" s="1491"/>
      <c r="BF16" s="1491"/>
      <c r="BG16" s="1491"/>
      <c r="BH16" s="1491"/>
      <c r="BI16" s="1491"/>
      <c r="BJ16" s="1491"/>
      <c r="BK16" s="1491"/>
      <c r="BL16" s="1491"/>
    </row>
    <row r="17" spans="4:64" ht="14.25" customHeight="1">
      <c r="D17" s="4011" t="s">
        <v>108</v>
      </c>
      <c r="E17" s="4007" t="s">
        <v>283</v>
      </c>
      <c r="F17" s="4007" t="s">
        <v>285</v>
      </c>
      <c r="G17" s="4001" t="s">
        <v>55</v>
      </c>
      <c r="H17" s="1516"/>
      <c r="I17" s="4009"/>
      <c r="J17" s="3971"/>
      <c r="K17" s="1424"/>
      <c r="L17" s="3954"/>
      <c r="M17" s="3954"/>
      <c r="N17" s="1501"/>
      <c r="O17" s="3954"/>
      <c r="P17" s="3971"/>
      <c r="Q17" s="1502"/>
      <c r="R17" s="3954"/>
      <c r="S17" s="3954"/>
      <c r="T17" s="1503"/>
      <c r="U17" s="3954"/>
      <c r="V17" s="3971"/>
      <c r="W17" s="1504"/>
      <c r="X17" s="3954"/>
      <c r="Y17" s="3954"/>
      <c r="Z17" s="1501"/>
      <c r="AA17" s="3954"/>
      <c r="AB17" s="3971"/>
      <c r="AC17" s="1505"/>
      <c r="AD17" s="3954"/>
      <c r="AE17" s="3954"/>
      <c r="AF17" s="1423"/>
      <c r="AG17" s="1423"/>
      <c r="AH17" s="1506"/>
      <c r="AI17" s="1215"/>
      <c r="AJ17" s="1491"/>
    </row>
    <row r="18" spans="4:64" ht="14.25" customHeight="1">
      <c r="D18" s="4011"/>
      <c r="E18" s="4007"/>
      <c r="F18" s="4007"/>
      <c r="G18" s="4002"/>
      <c r="H18" s="1517"/>
      <c r="I18" s="4010"/>
      <c r="J18" s="3972"/>
      <c r="K18" s="1500"/>
      <c r="L18" s="3955"/>
      <c r="M18" s="3955"/>
      <c r="N18" s="1507"/>
      <c r="O18" s="3955"/>
      <c r="P18" s="3972"/>
      <c r="Q18" s="1508"/>
      <c r="R18" s="3955"/>
      <c r="S18" s="3955"/>
      <c r="T18" s="1509"/>
      <c r="U18" s="3955"/>
      <c r="V18" s="3972"/>
      <c r="W18" s="1510"/>
      <c r="X18" s="3955"/>
      <c r="Y18" s="3955"/>
      <c r="Z18" s="1507"/>
      <c r="AA18" s="3955"/>
      <c r="AB18" s="3972"/>
      <c r="AC18" s="1511"/>
      <c r="AD18" s="3955"/>
      <c r="AE18" s="3955"/>
      <c r="AF18" s="1512"/>
      <c r="AG18" s="1512"/>
      <c r="AH18" s="4005"/>
      <c r="AI18" s="4006"/>
      <c r="AJ18" s="1491"/>
    </row>
    <row r="19" spans="4:64" ht="14.25" customHeight="1">
      <c r="D19" s="4011"/>
      <c r="E19" s="4007"/>
      <c r="F19" s="4007"/>
      <c r="G19" s="4002"/>
      <c r="H19" s="1517"/>
      <c r="I19" s="4010"/>
      <c r="J19" s="3972"/>
      <c r="K19" s="1500"/>
      <c r="L19" s="3955"/>
      <c r="M19" s="3955"/>
      <c r="N19" s="1507"/>
      <c r="O19" s="3955"/>
      <c r="P19" s="3972"/>
      <c r="Q19" s="1508"/>
      <c r="R19" s="3955"/>
      <c r="S19" s="3955"/>
      <c r="T19" s="1509"/>
      <c r="U19" s="3955"/>
      <c r="V19" s="3972"/>
      <c r="W19" s="1510"/>
      <c r="X19" s="3955"/>
      <c r="Y19" s="3955"/>
      <c r="Z19" s="1422"/>
      <c r="AA19" s="1512"/>
      <c r="AB19" s="4005"/>
      <c r="AC19" s="4005"/>
      <c r="AD19" s="4005"/>
      <c r="AE19" s="4005"/>
      <c r="AF19" s="4005"/>
      <c r="AG19" s="4005"/>
      <c r="AH19" s="4005"/>
      <c r="AI19" s="4006"/>
      <c r="AJ19" s="1491"/>
    </row>
    <row r="20" spans="4:64" ht="14.25" customHeight="1">
      <c r="D20" s="4011"/>
      <c r="E20" s="4007"/>
      <c r="F20" s="4007"/>
      <c r="G20" s="4002"/>
      <c r="H20" s="1517"/>
      <c r="I20" s="4010"/>
      <c r="J20" s="3972"/>
      <c r="K20" s="1500"/>
      <c r="L20" s="3955"/>
      <c r="M20" s="3955"/>
      <c r="N20" s="1507"/>
      <c r="O20" s="3955"/>
      <c r="P20" s="3972"/>
      <c r="Q20" s="1508"/>
      <c r="R20" s="3955"/>
      <c r="S20" s="3955"/>
      <c r="T20" s="1513"/>
      <c r="U20" s="1514"/>
      <c r="V20" s="4005"/>
      <c r="W20" s="4005"/>
      <c r="X20" s="4005"/>
      <c r="Y20" s="4005"/>
      <c r="Z20" s="4005"/>
      <c r="AA20" s="4005"/>
      <c r="AB20" s="4005"/>
      <c r="AC20" s="4005"/>
      <c r="AD20" s="4005"/>
      <c r="AE20" s="4005"/>
      <c r="AF20" s="4005"/>
      <c r="AG20" s="4005"/>
      <c r="AH20" s="4005"/>
      <c r="AI20" s="4006"/>
      <c r="AJ20" s="1491"/>
    </row>
    <row r="21" spans="4:64" ht="11.25" customHeight="1">
      <c r="D21" s="4011"/>
      <c r="E21" s="4007"/>
      <c r="F21" s="4007"/>
      <c r="G21" s="4002"/>
      <c r="H21" s="1518"/>
      <c r="I21" s="4010"/>
      <c r="J21" s="3972"/>
      <c r="K21" s="1500"/>
      <c r="L21" s="3955"/>
      <c r="M21" s="3955"/>
      <c r="N21" s="1512"/>
      <c r="O21" s="1512"/>
      <c r="P21" s="4005"/>
      <c r="Q21" s="4005"/>
      <c r="R21" s="4005"/>
      <c r="S21" s="4005"/>
      <c r="T21" s="4005"/>
      <c r="U21" s="4005"/>
      <c r="V21" s="4005"/>
      <c r="W21" s="4005"/>
      <c r="X21" s="4005"/>
      <c r="Y21" s="4005"/>
      <c r="Z21" s="4005"/>
      <c r="AA21" s="4005"/>
      <c r="AB21" s="4005"/>
      <c r="AC21" s="4005"/>
      <c r="AD21" s="4005"/>
      <c r="AE21" s="4005"/>
      <c r="AF21" s="4005"/>
      <c r="AG21" s="4005"/>
      <c r="AH21" s="4005"/>
      <c r="AI21" s="4006"/>
      <c r="AJ21" s="1491"/>
    </row>
    <row r="22" spans="4:64" s="1917" customFormat="1" ht="11.25" customHeight="1">
      <c r="D22" s="4015"/>
      <c r="E22" s="4016"/>
      <c r="F22" s="4008"/>
      <c r="G22" s="3932"/>
      <c r="H22" s="1515"/>
      <c r="I22" s="1519"/>
      <c r="J22" s="4013"/>
      <c r="K22" s="4013"/>
      <c r="L22" s="4013"/>
      <c r="M22" s="4013"/>
      <c r="N22" s="4013"/>
      <c r="O22" s="4013"/>
      <c r="P22" s="4013"/>
      <c r="Q22" s="4013"/>
      <c r="R22" s="4013"/>
      <c r="S22" s="4013"/>
      <c r="T22" s="4013"/>
      <c r="U22" s="4013"/>
      <c r="V22" s="4013"/>
      <c r="W22" s="4013"/>
      <c r="X22" s="4013"/>
      <c r="Y22" s="4013"/>
      <c r="Z22" s="4013"/>
      <c r="AA22" s="4013"/>
      <c r="AB22" s="4013"/>
      <c r="AC22" s="4013"/>
      <c r="AD22" s="4013"/>
      <c r="AE22" s="4013"/>
      <c r="AF22" s="4013"/>
      <c r="AG22" s="4013"/>
      <c r="AH22" s="4013"/>
      <c r="AI22" s="4014"/>
      <c r="AJ22" s="1491"/>
      <c r="AK22" s="226"/>
      <c r="AL22" s="1491"/>
      <c r="AM22" s="1491"/>
      <c r="AN22" s="1491"/>
      <c r="AO22" s="1491"/>
      <c r="AP22" s="1491"/>
      <c r="AQ22" s="1491"/>
      <c r="AR22" s="1491"/>
      <c r="AS22" s="1491"/>
      <c r="AT22" s="1491"/>
      <c r="AU22" s="1491"/>
      <c r="AV22" s="1491"/>
      <c r="AW22" s="1491"/>
      <c r="AX22" s="1491"/>
      <c r="AY22" s="1491"/>
      <c r="AZ22" s="1491"/>
      <c r="BA22" s="1491"/>
      <c r="BB22" s="1491"/>
      <c r="BC22" s="1491"/>
      <c r="BD22" s="1491"/>
      <c r="BE22" s="1491"/>
      <c r="BF22" s="1491"/>
      <c r="BG22" s="1491"/>
      <c r="BH22" s="1491"/>
      <c r="BI22" s="1491"/>
      <c r="BJ22" s="1491"/>
      <c r="BK22" s="1491"/>
      <c r="BL22" s="1491"/>
    </row>
    <row r="23" spans="4:64" ht="14.25" customHeight="1">
      <c r="D23" s="4011" t="s">
        <v>88</v>
      </c>
      <c r="E23" s="4007" t="s">
        <v>283</v>
      </c>
      <c r="F23" s="4007" t="s">
        <v>286</v>
      </c>
      <c r="G23" s="4001" t="s">
        <v>55</v>
      </c>
      <c r="H23" s="1516"/>
      <c r="I23" s="4009"/>
      <c r="J23" s="3971"/>
      <c r="K23" s="1424"/>
      <c r="L23" s="3954"/>
      <c r="M23" s="3954"/>
      <c r="N23" s="1501"/>
      <c r="O23" s="3954"/>
      <c r="P23" s="3971"/>
      <c r="Q23" s="1502"/>
      <c r="R23" s="3954"/>
      <c r="S23" s="3954"/>
      <c r="T23" s="1503"/>
      <c r="U23" s="3954"/>
      <c r="V23" s="3971"/>
      <c r="W23" s="1504"/>
      <c r="X23" s="3954"/>
      <c r="Y23" s="3954"/>
      <c r="Z23" s="1501"/>
      <c r="AA23" s="3954"/>
      <c r="AB23" s="3971"/>
      <c r="AC23" s="1505"/>
      <c r="AD23" s="3954"/>
      <c r="AE23" s="3954"/>
      <c r="AF23" s="1423"/>
      <c r="AG23" s="1423"/>
      <c r="AH23" s="1506"/>
      <c r="AI23" s="1215"/>
      <c r="AJ23" s="1491"/>
      <c r="AK23" s="226" t="s">
        <v>96</v>
      </c>
    </row>
    <row r="24" spans="4:64" ht="14.25" customHeight="1">
      <c r="D24" s="4011"/>
      <c r="E24" s="4007"/>
      <c r="F24" s="4007"/>
      <c r="G24" s="4002"/>
      <c r="H24" s="1517"/>
      <c r="I24" s="4010"/>
      <c r="J24" s="3972"/>
      <c r="K24" s="1525"/>
      <c r="L24" s="3955"/>
      <c r="M24" s="3955"/>
      <c r="N24" s="1507"/>
      <c r="O24" s="3955"/>
      <c r="P24" s="3972"/>
      <c r="Q24" s="1508"/>
      <c r="R24" s="3955"/>
      <c r="S24" s="3955"/>
      <c r="T24" s="1509"/>
      <c r="U24" s="3955"/>
      <c r="V24" s="3972"/>
      <c r="W24" s="1510"/>
      <c r="X24" s="3955"/>
      <c r="Y24" s="3955"/>
      <c r="Z24" s="1507"/>
      <c r="AA24" s="3955"/>
      <c r="AB24" s="3972"/>
      <c r="AC24" s="1511"/>
      <c r="AD24" s="3955"/>
      <c r="AE24" s="3955"/>
      <c r="AF24" s="1512"/>
      <c r="AG24" s="1512"/>
      <c r="AH24" s="4005"/>
      <c r="AI24" s="4006"/>
      <c r="AJ24" s="1491"/>
    </row>
    <row r="25" spans="4:64" ht="14.25" customHeight="1">
      <c r="D25" s="4011"/>
      <c r="E25" s="4007"/>
      <c r="F25" s="4007"/>
      <c r="G25" s="4002"/>
      <c r="H25" s="1517"/>
      <c r="I25" s="4010"/>
      <c r="J25" s="3972"/>
      <c r="K25" s="1525"/>
      <c r="L25" s="3955"/>
      <c r="M25" s="3955"/>
      <c r="N25" s="1507"/>
      <c r="O25" s="3955"/>
      <c r="P25" s="3972"/>
      <c r="Q25" s="1508"/>
      <c r="R25" s="3955"/>
      <c r="S25" s="3955"/>
      <c r="T25" s="1509"/>
      <c r="U25" s="3955"/>
      <c r="V25" s="3972"/>
      <c r="W25" s="1510"/>
      <c r="X25" s="3955"/>
      <c r="Y25" s="3955"/>
      <c r="Z25" s="1422"/>
      <c r="AA25" s="1512"/>
      <c r="AB25" s="4005"/>
      <c r="AC25" s="4005"/>
      <c r="AD25" s="4005"/>
      <c r="AE25" s="4005"/>
      <c r="AF25" s="4005"/>
      <c r="AG25" s="4005"/>
      <c r="AH25" s="4005"/>
      <c r="AI25" s="4006"/>
      <c r="AJ25" s="1491"/>
    </row>
    <row r="26" spans="4:64" ht="14.25" customHeight="1">
      <c r="D26" s="4011"/>
      <c r="E26" s="4007"/>
      <c r="F26" s="4007"/>
      <c r="G26" s="4002"/>
      <c r="H26" s="1517"/>
      <c r="I26" s="4010"/>
      <c r="J26" s="3972"/>
      <c r="K26" s="1525"/>
      <c r="L26" s="3955"/>
      <c r="M26" s="3955"/>
      <c r="N26" s="1507"/>
      <c r="O26" s="3955"/>
      <c r="P26" s="3972"/>
      <c r="Q26" s="1508"/>
      <c r="R26" s="3955"/>
      <c r="S26" s="3955"/>
      <c r="T26" s="1513"/>
      <c r="U26" s="1514"/>
      <c r="V26" s="4005"/>
      <c r="W26" s="4005"/>
      <c r="X26" s="4005"/>
      <c r="Y26" s="4005"/>
      <c r="Z26" s="4005"/>
      <c r="AA26" s="4005"/>
      <c r="AB26" s="4005"/>
      <c r="AC26" s="4005"/>
      <c r="AD26" s="4005"/>
      <c r="AE26" s="4005"/>
      <c r="AF26" s="4005"/>
      <c r="AG26" s="4005"/>
      <c r="AH26" s="4005"/>
      <c r="AI26" s="4006"/>
      <c r="AJ26" s="1491"/>
    </row>
    <row r="27" spans="4:64" ht="11.25" customHeight="1">
      <c r="D27" s="4011"/>
      <c r="E27" s="4007"/>
      <c r="F27" s="4007"/>
      <c r="G27" s="4002"/>
      <c r="H27" s="1518"/>
      <c r="I27" s="4010"/>
      <c r="J27" s="3972"/>
      <c r="K27" s="1525"/>
      <c r="L27" s="3955"/>
      <c r="M27" s="3955"/>
      <c r="N27" s="1512"/>
      <c r="O27" s="1512"/>
      <c r="P27" s="4005"/>
      <c r="Q27" s="4005"/>
      <c r="R27" s="4005"/>
      <c r="S27" s="4005"/>
      <c r="T27" s="4005"/>
      <c r="U27" s="4005"/>
      <c r="V27" s="4005"/>
      <c r="W27" s="4005"/>
      <c r="X27" s="4005"/>
      <c r="Y27" s="4005"/>
      <c r="Z27" s="4005"/>
      <c r="AA27" s="4005"/>
      <c r="AB27" s="4005"/>
      <c r="AC27" s="4005"/>
      <c r="AD27" s="4005"/>
      <c r="AE27" s="4005"/>
      <c r="AF27" s="4005"/>
      <c r="AG27" s="4005"/>
      <c r="AH27" s="4005"/>
      <c r="AI27" s="4006"/>
      <c r="AJ27" s="1491"/>
    </row>
    <row r="28" spans="4:64" s="1917" customFormat="1" ht="11.25" customHeight="1">
      <c r="D28" s="4015"/>
      <c r="E28" s="4016"/>
      <c r="F28" s="4008"/>
      <c r="G28" s="3932"/>
      <c r="H28" s="1515"/>
      <c r="I28" s="1519"/>
      <c r="J28" s="4013"/>
      <c r="K28" s="4013"/>
      <c r="L28" s="4013"/>
      <c r="M28" s="4013"/>
      <c r="N28" s="4013"/>
      <c r="O28" s="4013"/>
      <c r="P28" s="4013"/>
      <c r="Q28" s="4013"/>
      <c r="R28" s="4013"/>
      <c r="S28" s="4013"/>
      <c r="T28" s="4013"/>
      <c r="U28" s="4013"/>
      <c r="V28" s="4013"/>
      <c r="W28" s="4013"/>
      <c r="X28" s="4013"/>
      <c r="Y28" s="4013"/>
      <c r="Z28" s="4013"/>
      <c r="AA28" s="4013"/>
      <c r="AB28" s="4013"/>
      <c r="AC28" s="4013"/>
      <c r="AD28" s="4013"/>
      <c r="AE28" s="4013"/>
      <c r="AF28" s="4013"/>
      <c r="AG28" s="4013"/>
      <c r="AH28" s="4013"/>
      <c r="AI28" s="4014"/>
      <c r="AJ28" s="1491"/>
      <c r="AK28" s="226"/>
      <c r="AL28" s="1491"/>
      <c r="AM28" s="1491"/>
      <c r="AN28" s="1491"/>
      <c r="AO28" s="1491"/>
      <c r="AP28" s="1491"/>
      <c r="AQ28" s="1491"/>
      <c r="AR28" s="1491"/>
      <c r="AS28" s="1491"/>
      <c r="AT28" s="1491"/>
      <c r="AU28" s="1491"/>
      <c r="AV28" s="1491"/>
      <c r="AW28" s="1491"/>
      <c r="AX28" s="1491"/>
      <c r="AY28" s="1491"/>
      <c r="AZ28" s="1491"/>
      <c r="BA28" s="1491"/>
      <c r="BB28" s="1491"/>
      <c r="BC28" s="1491"/>
      <c r="BD28" s="1491"/>
      <c r="BE28" s="1491"/>
      <c r="BF28" s="1491"/>
      <c r="BG28" s="1491"/>
      <c r="BH28" s="1491"/>
      <c r="BI28" s="1491"/>
      <c r="BJ28" s="1491"/>
      <c r="BK28" s="1491"/>
      <c r="BL28" s="1491"/>
    </row>
    <row r="29" spans="4:64" ht="14.25" customHeight="1">
      <c r="D29" s="4011" t="s">
        <v>89</v>
      </c>
      <c r="E29" s="4007" t="s">
        <v>283</v>
      </c>
      <c r="F29" s="4007" t="s">
        <v>287</v>
      </c>
      <c r="G29" s="4001" t="s">
        <v>55</v>
      </c>
      <c r="H29" s="1516"/>
      <c r="I29" s="4009"/>
      <c r="J29" s="3971"/>
      <c r="K29" s="1424"/>
      <c r="L29" s="3954"/>
      <c r="M29" s="3954"/>
      <c r="N29" s="1501"/>
      <c r="O29" s="3954"/>
      <c r="P29" s="3971"/>
      <c r="Q29" s="1502"/>
      <c r="R29" s="3954"/>
      <c r="S29" s="3954"/>
      <c r="T29" s="1503"/>
      <c r="U29" s="3954"/>
      <c r="V29" s="3971"/>
      <c r="W29" s="1504"/>
      <c r="X29" s="3954"/>
      <c r="Y29" s="3954"/>
      <c r="Z29" s="1501"/>
      <c r="AA29" s="3954"/>
      <c r="AB29" s="3971"/>
      <c r="AC29" s="1505"/>
      <c r="AD29" s="3954"/>
      <c r="AE29" s="3954"/>
      <c r="AF29" s="1423"/>
      <c r="AG29" s="1423"/>
      <c r="AH29" s="1506"/>
      <c r="AI29" s="1215"/>
      <c r="AJ29" s="1491"/>
    </row>
    <row r="30" spans="4:64" ht="14.25" customHeight="1">
      <c r="D30" s="4011"/>
      <c r="E30" s="4007"/>
      <c r="F30" s="4007"/>
      <c r="G30" s="4002"/>
      <c r="H30" s="1517"/>
      <c r="I30" s="4010"/>
      <c r="J30" s="3972"/>
      <c r="K30" s="1500"/>
      <c r="L30" s="3955"/>
      <c r="M30" s="3955"/>
      <c r="N30" s="1507"/>
      <c r="O30" s="3955"/>
      <c r="P30" s="3972"/>
      <c r="Q30" s="1508"/>
      <c r="R30" s="3955"/>
      <c r="S30" s="3955"/>
      <c r="T30" s="1509"/>
      <c r="U30" s="3955"/>
      <c r="V30" s="3972"/>
      <c r="W30" s="1510"/>
      <c r="X30" s="3955"/>
      <c r="Y30" s="3955"/>
      <c r="Z30" s="1507"/>
      <c r="AA30" s="3955"/>
      <c r="AB30" s="3972"/>
      <c r="AC30" s="1511"/>
      <c r="AD30" s="3955"/>
      <c r="AE30" s="3955"/>
      <c r="AF30" s="1512"/>
      <c r="AG30" s="1512"/>
      <c r="AH30" s="4005"/>
      <c r="AI30" s="4006"/>
      <c r="AJ30" s="1491"/>
    </row>
    <row r="31" spans="4:64" ht="14.25" customHeight="1">
      <c r="D31" s="4011"/>
      <c r="E31" s="4007"/>
      <c r="F31" s="4007"/>
      <c r="G31" s="4002"/>
      <c r="H31" s="1517"/>
      <c r="I31" s="4010"/>
      <c r="J31" s="3972"/>
      <c r="K31" s="1500"/>
      <c r="L31" s="3955"/>
      <c r="M31" s="3955"/>
      <c r="N31" s="1507"/>
      <c r="O31" s="3955"/>
      <c r="P31" s="3972"/>
      <c r="Q31" s="1508"/>
      <c r="R31" s="3955"/>
      <c r="S31" s="3955"/>
      <c r="T31" s="1509"/>
      <c r="U31" s="3955"/>
      <c r="V31" s="3972"/>
      <c r="W31" s="1510"/>
      <c r="X31" s="3955"/>
      <c r="Y31" s="3955"/>
      <c r="Z31" s="1422"/>
      <c r="AA31" s="1512"/>
      <c r="AB31" s="4005"/>
      <c r="AC31" s="4005"/>
      <c r="AD31" s="4005"/>
      <c r="AE31" s="4005"/>
      <c r="AF31" s="4005"/>
      <c r="AG31" s="4005"/>
      <c r="AH31" s="4005"/>
      <c r="AI31" s="4006"/>
      <c r="AJ31" s="1491"/>
    </row>
    <row r="32" spans="4:64" ht="14.25" customHeight="1">
      <c r="D32" s="4011"/>
      <c r="E32" s="4007"/>
      <c r="F32" s="4007"/>
      <c r="G32" s="4002"/>
      <c r="H32" s="1517"/>
      <c r="I32" s="4010"/>
      <c r="J32" s="3972"/>
      <c r="K32" s="1500"/>
      <c r="L32" s="3955"/>
      <c r="M32" s="3955"/>
      <c r="N32" s="1507"/>
      <c r="O32" s="3955"/>
      <c r="P32" s="3972"/>
      <c r="Q32" s="1508"/>
      <c r="R32" s="3955"/>
      <c r="S32" s="3955"/>
      <c r="T32" s="1513"/>
      <c r="U32" s="1514"/>
      <c r="V32" s="4005"/>
      <c r="W32" s="4005"/>
      <c r="X32" s="4005"/>
      <c r="Y32" s="4005"/>
      <c r="Z32" s="4005"/>
      <c r="AA32" s="4005"/>
      <c r="AB32" s="4005"/>
      <c r="AC32" s="4005"/>
      <c r="AD32" s="4005"/>
      <c r="AE32" s="4005"/>
      <c r="AF32" s="4005"/>
      <c r="AG32" s="4005"/>
      <c r="AH32" s="4005"/>
      <c r="AI32" s="4006"/>
      <c r="AJ32" s="1491"/>
    </row>
    <row r="33" spans="4:64" ht="11.25" customHeight="1">
      <c r="D33" s="4011"/>
      <c r="E33" s="4007"/>
      <c r="F33" s="4007"/>
      <c r="G33" s="4002"/>
      <c r="H33" s="1518"/>
      <c r="I33" s="4010"/>
      <c r="J33" s="3972"/>
      <c r="K33" s="1500"/>
      <c r="L33" s="3955"/>
      <c r="M33" s="3955"/>
      <c r="N33" s="1512"/>
      <c r="O33" s="1512"/>
      <c r="P33" s="4005"/>
      <c r="Q33" s="4005"/>
      <c r="R33" s="4005"/>
      <c r="S33" s="4005"/>
      <c r="T33" s="4005"/>
      <c r="U33" s="4005"/>
      <c r="V33" s="4005"/>
      <c r="W33" s="4005"/>
      <c r="X33" s="4005"/>
      <c r="Y33" s="4005"/>
      <c r="Z33" s="4005"/>
      <c r="AA33" s="4005"/>
      <c r="AB33" s="4005"/>
      <c r="AC33" s="4005"/>
      <c r="AD33" s="4005"/>
      <c r="AE33" s="4005"/>
      <c r="AF33" s="4005"/>
      <c r="AG33" s="4005"/>
      <c r="AH33" s="4005"/>
      <c r="AI33" s="4006"/>
      <c r="AJ33" s="1491"/>
    </row>
    <row r="34" spans="4:64" s="1917" customFormat="1" ht="11.25" customHeight="1">
      <c r="D34" s="4015"/>
      <c r="E34" s="4016"/>
      <c r="F34" s="4008"/>
      <c r="G34" s="3932"/>
      <c r="H34" s="1515"/>
      <c r="I34" s="1519"/>
      <c r="J34" s="4013"/>
      <c r="K34" s="4013"/>
      <c r="L34" s="4013"/>
      <c r="M34" s="4013"/>
      <c r="N34" s="4013"/>
      <c r="O34" s="4013"/>
      <c r="P34" s="4013"/>
      <c r="Q34" s="4013"/>
      <c r="R34" s="4013"/>
      <c r="S34" s="4013"/>
      <c r="T34" s="4013"/>
      <c r="U34" s="4013"/>
      <c r="V34" s="4013"/>
      <c r="W34" s="4013"/>
      <c r="X34" s="4013"/>
      <c r="Y34" s="4013"/>
      <c r="Z34" s="4013"/>
      <c r="AA34" s="4013"/>
      <c r="AB34" s="4013"/>
      <c r="AC34" s="4013"/>
      <c r="AD34" s="4013"/>
      <c r="AE34" s="4013"/>
      <c r="AF34" s="4013"/>
      <c r="AG34" s="4013"/>
      <c r="AH34" s="4013"/>
      <c r="AI34" s="4014"/>
      <c r="AJ34" s="1491"/>
      <c r="AK34" s="226"/>
      <c r="AL34" s="1491"/>
      <c r="AM34" s="1491"/>
      <c r="AN34" s="1491"/>
      <c r="AO34" s="1491"/>
      <c r="AP34" s="1491"/>
      <c r="AQ34" s="1491"/>
      <c r="AR34" s="1491"/>
      <c r="AS34" s="1491"/>
      <c r="AT34" s="1491"/>
      <c r="AU34" s="1491"/>
      <c r="AV34" s="1491"/>
      <c r="AW34" s="1491"/>
      <c r="AX34" s="1491"/>
      <c r="AY34" s="1491"/>
      <c r="AZ34" s="1491"/>
      <c r="BA34" s="1491"/>
      <c r="BB34" s="1491"/>
      <c r="BC34" s="1491"/>
      <c r="BD34" s="1491"/>
      <c r="BE34" s="1491"/>
      <c r="BF34" s="1491"/>
      <c r="BG34" s="1491"/>
      <c r="BH34" s="1491"/>
      <c r="BI34" s="1491"/>
      <c r="BJ34" s="1491"/>
      <c r="BK34" s="1491"/>
      <c r="BL34" s="1491"/>
    </row>
    <row r="35" spans="4:64" ht="14.25" customHeight="1">
      <c r="D35" s="4011" t="s">
        <v>109</v>
      </c>
      <c r="E35" s="4007" t="s">
        <v>283</v>
      </c>
      <c r="F35" s="4007" t="s">
        <v>288</v>
      </c>
      <c r="G35" s="4001" t="s">
        <v>55</v>
      </c>
      <c r="H35" s="1516"/>
      <c r="I35" s="4009"/>
      <c r="J35" s="3971"/>
      <c r="K35" s="1424"/>
      <c r="L35" s="3954"/>
      <c r="M35" s="3954"/>
      <c r="N35" s="1501"/>
      <c r="O35" s="3954"/>
      <c r="P35" s="3971"/>
      <c r="Q35" s="1502"/>
      <c r="R35" s="3954"/>
      <c r="S35" s="3954"/>
      <c r="T35" s="1503"/>
      <c r="U35" s="3954"/>
      <c r="V35" s="3971"/>
      <c r="W35" s="1504"/>
      <c r="X35" s="3954"/>
      <c r="Y35" s="3954"/>
      <c r="Z35" s="1501"/>
      <c r="AA35" s="3954"/>
      <c r="AB35" s="3971"/>
      <c r="AC35" s="1505"/>
      <c r="AD35" s="3954"/>
      <c r="AE35" s="3954"/>
      <c r="AF35" s="1423"/>
      <c r="AG35" s="1423"/>
      <c r="AH35" s="1506"/>
      <c r="AI35" s="1215"/>
      <c r="AJ35" s="1491"/>
    </row>
    <row r="36" spans="4:64" ht="14.25" customHeight="1">
      <c r="D36" s="4011"/>
      <c r="E36" s="4007"/>
      <c r="F36" s="4007"/>
      <c r="G36" s="4002"/>
      <c r="H36" s="1517"/>
      <c r="I36" s="4010"/>
      <c r="J36" s="3972"/>
      <c r="K36" s="1500"/>
      <c r="L36" s="3955"/>
      <c r="M36" s="3955"/>
      <c r="N36" s="1507"/>
      <c r="O36" s="3955"/>
      <c r="P36" s="3972"/>
      <c r="Q36" s="1508"/>
      <c r="R36" s="3955"/>
      <c r="S36" s="3955"/>
      <c r="T36" s="1509"/>
      <c r="U36" s="3955"/>
      <c r="V36" s="3972"/>
      <c r="W36" s="1510"/>
      <c r="X36" s="3955"/>
      <c r="Y36" s="3955"/>
      <c r="Z36" s="1507"/>
      <c r="AA36" s="3955"/>
      <c r="AB36" s="3972"/>
      <c r="AC36" s="1511"/>
      <c r="AD36" s="3955"/>
      <c r="AE36" s="3955"/>
      <c r="AF36" s="1512"/>
      <c r="AG36" s="1512"/>
      <c r="AH36" s="4005"/>
      <c r="AI36" s="4006"/>
      <c r="AJ36" s="1491"/>
    </row>
    <row r="37" spans="4:64" ht="14.25" customHeight="1">
      <c r="D37" s="4011"/>
      <c r="E37" s="4007"/>
      <c r="F37" s="4007"/>
      <c r="G37" s="4002"/>
      <c r="H37" s="1517"/>
      <c r="I37" s="4010"/>
      <c r="J37" s="3972"/>
      <c r="K37" s="1500"/>
      <c r="L37" s="3955"/>
      <c r="M37" s="3955"/>
      <c r="N37" s="1507"/>
      <c r="O37" s="3955"/>
      <c r="P37" s="3972"/>
      <c r="Q37" s="1508"/>
      <c r="R37" s="3955"/>
      <c r="S37" s="3955"/>
      <c r="T37" s="1509"/>
      <c r="U37" s="3955"/>
      <c r="V37" s="3972"/>
      <c r="W37" s="1510"/>
      <c r="X37" s="3955"/>
      <c r="Y37" s="3955"/>
      <c r="Z37" s="1422"/>
      <c r="AA37" s="1512"/>
      <c r="AB37" s="4005"/>
      <c r="AC37" s="4005"/>
      <c r="AD37" s="4005"/>
      <c r="AE37" s="4005"/>
      <c r="AF37" s="4005"/>
      <c r="AG37" s="4005"/>
      <c r="AH37" s="4005"/>
      <c r="AI37" s="4006"/>
      <c r="AJ37" s="1491"/>
    </row>
    <row r="38" spans="4:64" ht="14.25" customHeight="1">
      <c r="D38" s="4011"/>
      <c r="E38" s="4007"/>
      <c r="F38" s="4007"/>
      <c r="G38" s="4002"/>
      <c r="H38" s="1517"/>
      <c r="I38" s="4010"/>
      <c r="J38" s="3972"/>
      <c r="K38" s="1500"/>
      <c r="L38" s="3955"/>
      <c r="M38" s="3955"/>
      <c r="N38" s="1507"/>
      <c r="O38" s="3955"/>
      <c r="P38" s="3972"/>
      <c r="Q38" s="1508"/>
      <c r="R38" s="3955"/>
      <c r="S38" s="3955"/>
      <c r="T38" s="1513"/>
      <c r="U38" s="1514"/>
      <c r="V38" s="4005"/>
      <c r="W38" s="4005"/>
      <c r="X38" s="4005"/>
      <c r="Y38" s="4005"/>
      <c r="Z38" s="4005"/>
      <c r="AA38" s="4005"/>
      <c r="AB38" s="4005"/>
      <c r="AC38" s="4005"/>
      <c r="AD38" s="4005"/>
      <c r="AE38" s="4005"/>
      <c r="AF38" s="4005"/>
      <c r="AG38" s="4005"/>
      <c r="AH38" s="4005"/>
      <c r="AI38" s="4006"/>
      <c r="AJ38" s="1491"/>
    </row>
    <row r="39" spans="4:64" ht="11.25" customHeight="1">
      <c r="D39" s="4011"/>
      <c r="E39" s="4007"/>
      <c r="F39" s="4007"/>
      <c r="G39" s="4002"/>
      <c r="H39" s="1518"/>
      <c r="I39" s="4010"/>
      <c r="J39" s="3972"/>
      <c r="K39" s="1500"/>
      <c r="L39" s="3955"/>
      <c r="M39" s="3955"/>
      <c r="N39" s="1512"/>
      <c r="O39" s="1512"/>
      <c r="P39" s="4005"/>
      <c r="Q39" s="4005"/>
      <c r="R39" s="4005"/>
      <c r="S39" s="4005"/>
      <c r="T39" s="4005"/>
      <c r="U39" s="4005"/>
      <c r="V39" s="4005"/>
      <c r="W39" s="4005"/>
      <c r="X39" s="4005"/>
      <c r="Y39" s="4005"/>
      <c r="Z39" s="4005"/>
      <c r="AA39" s="4005"/>
      <c r="AB39" s="4005"/>
      <c r="AC39" s="4005"/>
      <c r="AD39" s="4005"/>
      <c r="AE39" s="4005"/>
      <c r="AF39" s="4005"/>
      <c r="AG39" s="4005"/>
      <c r="AH39" s="4005"/>
      <c r="AI39" s="4006"/>
      <c r="AJ39" s="1491"/>
    </row>
    <row r="40" spans="4:64" s="1917" customFormat="1" ht="11.25" customHeight="1">
      <c r="D40" s="4011"/>
      <c r="E40" s="4007"/>
      <c r="F40" s="4012"/>
      <c r="G40" s="3932"/>
      <c r="H40" s="1515"/>
      <c r="I40" s="1519"/>
      <c r="J40" s="4013"/>
      <c r="K40" s="4013"/>
      <c r="L40" s="4013"/>
      <c r="M40" s="4013"/>
      <c r="N40" s="4013"/>
      <c r="O40" s="4013"/>
      <c r="P40" s="4013"/>
      <c r="Q40" s="4013"/>
      <c r="R40" s="4013"/>
      <c r="S40" s="4013"/>
      <c r="T40" s="4013"/>
      <c r="U40" s="4013"/>
      <c r="V40" s="4013"/>
      <c r="W40" s="4013"/>
      <c r="X40" s="4013"/>
      <c r="Y40" s="4013"/>
      <c r="Z40" s="4013"/>
      <c r="AA40" s="4013"/>
      <c r="AB40" s="4013"/>
      <c r="AC40" s="4013"/>
      <c r="AD40" s="4013"/>
      <c r="AE40" s="4013"/>
      <c r="AF40" s="4013"/>
      <c r="AG40" s="4013"/>
      <c r="AH40" s="4013"/>
      <c r="AI40" s="4014"/>
      <c r="AJ40" s="1491"/>
      <c r="AK40" s="226"/>
      <c r="AL40" s="1491"/>
      <c r="AM40" s="1491"/>
      <c r="AN40" s="1491"/>
      <c r="AO40" s="1491"/>
      <c r="AP40" s="1491"/>
      <c r="AQ40" s="1491"/>
      <c r="AR40" s="1491"/>
      <c r="AS40" s="1491"/>
      <c r="AT40" s="1491"/>
      <c r="AU40" s="1491"/>
      <c r="AV40" s="1491"/>
      <c r="AW40" s="1491"/>
      <c r="AX40" s="1491"/>
      <c r="AY40" s="1491"/>
      <c r="AZ40" s="1491"/>
      <c r="BA40" s="1491"/>
      <c r="BB40" s="1491"/>
      <c r="BC40" s="1491"/>
      <c r="BD40" s="1491"/>
      <c r="BE40" s="1491"/>
      <c r="BF40" s="1491"/>
      <c r="BG40" s="1491"/>
      <c r="BH40" s="1491"/>
      <c r="BI40" s="1491"/>
      <c r="BJ40" s="1491"/>
      <c r="BK40" s="1491"/>
      <c r="BL40" s="1491"/>
    </row>
    <row r="41" spans="4:64" ht="11.25" customHeight="1">
      <c r="AK41" s="356"/>
    </row>
    <row r="42" spans="4:64" ht="11.25" customHeight="1">
      <c r="AK42" s="356"/>
    </row>
    <row r="43" spans="4:64" ht="11.25" customHeight="1">
      <c r="AK43" s="356"/>
    </row>
    <row r="44" spans="4:64" ht="11.25" customHeight="1">
      <c r="AK44" s="356"/>
    </row>
    <row r="45" spans="4:64" ht="11.25" customHeight="1">
      <c r="AK45" s="356"/>
    </row>
    <row r="46" spans="4:64" ht="11.25" customHeight="1">
      <c r="AK46" s="356"/>
    </row>
    <row r="47" spans="4:64" ht="11.25" customHeight="1">
      <c r="AK47" s="356"/>
    </row>
    <row r="48" spans="4:64" ht="11.25" customHeight="1">
      <c r="AK48" s="356"/>
    </row>
    <row r="49" spans="37:37" ht="11.25" customHeight="1">
      <c r="AK49" s="356"/>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924" hidden="1" customWidth="1"/>
    <col min="2" max="2" width="15" style="1926" hidden="1" customWidth="1"/>
    <col min="3" max="3" width="3.7109375" style="1928" customWidth="1"/>
    <col min="4" max="4" width="6.85546875" style="1929" customWidth="1"/>
    <col min="5" max="5" width="52.28515625" style="1928" customWidth="1"/>
    <col min="6" max="6" width="48.85546875" style="1928" customWidth="1"/>
    <col min="7" max="7" width="121.7109375" style="1928" customWidth="1"/>
    <col min="8" max="8" width="9.140625" style="1928"/>
    <col min="9" max="9" width="65" style="1928" customWidth="1"/>
  </cols>
  <sheetData>
    <row r="1" spans="1:9" ht="11.25" hidden="1" customHeight="1">
      <c r="A1" s="1597" t="s">
        <v>289</v>
      </c>
    </row>
    <row r="2" spans="1:9" ht="11.25" hidden="1" customHeight="1"/>
    <row r="3" spans="1:9" s="1925" customFormat="1" ht="11.25" customHeight="1">
      <c r="A3" s="1597"/>
      <c r="B3" s="427"/>
      <c r="D3" s="404"/>
    </row>
    <row r="4" spans="1:9" ht="25.5" customHeight="1">
      <c r="D4" s="397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3979"/>
      <c r="F4" s="3980"/>
      <c r="I4" s="634"/>
    </row>
    <row r="5" spans="1:9" ht="17.25" customHeight="1">
      <c r="D5" s="4004" t="str">
        <f>IF(org=0,"Не определено",org)</f>
        <v>ООО «РИР-Сахалин»</v>
      </c>
      <c r="E5" s="4004"/>
      <c r="F5" s="4004"/>
      <c r="I5" s="634"/>
    </row>
    <row r="6" spans="1:9" s="1925" customFormat="1" ht="11.25" customHeight="1">
      <c r="A6" s="1597"/>
      <c r="B6" s="427"/>
      <c r="D6" s="633"/>
      <c r="E6" s="633"/>
      <c r="F6" s="669"/>
      <c r="G6" s="633"/>
    </row>
    <row r="7" spans="1:9" ht="11.25" hidden="1" customHeight="1">
      <c r="A7" s="385"/>
      <c r="B7" s="428"/>
      <c r="C7" s="385"/>
      <c r="D7" s="390"/>
      <c r="E7" s="4031"/>
      <c r="F7" s="4031"/>
    </row>
    <row r="8" spans="1:9" ht="11.25" customHeight="1">
      <c r="A8" s="385"/>
      <c r="B8" s="428"/>
      <c r="C8" s="385"/>
      <c r="D8" s="4027" t="s">
        <v>290</v>
      </c>
      <c r="E8" s="4028"/>
      <c r="F8" s="4028"/>
      <c r="G8" s="4032" t="s">
        <v>291</v>
      </c>
    </row>
    <row r="9" spans="1:9" ht="11.25" customHeight="1">
      <c r="A9" s="385"/>
      <c r="B9" s="428"/>
      <c r="C9" s="385"/>
      <c r="D9" s="399" t="s">
        <v>86</v>
      </c>
      <c r="E9" s="378" t="s">
        <v>292</v>
      </c>
      <c r="F9" s="378" t="s">
        <v>293</v>
      </c>
      <c r="G9" s="4033"/>
    </row>
    <row r="10" spans="1:9" ht="12" hidden="1" customHeight="1">
      <c r="A10" s="385"/>
      <c r="B10" s="428"/>
      <c r="C10" s="385"/>
      <c r="D10" s="391"/>
      <c r="E10" s="391"/>
      <c r="F10" s="391"/>
      <c r="G10" s="391"/>
    </row>
    <row r="11" spans="1:9" ht="22.5" hidden="1" customHeight="1">
      <c r="A11" s="385"/>
      <c r="B11" s="428"/>
      <c r="C11" s="385"/>
      <c r="D11" s="916" t="s">
        <v>107</v>
      </c>
      <c r="E11" s="919" t="s">
        <v>294</v>
      </c>
      <c r="F11" s="918" t="str">
        <f>IF(region_name="","",region_name)</f>
        <v>Сахалинская область</v>
      </c>
      <c r="G11" s="919" t="s">
        <v>295</v>
      </c>
      <c r="H11" s="402"/>
    </row>
    <row r="12" spans="1:9" ht="22.5" hidden="1" customHeight="1">
      <c r="A12" s="385"/>
      <c r="B12" s="428"/>
      <c r="C12" s="385"/>
      <c r="D12" s="377" t="s">
        <v>107</v>
      </c>
      <c r="E12" s="37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5" t="s">
        <v>296</v>
      </c>
      <c r="G12" s="401"/>
      <c r="H12" s="402"/>
    </row>
    <row r="13" spans="1:9" ht="22.5" customHeight="1">
      <c r="A13" s="385"/>
      <c r="B13" s="428"/>
      <c r="C13" s="385"/>
      <c r="D13" s="377" t="s">
        <v>107</v>
      </c>
      <c r="E13" s="374" t="str">
        <f>"Наименование юридического лица"&amp;IF(TEMPLATE_SPHERE="TKO"," (индивидуального предпринимателя)","")</f>
        <v>Наименование юридического лица</v>
      </c>
      <c r="F13" s="373"/>
      <c r="G13" s="37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2"/>
    </row>
    <row r="14" spans="1:9" ht="22.5" hidden="1" customHeight="1">
      <c r="A14" s="385"/>
      <c r="B14" s="428"/>
      <c r="C14" s="385"/>
      <c r="D14" s="916" t="s">
        <v>297</v>
      </c>
      <c r="E14" s="917" t="s">
        <v>298</v>
      </c>
      <c r="F14" s="918" t="str">
        <f>IF(inn="","",inn)</f>
        <v>4726004059</v>
      </c>
      <c r="G14" s="919" t="s">
        <v>299</v>
      </c>
      <c r="H14" s="402"/>
    </row>
    <row r="15" spans="1:9" ht="22.5" hidden="1" customHeight="1">
      <c r="A15" s="385"/>
      <c r="B15" s="428"/>
      <c r="C15" s="385"/>
      <c r="D15" s="916" t="s">
        <v>300</v>
      </c>
      <c r="E15" s="917" t="s">
        <v>301</v>
      </c>
      <c r="F15" s="918" t="str">
        <f>IF(kpp="","",kpp)</f>
        <v>650101001</v>
      </c>
      <c r="G15" s="919" t="s">
        <v>302</v>
      </c>
      <c r="H15" s="402"/>
    </row>
    <row r="16" spans="1:9" ht="36.75" customHeight="1">
      <c r="A16" s="385"/>
      <c r="B16" s="428"/>
      <c r="C16" s="385"/>
      <c r="D16" s="377" t="s">
        <v>108</v>
      </c>
      <c r="E16" s="37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3"/>
      <c r="G16" s="37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2"/>
    </row>
    <row r="17" spans="1:9" ht="22.5" customHeight="1">
      <c r="A17" s="385"/>
      <c r="B17" s="428"/>
      <c r="C17" s="385"/>
      <c r="D17" s="377" t="s">
        <v>88</v>
      </c>
      <c r="E17" s="374" t="str">
        <f>"Дата присвоения ОГРН"&amp;IF(TEMPLATE_SPHERE="TKO",""," (ОГРНИП)")</f>
        <v>Дата присвоения ОГРН (ОГРНИП)</v>
      </c>
      <c r="F17" s="1642" t="s">
        <v>24</v>
      </c>
      <c r="G17" s="376" t="str">
        <f>"Дата присвоения ОГРН"&amp;IF(TEMPLATE_SPHERE="TKO",""," (ОГРНИП)")&amp;" указывается в виде «ДД.ММ.ГГГГ»."</f>
        <v>Дата присвоения ОГРН (ОГРНИП) указывается в виде «ДД.ММ.ГГГГ».</v>
      </c>
      <c r="H17" s="402"/>
    </row>
    <row r="18" spans="1:9" ht="56.25" customHeight="1">
      <c r="A18" s="385"/>
      <c r="B18" s="428"/>
      <c r="C18" s="385"/>
      <c r="D18" s="377" t="s">
        <v>89</v>
      </c>
      <c r="E18" s="37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3"/>
      <c r="G18" s="401"/>
      <c r="H18" s="402"/>
    </row>
    <row r="19" spans="1:9" ht="22.5" hidden="1" customHeight="1">
      <c r="A19" s="4029">
        <v>1</v>
      </c>
      <c r="B19" s="428"/>
      <c r="C19" s="4034"/>
      <c r="D19" s="372">
        <v>5</v>
      </c>
      <c r="E19" s="374" t="s">
        <v>303</v>
      </c>
      <c r="F19" s="375" t="s">
        <v>296</v>
      </c>
      <c r="G19" s="376" t="s">
        <v>304</v>
      </c>
      <c r="H19" s="402"/>
      <c r="I19" s="765"/>
    </row>
    <row r="20" spans="1:9" ht="33.75" hidden="1" customHeight="1">
      <c r="A20" s="4029"/>
      <c r="B20" s="428"/>
      <c r="C20" s="4034"/>
      <c r="D20" s="377" t="s">
        <v>305</v>
      </c>
      <c r="E20" s="371" t="s">
        <v>306</v>
      </c>
      <c r="F20" s="794" t="s">
        <v>24</v>
      </c>
      <c r="G20" s="401"/>
      <c r="H20" s="402"/>
      <c r="I20" s="765"/>
    </row>
    <row r="21" spans="1:9" ht="22.5" hidden="1" customHeight="1">
      <c r="A21" s="4029"/>
      <c r="B21" s="428"/>
      <c r="C21" s="4034"/>
      <c r="D21" s="377" t="s">
        <v>307</v>
      </c>
      <c r="E21" s="371" t="s">
        <v>308</v>
      </c>
      <c r="F21" s="1643" t="s">
        <v>24</v>
      </c>
      <c r="G21" s="376" t="s">
        <v>309</v>
      </c>
      <c r="H21" s="402"/>
      <c r="I21" s="765"/>
    </row>
    <row r="22" spans="1:9" ht="22.5" hidden="1" customHeight="1">
      <c r="A22" s="4029"/>
      <c r="B22" s="428"/>
      <c r="C22" s="4034"/>
      <c r="D22" s="377" t="s">
        <v>310</v>
      </c>
      <c r="E22" s="371" t="s">
        <v>311</v>
      </c>
      <c r="F22" s="794" t="s">
        <v>24</v>
      </c>
      <c r="G22" s="401"/>
      <c r="H22" s="402"/>
      <c r="I22" s="765"/>
    </row>
    <row r="23" spans="1:9" ht="22.5" hidden="1" customHeight="1">
      <c r="A23" s="4029"/>
      <c r="B23" s="428"/>
      <c r="C23" s="4034"/>
      <c r="D23" s="377" t="s">
        <v>312</v>
      </c>
      <c r="E23" s="371" t="s">
        <v>313</v>
      </c>
      <c r="F23" s="794" t="s">
        <v>24</v>
      </c>
      <c r="G23" s="376" t="s">
        <v>314</v>
      </c>
      <c r="H23" s="402"/>
      <c r="I23" s="765"/>
    </row>
    <row r="24" spans="1:9" s="1926" customFormat="1" ht="24.75" hidden="1" customHeight="1">
      <c r="A24" s="385"/>
      <c r="B24" s="428"/>
      <c r="C24" s="428"/>
      <c r="D24" s="913" t="s">
        <v>88</v>
      </c>
      <c r="E24" s="915" t="s">
        <v>315</v>
      </c>
      <c r="F24" s="920" t="s">
        <v>296</v>
      </c>
      <c r="G24" s="915"/>
    </row>
    <row r="25" spans="1:9" s="1926" customFormat="1" ht="11.25" hidden="1" customHeight="1">
      <c r="A25" s="385"/>
      <c r="B25" s="428"/>
      <c r="C25" s="428"/>
      <c r="D25" s="913" t="s">
        <v>316</v>
      </c>
      <c r="E25" s="914" t="s">
        <v>317</v>
      </c>
      <c r="F25" s="920" t="s">
        <v>296</v>
      </c>
      <c r="G25" s="915"/>
    </row>
    <row r="26" spans="1:9" s="1926" customFormat="1" ht="11.25" hidden="1" customHeight="1">
      <c r="A26" s="385"/>
      <c r="B26" s="428"/>
      <c r="C26" s="428"/>
      <c r="D26" s="913" t="s">
        <v>318</v>
      </c>
      <c r="E26" s="921" t="s">
        <v>319</v>
      </c>
      <c r="F26" s="922"/>
      <c r="G26" s="9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926" customFormat="1" ht="11.25" hidden="1" customHeight="1">
      <c r="A27" s="385"/>
      <c r="B27" s="428"/>
      <c r="C27" s="428"/>
      <c r="D27" s="913" t="s">
        <v>320</v>
      </c>
      <c r="E27" s="921" t="s">
        <v>321</v>
      </c>
      <c r="F27" s="922"/>
      <c r="G27" s="9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926" customFormat="1" ht="11.25" hidden="1" customHeight="1">
      <c r="A28" s="385"/>
      <c r="B28" s="428"/>
      <c r="C28" s="428"/>
      <c r="D28" s="913" t="s">
        <v>322</v>
      </c>
      <c r="E28" s="921" t="s">
        <v>323</v>
      </c>
      <c r="F28" s="922"/>
      <c r="G28" s="9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926" customFormat="1" ht="11.25" hidden="1" customHeight="1">
      <c r="A29" s="385"/>
      <c r="B29" s="428"/>
      <c r="C29" s="428"/>
      <c r="D29" s="913" t="s">
        <v>324</v>
      </c>
      <c r="E29" s="914" t="s">
        <v>325</v>
      </c>
      <c r="F29" s="922"/>
      <c r="G29" s="915"/>
    </row>
    <row r="30" spans="1:9" s="1926" customFormat="1" ht="11.25" hidden="1" customHeight="1">
      <c r="A30" s="385"/>
      <c r="B30" s="428"/>
      <c r="C30" s="428"/>
      <c r="D30" s="913" t="s">
        <v>326</v>
      </c>
      <c r="E30" s="914" t="s">
        <v>327</v>
      </c>
      <c r="F30" s="922"/>
      <c r="G30" s="915"/>
    </row>
    <row r="31" spans="1:9" s="1926" customFormat="1" ht="11.25" hidden="1" customHeight="1">
      <c r="A31" s="385"/>
      <c r="B31" s="428"/>
      <c r="C31" s="428"/>
      <c r="D31" s="913" t="s">
        <v>328</v>
      </c>
      <c r="E31" s="914" t="s">
        <v>329</v>
      </c>
      <c r="F31" s="923"/>
      <c r="G31" s="915"/>
    </row>
    <row r="32" spans="1:9" ht="22.5" customHeight="1">
      <c r="A32" s="385" t="str">
        <f>IF(TEMPLATE_SPHERE="HEAT","6","5")</f>
        <v>6</v>
      </c>
      <c r="B32" s="428"/>
      <c r="C32" s="385"/>
      <c r="D32" s="372" t="str">
        <f>A32</f>
        <v>6</v>
      </c>
      <c r="E32" s="37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75" t="s">
        <v>296</v>
      </c>
      <c r="G32" s="401"/>
      <c r="H32" s="402"/>
    </row>
    <row r="33" spans="1:8" ht="22.5" customHeight="1">
      <c r="A33" s="385"/>
      <c r="B33" s="428"/>
      <c r="C33" s="385"/>
      <c r="D33" s="372" t="str">
        <f>D32&amp;".1"</f>
        <v>6.1</v>
      </c>
      <c r="E33" s="374" t="str">
        <f>"фамилия"&amp;IF(TEMPLATE_SPHERE&lt;&gt;"HEAT"," руководителя","")</f>
        <v>фамилия</v>
      </c>
      <c r="F33" s="373"/>
      <c r="G33" s="37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02"/>
    </row>
    <row r="34" spans="1:8" ht="22.5" customHeight="1">
      <c r="A34" s="385"/>
      <c r="B34" s="428"/>
      <c r="C34" s="385"/>
      <c r="D34" s="372" t="str">
        <f>D32&amp;".2"</f>
        <v>6.2</v>
      </c>
      <c r="E34" s="374" t="str">
        <f>"имя"&amp;IF(TEMPLATE_SPHERE&lt;&gt;"HEAT"," руководителя","")</f>
        <v>имя</v>
      </c>
      <c r="F34" s="373"/>
      <c r="G34" s="37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02"/>
    </row>
    <row r="35" spans="1:8" ht="22.5" customHeight="1">
      <c r="A35" s="385"/>
      <c r="B35" s="428"/>
      <c r="C35" s="385"/>
      <c r="D35" s="372" t="str">
        <f>D32&amp;".3"</f>
        <v>6.3</v>
      </c>
      <c r="E35" s="374" t="str">
        <f>"отчество"&amp;IF(TEMPLATE_SPHERE&lt;&gt;"HEAT"," руководителя","")</f>
        <v>отчество</v>
      </c>
      <c r="F35" s="618"/>
      <c r="G35" s="37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02"/>
    </row>
    <row r="36" spans="1:8" ht="33.75" customHeight="1">
      <c r="A36" s="385"/>
      <c r="B36" s="428"/>
      <c r="C36" s="385"/>
      <c r="D36" s="372">
        <f>D32+1</f>
        <v>7</v>
      </c>
      <c r="E36" s="37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3"/>
      <c r="G36" s="376" t="s">
        <v>330</v>
      </c>
      <c r="H36" s="402"/>
    </row>
    <row r="37" spans="1:8" ht="33.75" customHeight="1">
      <c r="A37" s="385"/>
      <c r="B37" s="428"/>
      <c r="C37" s="385"/>
      <c r="D37" s="372">
        <f>D36+1</f>
        <v>8</v>
      </c>
      <c r="E37" s="37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3"/>
      <c r="G37" s="376" t="s">
        <v>330</v>
      </c>
      <c r="H37" s="402"/>
    </row>
    <row r="38" spans="1:8" ht="22.5" customHeight="1">
      <c r="A38" s="385"/>
      <c r="B38" s="428"/>
      <c r="C38" s="385"/>
      <c r="D38" s="372">
        <f>D37+1</f>
        <v>9</v>
      </c>
      <c r="E38" s="36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75" t="s">
        <v>296</v>
      </c>
      <c r="G38" s="403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2"/>
    </row>
    <row r="39" spans="1:8" ht="22.5" hidden="1" customHeight="1">
      <c r="A39" s="385"/>
      <c r="B39" s="428"/>
      <c r="C39" s="385"/>
      <c r="D39" s="372" t="str">
        <f>D38&amp;".0"</f>
        <v>9.0</v>
      </c>
      <c r="E39" s="1522"/>
      <c r="F39" s="794"/>
      <c r="G39" s="4036"/>
      <c r="H39" s="402"/>
    </row>
    <row r="40" spans="1:8" ht="22.5" customHeight="1">
      <c r="A40" s="385"/>
      <c r="B40" s="385"/>
      <c r="C40" s="1599"/>
      <c r="D40" s="372" t="str">
        <f>D38&amp;".1"</f>
        <v>9.1</v>
      </c>
      <c r="E40" s="773"/>
      <c r="F40" s="774"/>
      <c r="G40" s="4036"/>
      <c r="H40" s="402"/>
    </row>
    <row r="41" spans="1:8" ht="15" customHeight="1">
      <c r="A41" s="385"/>
      <c r="B41" s="428"/>
      <c r="C41" s="385"/>
      <c r="D41" s="394"/>
      <c r="E41" s="349" t="s">
        <v>331</v>
      </c>
      <c r="F41" s="396"/>
      <c r="G41" s="4037"/>
      <c r="H41" s="403"/>
    </row>
    <row r="42" spans="1:8" ht="25.5" customHeight="1">
      <c r="A42" s="385"/>
      <c r="B42" s="428"/>
      <c r="C42" s="385"/>
      <c r="D42" s="372">
        <f>D38+1</f>
        <v>10</v>
      </c>
      <c r="E42" s="37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5"/>
      <c r="G42" s="37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2"/>
    </row>
    <row r="43" spans="1:8" ht="22.5" customHeight="1">
      <c r="A43" s="385"/>
      <c r="B43" s="428"/>
      <c r="C43" s="385"/>
      <c r="D43" s="372">
        <f>D42+1</f>
        <v>11</v>
      </c>
      <c r="E43" s="37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9"/>
      <c r="G43" s="401" t="s">
        <v>332</v>
      </c>
      <c r="H43" s="402"/>
    </row>
    <row r="44" spans="1:8" ht="22.5" customHeight="1">
      <c r="A44" s="385"/>
      <c r="B44" s="428"/>
      <c r="C44" s="385"/>
      <c r="D44" s="372">
        <f>D43+1</f>
        <v>12</v>
      </c>
      <c r="E44" s="370" t="s">
        <v>333</v>
      </c>
      <c r="F44" s="375" t="s">
        <v>296</v>
      </c>
      <c r="G44" s="369" t="str">
        <f>IF(TEMPLATE_SPHERE="TKO","Указывается режим работы организации.","")</f>
        <v/>
      </c>
      <c r="H44" s="402"/>
    </row>
    <row r="45" spans="1:8" ht="22.5" customHeight="1">
      <c r="A45" s="385"/>
      <c r="B45" s="428"/>
      <c r="C45" s="385"/>
      <c r="D45" s="372" t="str">
        <f>D44&amp;".1"</f>
        <v>12.1</v>
      </c>
      <c r="E45" s="374" t="str">
        <f>"режим работы регулируемой организации"&amp;IF(TEMPLATE_SPHERE="HEAT",", ЕТО, ТО","")</f>
        <v>режим работы регулируемой организации, ЕТО, ТО</v>
      </c>
      <c r="F45" s="1595"/>
      <c r="G45" s="369" t="s">
        <v>334</v>
      </c>
      <c r="H45" s="402"/>
    </row>
    <row r="46" spans="1:8" ht="22.5" customHeight="1">
      <c r="A46" s="4025"/>
      <c r="B46" s="428"/>
      <c r="C46" s="418"/>
      <c r="D46" s="372" t="str">
        <f>D44&amp;".2"</f>
        <v>12.2</v>
      </c>
      <c r="E46" s="374" t="s">
        <v>335</v>
      </c>
      <c r="F46" s="416"/>
      <c r="G46" s="369" t="s">
        <v>336</v>
      </c>
      <c r="H46" s="402"/>
    </row>
    <row r="47" spans="1:8" ht="22.5" customHeight="1">
      <c r="A47" s="4025"/>
      <c r="B47" s="428"/>
      <c r="C47" s="418"/>
      <c r="D47" s="372" t="str">
        <f>D44&amp;".3"</f>
        <v>12.3</v>
      </c>
      <c r="E47" s="374" t="s">
        <v>337</v>
      </c>
      <c r="F47" s="416"/>
      <c r="G47" s="369" t="s">
        <v>338</v>
      </c>
      <c r="H47" s="402"/>
    </row>
    <row r="48" spans="1:8" ht="22.5" customHeight="1">
      <c r="A48" s="4025"/>
      <c r="B48" s="428"/>
      <c r="C48" s="418"/>
      <c r="D48" s="372" t="str">
        <f>IF(TEMPLATE_SPHERE="TKO",D44&amp;".0",D44&amp;".4")</f>
        <v>12.4</v>
      </c>
      <c r="E48" s="368" t="s">
        <v>339</v>
      </c>
      <c r="F48" s="1596"/>
      <c r="G48" s="1672" t="s">
        <v>340</v>
      </c>
      <c r="H48" s="402"/>
    </row>
    <row r="49" spans="1:9" ht="22.5" customHeight="1">
      <c r="A49" s="385"/>
      <c r="B49" s="428"/>
      <c r="C49" s="385"/>
      <c r="D49" s="394"/>
      <c r="E49" s="349" t="s">
        <v>341</v>
      </c>
      <c r="F49" s="395"/>
      <c r="G49" s="1672" t="s">
        <v>342</v>
      </c>
      <c r="H49" s="403"/>
    </row>
    <row r="50" spans="1:9" ht="22.5" customHeight="1">
      <c r="A50" s="771"/>
      <c r="B50" s="428"/>
      <c r="C50" s="418"/>
      <c r="D50" s="372">
        <f>D44+1</f>
        <v>13</v>
      </c>
      <c r="E50" s="454" t="s">
        <v>343</v>
      </c>
      <c r="F50" s="416"/>
      <c r="G50" s="160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02"/>
    </row>
    <row r="51" spans="1:9" ht="11.25" customHeight="1">
      <c r="A51" s="385"/>
      <c r="B51" s="428"/>
      <c r="C51" s="385"/>
    </row>
    <row r="52" spans="1:9" s="1927" customFormat="1" ht="30" customHeight="1">
      <c r="A52" s="1598"/>
      <c r="B52" s="429"/>
      <c r="C52" s="4026"/>
      <c r="D52" s="403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4030"/>
      <c r="F52" s="4030"/>
      <c r="G52" s="4030"/>
      <c r="H52" s="384"/>
      <c r="I52" s="384"/>
    </row>
    <row r="53" spans="1:9" s="1927" customFormat="1" ht="39.75" customHeight="1">
      <c r="A53" s="385"/>
      <c r="B53" s="428"/>
      <c r="C53" s="4026"/>
      <c r="D53" s="403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4030"/>
      <c r="F53" s="4030"/>
      <c r="G53" s="4030"/>
    </row>
    <row r="54" spans="1:9" ht="11.25" customHeight="1">
      <c r="D54" s="386"/>
      <c r="E54" s="387"/>
      <c r="F54" s="387"/>
      <c r="G54" s="387"/>
    </row>
    <row r="55" spans="1:9" ht="27" customHeight="1">
      <c r="D55" s="388"/>
      <c r="E55" s="386"/>
      <c r="F55" s="397"/>
      <c r="G55" s="397"/>
    </row>
    <row r="56" spans="1:9" ht="11.25" customHeight="1">
      <c r="D56" s="386"/>
      <c r="E56" s="386"/>
      <c r="F56" s="387"/>
      <c r="G56" s="387"/>
    </row>
    <row r="57" spans="1:9" ht="39" customHeight="1">
      <c r="D57" s="389"/>
      <c r="E57" s="398"/>
      <c r="F57" s="398"/>
      <c r="G57" s="398"/>
    </row>
    <row r="58" spans="1:9" ht="27" customHeight="1">
      <c r="D58" s="389"/>
      <c r="E58" s="398"/>
      <c r="F58" s="398"/>
      <c r="G58" s="398"/>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35" hidden="1" customWidth="1"/>
    <col min="2" max="2" width="9.140625" style="1934" hidden="1" customWidth="1"/>
    <col min="3" max="3" width="3.7109375" style="1936" customWidth="1"/>
    <col min="4" max="4" width="5.5703125" style="1934" customWidth="1"/>
    <col min="5" max="5" width="48.42578125" style="1934" customWidth="1"/>
    <col min="6" max="6" width="38.140625" style="1934" customWidth="1"/>
    <col min="7" max="7" width="1.7109375" style="1824" hidden="1" customWidth="1"/>
    <col min="8" max="11" width="19.85546875" style="1934" customWidth="1"/>
    <col min="12" max="12" width="9.7109375" style="1934" customWidth="1"/>
    <col min="13" max="18" width="19.85546875" style="1934" customWidth="1"/>
    <col min="19" max="19" width="1.7109375" style="1824" hidden="1" customWidth="1"/>
    <col min="20" max="22" width="19.85546875" style="1937" hidden="1" customWidth="1"/>
    <col min="23" max="23" width="1.7109375" style="1824" hidden="1" customWidth="1"/>
    <col min="24" max="26" width="19.85546875" style="1937" hidden="1" customWidth="1"/>
    <col min="27" max="27" width="1.7109375" style="1824" hidden="1" customWidth="1"/>
    <col min="28" max="29" width="19.85546875" style="1937" hidden="1" customWidth="1"/>
    <col min="30" max="30" width="1.7109375" style="1824" hidden="1" customWidth="1"/>
    <col min="31" max="31" width="103.7109375" style="1934" customWidth="1"/>
    <col min="32" max="34" width="103.7109375" style="1937" hidden="1" customWidth="1"/>
    <col min="35" max="35" width="3.7109375" style="1938" customWidth="1"/>
    <col min="36" max="38" width="10.5703125" style="1933"/>
    <col min="39" max="39" width="13.7109375" style="1933" hidden="1" customWidth="1"/>
    <col min="40" max="40" width="15.42578125" style="1933" customWidth="1"/>
    <col min="41" max="41" width="16.28515625" style="1933" customWidth="1"/>
    <col min="42" max="45" width="10.5703125" style="1933"/>
  </cols>
  <sheetData>
    <row r="1" spans="1:45" ht="14.25" hidden="1" customHeight="1">
      <c r="E1" s="346"/>
      <c r="F1" s="346"/>
      <c r="G1" s="346"/>
      <c r="H1" s="4041" t="s">
        <v>344</v>
      </c>
      <c r="I1" s="4041"/>
      <c r="J1" s="4041"/>
      <c r="K1" s="4041"/>
      <c r="L1" s="4041"/>
      <c r="M1" s="4041"/>
      <c r="N1" s="4041"/>
      <c r="O1" s="4041"/>
      <c r="P1" s="4041"/>
      <c r="Q1" s="4041"/>
      <c r="R1" s="4041"/>
      <c r="T1" s="4041" t="s">
        <v>345</v>
      </c>
      <c r="U1" s="4041"/>
      <c r="V1" s="4041"/>
      <c r="X1" s="4041" t="s">
        <v>346</v>
      </c>
      <c r="Y1" s="4041"/>
      <c r="Z1" s="4041"/>
      <c r="AB1" s="4041" t="s">
        <v>347</v>
      </c>
      <c r="AC1" s="4041"/>
    </row>
    <row r="2" spans="1:45" ht="14.25" hidden="1" customHeight="1"/>
    <row r="3" spans="1:45" s="1930" customFormat="1" ht="6" customHeight="1">
      <c r="C3" s="620"/>
      <c r="D3" s="621"/>
      <c r="E3" s="621"/>
      <c r="F3" s="621"/>
      <c r="G3" s="621"/>
      <c r="H3" s="621" t="s">
        <v>348</v>
      </c>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J3" s="437"/>
      <c r="AK3" s="437"/>
      <c r="AL3" s="437"/>
      <c r="AM3" s="437"/>
      <c r="AN3" s="437"/>
      <c r="AO3" s="437"/>
      <c r="AP3" s="437"/>
      <c r="AQ3" s="437"/>
      <c r="AR3" s="437"/>
      <c r="AS3" s="437"/>
    </row>
    <row r="4" spans="1:45" ht="37.5" customHeight="1">
      <c r="C4" s="381"/>
      <c r="D4" s="397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3979"/>
      <c r="F4" s="3979"/>
      <c r="G4" s="3979"/>
      <c r="H4" s="3979"/>
      <c r="I4" s="3979"/>
      <c r="J4" s="3979"/>
      <c r="K4" s="3979"/>
      <c r="L4" s="3979"/>
      <c r="M4" s="3979"/>
      <c r="N4" s="3979"/>
      <c r="O4" s="3979"/>
      <c r="P4" s="3979"/>
      <c r="Q4" s="3979"/>
      <c r="R4" s="3980"/>
      <c r="S4" s="766"/>
      <c r="T4" s="619"/>
      <c r="U4" s="619"/>
      <c r="V4" s="619"/>
      <c r="W4" s="619"/>
      <c r="X4" s="619"/>
      <c r="Y4" s="619"/>
      <c r="Z4" s="619"/>
      <c r="AA4" s="619"/>
      <c r="AB4" s="619"/>
      <c r="AC4" s="619"/>
      <c r="AD4" s="619"/>
      <c r="AE4" s="417"/>
      <c r="AF4" s="417"/>
      <c r="AG4" s="417"/>
      <c r="AH4" s="417"/>
      <c r="AI4" s="414"/>
    </row>
    <row r="5" spans="1:45" s="1824" customFormat="1" ht="17.25" customHeight="1">
      <c r="A5" s="676"/>
      <c r="C5" s="739"/>
      <c r="D5" s="4038" t="str">
        <f>IF(org=0,"Не определено",org)</f>
        <v>ООО «РИР-Сахалин»</v>
      </c>
      <c r="E5" s="4039"/>
      <c r="F5" s="4039"/>
      <c r="G5" s="4039"/>
      <c r="H5" s="4039"/>
      <c r="I5" s="4039"/>
      <c r="J5" s="4039"/>
      <c r="K5" s="4039"/>
      <c r="L5" s="4039"/>
      <c r="M5" s="4039"/>
      <c r="N5" s="4039"/>
      <c r="O5" s="4039"/>
      <c r="P5" s="4039"/>
      <c r="Q5" s="4039"/>
      <c r="R5" s="4040"/>
      <c r="S5" s="766"/>
      <c r="T5" s="619"/>
      <c r="U5" s="619"/>
      <c r="V5" s="619"/>
      <c r="W5" s="619"/>
      <c r="X5" s="619"/>
      <c r="Y5" s="619"/>
      <c r="Z5" s="619"/>
      <c r="AA5" s="619"/>
      <c r="AB5" s="619"/>
      <c r="AC5" s="619"/>
      <c r="AD5" s="619"/>
      <c r="AE5" s="417"/>
      <c r="AF5" s="417"/>
      <c r="AG5" s="417"/>
      <c r="AH5" s="417"/>
      <c r="AI5" s="414"/>
      <c r="AJ5" s="437"/>
      <c r="AK5" s="437"/>
      <c r="AL5" s="437"/>
      <c r="AM5" s="437"/>
      <c r="AN5" s="437"/>
      <c r="AO5" s="437"/>
      <c r="AP5" s="437"/>
      <c r="AQ5" s="437"/>
      <c r="AR5" s="437"/>
      <c r="AS5" s="437"/>
    </row>
    <row r="6" spans="1:45" s="1932" customFormat="1" ht="11.25" customHeight="1">
      <c r="A6" s="405"/>
      <c r="C6" s="412"/>
      <c r="D6" s="411"/>
      <c r="E6" s="411"/>
      <c r="F6" s="411"/>
      <c r="G6" s="411"/>
      <c r="H6" s="411"/>
      <c r="I6" s="411"/>
      <c r="J6" s="411"/>
      <c r="K6" s="411"/>
      <c r="L6" s="411"/>
      <c r="M6" s="411"/>
      <c r="N6" s="411"/>
      <c r="O6" s="411"/>
      <c r="P6" s="411"/>
      <c r="Q6" s="411"/>
      <c r="R6" s="669"/>
      <c r="S6" s="669"/>
      <c r="T6" s="411"/>
      <c r="U6" s="411"/>
      <c r="V6" s="631"/>
      <c r="W6" s="631"/>
      <c r="X6" s="411"/>
      <c r="Y6" s="411"/>
      <c r="Z6" s="631"/>
      <c r="AA6" s="631"/>
      <c r="AB6" s="411"/>
      <c r="AC6" s="631"/>
      <c r="AD6" s="631"/>
      <c r="AE6" s="411"/>
      <c r="AF6" s="411"/>
      <c r="AG6" s="411"/>
      <c r="AH6" s="411"/>
      <c r="AJ6" s="415"/>
      <c r="AK6" s="415"/>
      <c r="AL6" s="415"/>
      <c r="AM6" s="415"/>
      <c r="AN6" s="415"/>
      <c r="AO6" s="415"/>
      <c r="AP6" s="415"/>
      <c r="AQ6" s="415"/>
      <c r="AR6" s="415"/>
      <c r="AS6" s="415"/>
    </row>
    <row r="7" spans="1:45" ht="14.25" customHeight="1">
      <c r="C7" s="381"/>
      <c r="D7" s="4042" t="s">
        <v>290</v>
      </c>
      <c r="E7" s="4043"/>
      <c r="F7" s="4043"/>
      <c r="G7" s="4043"/>
      <c r="H7" s="4043"/>
      <c r="I7" s="4043"/>
      <c r="J7" s="4043"/>
      <c r="K7" s="4043"/>
      <c r="L7" s="4043"/>
      <c r="M7" s="4043"/>
      <c r="N7" s="4043"/>
      <c r="O7" s="4043"/>
      <c r="P7" s="4043"/>
      <c r="Q7" s="4043"/>
      <c r="R7" s="4043"/>
      <c r="S7" s="4043"/>
      <c r="T7" s="4043"/>
      <c r="U7" s="4043"/>
      <c r="V7" s="4043"/>
      <c r="W7" s="4043"/>
      <c r="X7" s="4043"/>
      <c r="Y7" s="4043"/>
      <c r="Z7" s="4043"/>
      <c r="AA7" s="4043"/>
      <c r="AB7" s="4043"/>
      <c r="AC7" s="4043"/>
      <c r="AD7" s="4044"/>
      <c r="AE7" s="3974" t="s">
        <v>291</v>
      </c>
      <c r="AF7" s="3974" t="s">
        <v>291</v>
      </c>
      <c r="AG7" s="3974" t="s">
        <v>291</v>
      </c>
      <c r="AH7" s="3974" t="s">
        <v>291</v>
      </c>
    </row>
    <row r="8" spans="1:45" ht="25.5" customHeight="1">
      <c r="C8" s="381"/>
      <c r="D8" s="3946" t="s">
        <v>86</v>
      </c>
      <c r="E8" s="3974" t="str">
        <f>"Наименование "&amp;IF(TEMPLATE_SPHERE&lt;&gt;"HEAT","централизованной ","")&amp;"системы "&amp;TEMPLATE_SPHERE_RUS</f>
        <v>Наименование системы теплоснабжения</v>
      </c>
      <c r="F8" s="3974" t="str">
        <f>IF(TEMPLATE_SPHERE&lt;&gt;"HEAT","Регулируемый вид деятельности","Вид регулируемой деятельности")</f>
        <v>Вид регулируемой деятельности</v>
      </c>
      <c r="G8" s="745"/>
      <c r="H8" s="4047" t="s">
        <v>349</v>
      </c>
      <c r="I8" s="4049" t="s">
        <v>350</v>
      </c>
      <c r="J8" s="3974" t="s">
        <v>351</v>
      </c>
      <c r="K8" s="3974"/>
      <c r="L8" s="3974"/>
      <c r="M8" s="4042"/>
      <c r="N8" s="3974" t="s">
        <v>352</v>
      </c>
      <c r="O8" s="3974"/>
      <c r="P8" s="3974" t="s">
        <v>353</v>
      </c>
      <c r="Q8" s="3974"/>
      <c r="R8" s="4051" t="s">
        <v>354</v>
      </c>
      <c r="S8" s="741"/>
      <c r="T8" s="4047" t="s">
        <v>355</v>
      </c>
      <c r="U8" s="4047" t="s">
        <v>356</v>
      </c>
      <c r="V8" s="4047" t="s">
        <v>357</v>
      </c>
      <c r="W8" s="743"/>
      <c r="X8" s="4047" t="s">
        <v>358</v>
      </c>
      <c r="Y8" s="4047" t="s">
        <v>359</v>
      </c>
      <c r="Z8" s="4047" t="s">
        <v>360</v>
      </c>
      <c r="AA8" s="743"/>
      <c r="AB8" s="4047" t="s">
        <v>361</v>
      </c>
      <c r="AC8" s="4047" t="s">
        <v>354</v>
      </c>
      <c r="AD8" s="743"/>
      <c r="AE8" s="3974"/>
      <c r="AF8" s="3974"/>
      <c r="AG8" s="3974"/>
      <c r="AH8" s="3974"/>
    </row>
    <row r="9" spans="1:45" ht="43.5" customHeight="1">
      <c r="C9" s="381"/>
      <c r="D9" s="3946"/>
      <c r="E9" s="3974"/>
      <c r="F9" s="3974"/>
      <c r="G9" s="746"/>
      <c r="H9" s="4048"/>
      <c r="I9" s="4050"/>
      <c r="J9" s="358" t="s">
        <v>362</v>
      </c>
      <c r="K9" s="358" t="s">
        <v>363</v>
      </c>
      <c r="L9" s="358" t="s">
        <v>364</v>
      </c>
      <c r="M9" s="363" t="s">
        <v>365</v>
      </c>
      <c r="N9" s="358" t="s">
        <v>366</v>
      </c>
      <c r="O9" s="358" t="s">
        <v>365</v>
      </c>
      <c r="P9" s="358" t="s">
        <v>367</v>
      </c>
      <c r="Q9" s="358" t="s">
        <v>365</v>
      </c>
      <c r="R9" s="4052"/>
      <c r="S9" s="742"/>
      <c r="T9" s="4048"/>
      <c r="U9" s="4048"/>
      <c r="V9" s="4048"/>
      <c r="W9" s="744"/>
      <c r="X9" s="4048"/>
      <c r="Y9" s="4048"/>
      <c r="Z9" s="4048"/>
      <c r="AA9" s="744"/>
      <c r="AB9" s="4048"/>
      <c r="AC9" s="4048"/>
      <c r="AD9" s="744"/>
      <c r="AE9" s="3974"/>
      <c r="AF9" s="3974"/>
      <c r="AG9" s="3974"/>
      <c r="AH9" s="3974"/>
    </row>
    <row r="10" spans="1:45" ht="12" hidden="1" customHeight="1">
      <c r="C10" s="413"/>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79"/>
      <c r="AP10" s="426"/>
      <c r="AQ10" s="426"/>
    </row>
    <row r="11" spans="1:45" s="1820" customFormat="1" ht="11.25" hidden="1" customHeight="1">
      <c r="C11" s="424"/>
      <c r="D11" s="425" t="s">
        <v>368</v>
      </c>
      <c r="E11" s="425"/>
      <c r="F11" s="425"/>
      <c r="G11" s="425"/>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367"/>
      <c r="AF11" s="367"/>
      <c r="AG11" s="367"/>
      <c r="AH11" s="367"/>
      <c r="AJ11" s="415"/>
      <c r="AK11" s="415"/>
      <c r="AL11" s="415"/>
      <c r="AM11" s="415"/>
      <c r="AN11" s="415"/>
      <c r="AO11" s="415"/>
      <c r="AP11" s="415"/>
      <c r="AQ11" s="415"/>
      <c r="AR11" s="415"/>
      <c r="AS11" s="415"/>
    </row>
    <row r="12" spans="1:45" ht="14.25" customHeight="1">
      <c r="A12" s="379"/>
      <c r="C12" s="381"/>
      <c r="D12" s="366" t="s">
        <v>107</v>
      </c>
      <c r="E12" s="1688" t="s">
        <v>24</v>
      </c>
      <c r="F12" s="768"/>
      <c r="G12" s="769"/>
      <c r="H12" s="1689"/>
      <c r="I12" s="1689"/>
      <c r="J12" s="365"/>
      <c r="K12" s="1774"/>
      <c r="L12" s="364"/>
      <c r="M12" s="1774"/>
      <c r="N12" s="365"/>
      <c r="O12" s="1774"/>
      <c r="P12" s="365"/>
      <c r="Q12" s="1774"/>
      <c r="R12" s="365"/>
      <c r="S12" s="767"/>
      <c r="T12" s="1689"/>
      <c r="U12" s="365"/>
      <c r="V12" s="365"/>
      <c r="W12" s="744"/>
      <c r="X12" s="1689"/>
      <c r="Y12" s="365"/>
      <c r="Z12" s="365"/>
      <c r="AA12" s="744"/>
      <c r="AB12" s="1689"/>
      <c r="AC12" s="365"/>
      <c r="AD12" s="744"/>
      <c r="AE12" s="4045" t="s">
        <v>369</v>
      </c>
      <c r="AF12" s="4045" t="s">
        <v>370</v>
      </c>
      <c r="AG12" s="4045" t="s">
        <v>371</v>
      </c>
      <c r="AH12" s="4045" t="s">
        <v>372</v>
      </c>
      <c r="AI12" s="379"/>
      <c r="AM12" s="437"/>
      <c r="AP12" s="426" t="s">
        <v>373</v>
      </c>
      <c r="AQ12" s="426" t="s">
        <v>373</v>
      </c>
    </row>
    <row r="13" spans="1:45" ht="17.25" customHeight="1">
      <c r="A13" s="379"/>
      <c r="C13" s="381"/>
      <c r="D13" s="339"/>
      <c r="E13" s="782" t="str">
        <f>IF(TITLE_DIFFERENTIATION_TYPE="нет","","Добавить систему")</f>
        <v/>
      </c>
      <c r="F13" s="782" t="str">
        <f>IF(TITLE_DIFFERENTIATION_TYPE="нет","Добавить вид деятельности","")</f>
        <v>Добавить вид деятельности</v>
      </c>
      <c r="G13" s="234"/>
      <c r="H13" s="340"/>
      <c r="I13" s="340"/>
      <c r="J13" s="340"/>
      <c r="K13" s="340"/>
      <c r="L13" s="340"/>
      <c r="M13" s="340"/>
      <c r="N13" s="340"/>
      <c r="O13" s="340"/>
      <c r="P13" s="340"/>
      <c r="Q13" s="340"/>
      <c r="R13" s="340"/>
      <c r="S13" s="340"/>
      <c r="T13" s="340"/>
      <c r="U13" s="340"/>
      <c r="V13" s="340"/>
      <c r="W13" s="340"/>
      <c r="X13" s="340"/>
      <c r="Y13" s="340"/>
      <c r="Z13" s="340"/>
      <c r="AA13" s="340"/>
      <c r="AB13" s="340"/>
      <c r="AC13" s="340"/>
      <c r="AD13" s="770"/>
      <c r="AE13" s="4046"/>
      <c r="AF13" s="4046"/>
      <c r="AG13" s="4046"/>
      <c r="AH13" s="4046"/>
      <c r="AI13" s="379"/>
    </row>
    <row r="14" spans="1:45" ht="14.25" customHeight="1">
      <c r="AI14" s="379"/>
    </row>
    <row r="15" spans="1:45" ht="14.25" customHeight="1">
      <c r="E15" s="675"/>
      <c r="L15" s="675"/>
    </row>
    <row r="16" spans="1:45" ht="14.25" customHeight="1">
      <c r="L16" s="675"/>
    </row>
    <row r="17" spans="12:12" ht="14.25" customHeight="1">
      <c r="L17" s="675"/>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44" hidden="1" customWidth="1"/>
    <col min="2" max="2" width="9.140625" style="1943" hidden="1" customWidth="1"/>
    <col min="3" max="3" width="3.7109375" style="1936" customWidth="1"/>
    <col min="4" max="4" width="5.5703125" style="1943" customWidth="1"/>
    <col min="5" max="5" width="38.140625" style="1943" customWidth="1"/>
    <col min="6" max="7" width="3.7109375" style="1943" customWidth="1"/>
    <col min="8" max="8" width="38.28515625" style="1943" customWidth="1"/>
    <col min="9" max="9" width="35.7109375" style="1943" customWidth="1"/>
    <col min="10" max="10" width="103.7109375" style="1943" customWidth="1"/>
    <col min="11" max="11" width="3.7109375" style="1921" customWidth="1"/>
    <col min="12" max="14" width="10.5703125" style="1941"/>
    <col min="15" max="15" width="13.7109375" style="1941" customWidth="1"/>
    <col min="16" max="16" width="15.42578125" style="1941" customWidth="1"/>
    <col min="17" max="17" width="16.28515625" style="1941" customWidth="1"/>
    <col min="18" max="21" width="10.5703125" style="1941"/>
  </cols>
  <sheetData>
    <row r="1" spans="1:21" ht="14.25" hidden="1" customHeight="1">
      <c r="E1" s="346"/>
      <c r="F1" s="346"/>
      <c r="G1" s="346"/>
      <c r="H1" s="4041" t="s">
        <v>344</v>
      </c>
      <c r="I1" s="4041"/>
    </row>
    <row r="2" spans="1:21" s="1939" customFormat="1" ht="14.25" hidden="1" customHeight="1">
      <c r="C2" s="1531"/>
      <c r="D2" s="4054" t="s">
        <v>107</v>
      </c>
      <c r="E2" s="4056"/>
      <c r="F2" s="1537"/>
      <c r="G2" s="1532" t="s">
        <v>107</v>
      </c>
      <c r="H2" s="1535"/>
      <c r="I2" s="1533"/>
      <c r="L2" s="1534"/>
      <c r="M2" s="1534"/>
      <c r="N2" s="1534"/>
      <c r="O2" s="1534" t="s">
        <v>374</v>
      </c>
      <c r="P2" s="1534"/>
      <c r="Q2" s="1534"/>
      <c r="R2" s="1536" t="s">
        <v>373</v>
      </c>
      <c r="S2" s="1536" t="s">
        <v>373</v>
      </c>
      <c r="T2" s="1534"/>
      <c r="U2" s="1534"/>
    </row>
    <row r="3" spans="1:21" s="1939" customFormat="1" ht="14.25" hidden="1" customHeight="1">
      <c r="C3" s="1531"/>
      <c r="D3" s="4055"/>
      <c r="E3" s="4057"/>
      <c r="F3" s="339"/>
      <c r="G3" s="782"/>
      <c r="H3" s="782" t="s">
        <v>375</v>
      </c>
      <c r="I3" s="234"/>
      <c r="L3" s="1534"/>
      <c r="M3" s="1534"/>
      <c r="N3" s="1534"/>
      <c r="O3" s="1534"/>
      <c r="P3" s="1534"/>
      <c r="Q3" s="1534"/>
      <c r="R3" s="1536"/>
      <c r="S3" s="1536"/>
      <c r="T3" s="1534"/>
      <c r="U3" s="1534"/>
    </row>
    <row r="4" spans="1:21" ht="14.25" hidden="1" customHeight="1"/>
    <row r="5" spans="1:21" s="1940" customFormat="1" ht="6" customHeight="1">
      <c r="C5" s="620"/>
      <c r="D5" s="621"/>
      <c r="E5" s="621"/>
      <c r="F5" s="621"/>
      <c r="G5" s="621"/>
      <c r="H5" s="621" t="s">
        <v>348</v>
      </c>
      <c r="I5" s="621"/>
      <c r="J5" s="621"/>
      <c r="L5" s="1527"/>
      <c r="M5" s="1527"/>
      <c r="N5" s="1527"/>
      <c r="O5" s="1527"/>
      <c r="P5" s="1527"/>
      <c r="Q5" s="1527"/>
      <c r="R5" s="1527"/>
      <c r="S5" s="1527"/>
      <c r="T5" s="1527"/>
      <c r="U5" s="1527"/>
    </row>
    <row r="6" spans="1:21" ht="27.75" customHeight="1">
      <c r="C6" s="1426"/>
      <c r="D6" s="4058" t="s">
        <v>376</v>
      </c>
      <c r="E6" s="4058"/>
      <c r="F6" s="4058"/>
      <c r="G6" s="4058"/>
      <c r="H6" s="4058"/>
      <c r="I6" s="4058"/>
      <c r="J6" s="417"/>
      <c r="K6" s="1528"/>
    </row>
    <row r="7" spans="1:21" ht="17.25" customHeight="1">
      <c r="C7" s="1426"/>
      <c r="D7" s="4004" t="str">
        <f>IF(org=0,"Не определено",org)</f>
        <v>ООО «РИР-Сахалин»</v>
      </c>
      <c r="E7" s="4004"/>
      <c r="F7" s="4004"/>
      <c r="G7" s="4004"/>
      <c r="H7" s="4004"/>
      <c r="I7" s="4004"/>
      <c r="J7" s="417"/>
      <c r="K7" s="1528"/>
    </row>
    <row r="8" spans="1:21" s="1942" customFormat="1" ht="6" customHeight="1">
      <c r="A8" s="1526"/>
      <c r="C8" s="412"/>
      <c r="D8" s="411"/>
      <c r="E8" s="411"/>
      <c r="F8" s="411"/>
      <c r="G8" s="411"/>
      <c r="H8" s="411"/>
      <c r="I8" s="411"/>
      <c r="J8" s="411"/>
      <c r="L8" s="1527"/>
      <c r="M8" s="1527"/>
      <c r="N8" s="1527"/>
      <c r="O8" s="1527"/>
      <c r="P8" s="1527"/>
      <c r="Q8" s="1527"/>
      <c r="R8" s="1527"/>
      <c r="S8" s="1527"/>
      <c r="T8" s="1527"/>
      <c r="U8" s="1527"/>
    </row>
    <row r="9" spans="1:21" s="1942" customFormat="1" ht="6" customHeight="1">
      <c r="A9" s="1526"/>
      <c r="C9" s="412"/>
      <c r="D9" s="411"/>
      <c r="E9" s="411"/>
      <c r="F9" s="411"/>
      <c r="G9" s="411"/>
      <c r="H9" s="411"/>
      <c r="I9" s="411"/>
      <c r="J9" s="411"/>
      <c r="L9" s="1534"/>
      <c r="M9" s="1534"/>
      <c r="N9" s="1534"/>
      <c r="O9" s="1534"/>
      <c r="P9" s="1534"/>
      <c r="Q9" s="1534"/>
      <c r="R9" s="1534"/>
      <c r="S9" s="1534"/>
      <c r="T9" s="1534"/>
      <c r="U9" s="1534"/>
    </row>
    <row r="10" spans="1:21" ht="14.25" customHeight="1">
      <c r="C10" s="1426"/>
      <c r="D10" s="4042" t="s">
        <v>290</v>
      </c>
      <c r="E10" s="4043"/>
      <c r="F10" s="4043"/>
      <c r="G10" s="4043"/>
      <c r="H10" s="4043"/>
      <c r="I10" s="4043"/>
      <c r="J10" s="3974" t="s">
        <v>291</v>
      </c>
    </row>
    <row r="11" spans="1:21" ht="25.5" customHeight="1">
      <c r="C11" s="1426"/>
      <c r="D11" s="3946" t="s">
        <v>86</v>
      </c>
      <c r="E11" s="3974" t="str">
        <f>IF(TEMPLATE_SPHERE&lt;&gt;"HEAT","Регулируемый вид деятельности","Вид регулируемой деятельности")</f>
        <v>Вид регулируемой деятельности</v>
      </c>
      <c r="F11" s="4018" t="s">
        <v>86</v>
      </c>
      <c r="G11" s="4019"/>
      <c r="H11" s="4003" t="s">
        <v>377</v>
      </c>
      <c r="I11" s="4003" t="s">
        <v>378</v>
      </c>
      <c r="J11" s="3974"/>
    </row>
    <row r="12" spans="1:21" ht="14.25" customHeight="1">
      <c r="C12" s="1426"/>
      <c r="D12" s="3946"/>
      <c r="E12" s="3974"/>
      <c r="F12" s="4023"/>
      <c r="G12" s="4024"/>
      <c r="H12" s="4053"/>
      <c r="I12" s="4053"/>
      <c r="J12" s="3974"/>
    </row>
    <row r="13" spans="1:21" s="1820" customFormat="1" ht="11.25" hidden="1" customHeight="1">
      <c r="C13" s="424"/>
      <c r="D13" s="425" t="s">
        <v>368</v>
      </c>
      <c r="E13" s="425"/>
      <c r="F13" s="425"/>
      <c r="G13" s="425"/>
      <c r="H13" s="423"/>
      <c r="I13" s="423"/>
      <c r="J13" s="367"/>
      <c r="L13" s="1527"/>
      <c r="M13" s="1527"/>
      <c r="N13" s="1527"/>
      <c r="O13" s="1527"/>
      <c r="P13" s="1527"/>
      <c r="Q13" s="1527"/>
      <c r="R13" s="1527"/>
      <c r="S13" s="1527"/>
      <c r="T13" s="1527"/>
      <c r="U13" s="1527"/>
    </row>
    <row r="14" spans="1:21" ht="14.25" customHeight="1">
      <c r="A14" s="1524"/>
      <c r="C14" s="1426"/>
      <c r="D14" s="4054" t="s">
        <v>107</v>
      </c>
      <c r="E14" s="4056"/>
      <c r="F14" s="1530"/>
      <c r="G14" s="1529" t="s">
        <v>107</v>
      </c>
      <c r="H14" s="1535"/>
      <c r="I14" s="1533"/>
      <c r="J14" s="3990" t="s">
        <v>379</v>
      </c>
      <c r="K14" s="1524"/>
      <c r="R14" s="426" t="s">
        <v>373</v>
      </c>
      <c r="S14" s="426" t="s">
        <v>373</v>
      </c>
    </row>
    <row r="15" spans="1:21" ht="14.25" customHeight="1">
      <c r="A15" s="1524"/>
      <c r="C15" s="1426"/>
      <c r="D15" s="4055"/>
      <c r="E15" s="4057"/>
      <c r="F15" s="339"/>
      <c r="G15" s="782"/>
      <c r="H15" s="782" t="s">
        <v>375</v>
      </c>
      <c r="I15" s="234"/>
      <c r="J15" s="3991"/>
      <c r="K15" s="1524"/>
      <c r="R15" s="426"/>
      <c r="S15" s="426"/>
    </row>
    <row r="16" spans="1:21" ht="14.25" customHeight="1">
      <c r="A16" s="1524"/>
      <c r="C16" s="1426"/>
      <c r="D16" s="339"/>
      <c r="E16" s="782" t="s">
        <v>119</v>
      </c>
      <c r="F16" s="234"/>
      <c r="G16" s="234"/>
      <c r="H16" s="340"/>
      <c r="I16" s="340"/>
      <c r="J16" s="3992"/>
      <c r="K16" s="1524"/>
    </row>
    <row r="17" spans="11:11" ht="14.25" customHeight="1">
      <c r="K17" s="1524"/>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35" hidden="1" customWidth="1"/>
    <col min="2" max="2" width="9.140625" style="1934" hidden="1" customWidth="1"/>
    <col min="3" max="3" width="9.140625" style="1824" hidden="1" customWidth="1"/>
    <col min="4" max="4" width="3.7109375" style="1936" customWidth="1"/>
    <col min="5" max="5" width="6.28515625" style="1934" customWidth="1"/>
    <col min="6" max="6" width="1.7109375" style="1824" hidden="1" customWidth="1"/>
    <col min="7" max="8" width="30.7109375" style="1934" customWidth="1"/>
    <col min="9" max="9" width="9" style="1934" customWidth="1"/>
    <col min="10" max="10" width="12.140625" style="1934" customWidth="1"/>
    <col min="11" max="11" width="46.7109375" style="1934" customWidth="1"/>
    <col min="12" max="12" width="100.28515625" style="1934" customWidth="1"/>
    <col min="13" max="13" width="7.5703125" style="1938" customWidth="1"/>
    <col min="14" max="22" width="10.5703125" style="1934"/>
  </cols>
  <sheetData>
    <row r="1" spans="1:22" s="1933" customFormat="1" ht="5.25" hidden="1" customHeight="1">
      <c r="C1" s="437"/>
      <c r="D1" s="420"/>
      <c r="F1" s="437"/>
      <c r="G1" s="415" t="s">
        <v>81</v>
      </c>
      <c r="H1" s="415" t="s">
        <v>82</v>
      </c>
      <c r="I1" s="415" t="s">
        <v>83</v>
      </c>
      <c r="P1" s="415" t="s">
        <v>81</v>
      </c>
      <c r="Q1" s="415" t="s">
        <v>82</v>
      </c>
      <c r="R1" s="415" t="s">
        <v>83</v>
      </c>
    </row>
    <row r="2" spans="1:22" s="1933" customFormat="1" ht="5.25" hidden="1" customHeight="1">
      <c r="C2" s="437"/>
      <c r="D2" s="420"/>
      <c r="F2" s="437"/>
    </row>
    <row r="3" spans="1:22" s="1932" customFormat="1" ht="6" customHeight="1">
      <c r="A3" s="405"/>
      <c r="D3" s="412"/>
      <c r="E3" s="407"/>
      <c r="F3" s="407"/>
      <c r="G3" s="407"/>
      <c r="H3" s="407"/>
      <c r="I3" s="408"/>
      <c r="J3" s="409"/>
      <c r="K3" s="409"/>
      <c r="L3" s="409"/>
    </row>
    <row r="4" spans="1:22" ht="22.5" customHeight="1">
      <c r="D4" s="381"/>
      <c r="E4" s="3939" t="s">
        <v>380</v>
      </c>
      <c r="F4" s="3939"/>
      <c r="G4" s="3940"/>
      <c r="H4" s="3940"/>
      <c r="I4" s="3941"/>
      <c r="J4" s="417"/>
      <c r="K4" s="383"/>
      <c r="L4" s="383"/>
    </row>
    <row r="5" spans="1:22" s="1824" customFormat="1" ht="17.25" customHeight="1">
      <c r="A5" s="676"/>
      <c r="D5" s="739"/>
      <c r="E5" s="4038" t="str">
        <f>IF(org=0,"Не определено",org)</f>
        <v>ООО «РИР-Сахалин»</v>
      </c>
      <c r="F5" s="4038"/>
      <c r="G5" s="4039"/>
      <c r="H5" s="4039"/>
      <c r="I5" s="4040"/>
      <c r="J5" s="417"/>
      <c r="K5" s="383"/>
      <c r="L5" s="383"/>
      <c r="M5" s="433"/>
    </row>
    <row r="6" spans="1:22" s="1932" customFormat="1" ht="11.25" customHeight="1">
      <c r="A6" s="405"/>
      <c r="D6" s="412"/>
      <c r="E6" s="407"/>
      <c r="F6" s="407"/>
      <c r="G6" s="410"/>
      <c r="H6" s="410"/>
      <c r="I6" s="411"/>
      <c r="J6" s="411"/>
      <c r="K6" s="669"/>
      <c r="L6" s="411"/>
    </row>
    <row r="7" spans="1:22" ht="14.25" customHeight="1">
      <c r="D7" s="381"/>
      <c r="E7" s="4032" t="s">
        <v>290</v>
      </c>
      <c r="F7" s="4032"/>
      <c r="G7" s="4033"/>
      <c r="H7" s="4033"/>
      <c r="I7" s="4033"/>
      <c r="J7" s="4033"/>
      <c r="K7" s="4033"/>
      <c r="L7" s="3974" t="s">
        <v>291</v>
      </c>
    </row>
    <row r="8" spans="1:22" ht="45" customHeight="1">
      <c r="D8" s="381"/>
      <c r="E8" s="400" t="s">
        <v>86</v>
      </c>
      <c r="F8" s="740"/>
      <c r="G8" s="392" t="s">
        <v>84</v>
      </c>
      <c r="H8" s="392" t="s">
        <v>85</v>
      </c>
      <c r="I8" s="348" t="s">
        <v>83</v>
      </c>
      <c r="J8" s="348" t="s">
        <v>381</v>
      </c>
      <c r="K8" s="348" t="s">
        <v>382</v>
      </c>
      <c r="L8" s="3974"/>
    </row>
    <row r="9" spans="1:22" ht="12" hidden="1" customHeight="1">
      <c r="D9" s="413"/>
      <c r="E9" s="419"/>
      <c r="F9" s="747"/>
      <c r="G9" s="419"/>
      <c r="H9" s="419"/>
      <c r="I9" s="419"/>
      <c r="J9" s="419"/>
      <c r="K9" s="419"/>
      <c r="L9" s="419"/>
      <c r="M9" s="379"/>
    </row>
    <row r="10" spans="1:22" ht="14.25" hidden="1" customHeight="1">
      <c r="A10" s="431"/>
      <c r="B10" s="431"/>
      <c r="D10" s="432"/>
      <c r="E10" s="438">
        <v>0</v>
      </c>
      <c r="F10" s="738"/>
      <c r="G10" s="434"/>
      <c r="H10" s="434"/>
      <c r="I10" s="434"/>
      <c r="J10" s="434"/>
      <c r="K10" s="434"/>
      <c r="L10" s="4045" t="s">
        <v>383</v>
      </c>
      <c r="M10" s="433"/>
      <c r="N10" s="431"/>
      <c r="O10" s="431"/>
      <c r="P10" s="431"/>
      <c r="Q10" s="431"/>
      <c r="R10" s="431"/>
      <c r="S10" s="431"/>
      <c r="T10" s="431"/>
      <c r="U10" s="431"/>
      <c r="V10" s="431"/>
    </row>
    <row r="11" spans="1:22" ht="15" hidden="1" customHeight="1">
      <c r="A11" s="3921"/>
      <c r="B11" s="430"/>
      <c r="C11" s="430"/>
      <c r="D11" s="778"/>
      <c r="E11" s="439"/>
      <c r="F11" s="439"/>
      <c r="G11" s="439"/>
      <c r="H11" s="439"/>
      <c r="I11" s="440"/>
      <c r="J11" s="441"/>
      <c r="K11" s="632"/>
      <c r="L11" s="4059"/>
      <c r="M11" s="437"/>
      <c r="N11" s="437"/>
      <c r="O11" s="437"/>
      <c r="P11" s="442"/>
      <c r="Q11" s="442"/>
      <c r="R11" s="443"/>
      <c r="S11" s="437"/>
      <c r="T11" s="437"/>
      <c r="U11" s="437"/>
      <c r="V11" s="437"/>
    </row>
    <row r="12" spans="1:22" s="1932" customFormat="1" ht="14.25" customHeight="1">
      <c r="A12" s="3921"/>
      <c r="B12" s="430"/>
      <c r="C12" s="430"/>
      <c r="D12" s="779"/>
      <c r="E12" s="740">
        <v>1</v>
      </c>
      <c r="F12" s="777">
        <v>23</v>
      </c>
      <c r="G12" s="776"/>
      <c r="H12" s="710"/>
      <c r="I12" s="708"/>
      <c r="J12" s="446" t="s">
        <v>65</v>
      </c>
      <c r="K12" s="1064" t="s">
        <v>24</v>
      </c>
      <c r="L12" s="4059"/>
      <c r="M12" s="437"/>
      <c r="N12" s="437"/>
      <c r="O12" s="437"/>
      <c r="P12" s="442" t="s">
        <v>384</v>
      </c>
      <c r="Q12" s="442" t="s">
        <v>385</v>
      </c>
      <c r="R12" s="443" t="s">
        <v>386</v>
      </c>
      <c r="S12" s="437" t="s">
        <v>387</v>
      </c>
      <c r="T12" s="437"/>
      <c r="U12" s="437"/>
      <c r="V12" s="437"/>
    </row>
    <row r="13" spans="1:22" ht="15" customHeight="1">
      <c r="A13" s="3921"/>
      <c r="B13" s="431"/>
      <c r="D13" s="432"/>
      <c r="E13" s="339"/>
      <c r="F13" s="455"/>
      <c r="G13" s="350" t="s">
        <v>100</v>
      </c>
      <c r="H13" s="338"/>
      <c r="I13" s="338"/>
      <c r="J13" s="338"/>
      <c r="K13" s="337"/>
      <c r="L13" s="4046"/>
      <c r="M13" s="435"/>
      <c r="N13" s="431"/>
      <c r="O13" s="431"/>
      <c r="P13" s="431"/>
      <c r="Q13" s="431"/>
      <c r="R13" s="431"/>
      <c r="S13" s="431"/>
      <c r="T13" s="431"/>
      <c r="U13" s="431"/>
      <c r="V13" s="431"/>
    </row>
    <row r="14" spans="1:22" ht="11.25" customHeight="1">
      <c r="A14" s="405"/>
      <c r="B14" s="406"/>
      <c r="C14" s="406"/>
      <c r="D14" s="421"/>
      <c r="E14" s="406"/>
      <c r="F14" s="406"/>
      <c r="G14" s="406"/>
      <c r="H14" s="406"/>
      <c r="I14" s="406"/>
      <c r="J14" s="406"/>
      <c r="K14" s="406"/>
      <c r="L14" s="406"/>
      <c r="M14" s="406"/>
      <c r="N14" s="406"/>
      <c r="O14" s="406"/>
      <c r="P14" s="406"/>
      <c r="Q14" s="406"/>
      <c r="R14" s="406"/>
      <c r="S14" s="406"/>
      <c r="T14" s="406"/>
      <c r="U14" s="406"/>
      <c r="V14" s="406"/>
    </row>
    <row r="15" spans="1:22" ht="14.25" customHeight="1">
      <c r="D15" s="393"/>
      <c r="E15" s="263"/>
      <c r="F15" s="263"/>
      <c r="G15" s="58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3"/>
      <c r="I15" s="393"/>
      <c r="J15" s="393"/>
      <c r="K15" s="393"/>
      <c r="L15" s="393"/>
    </row>
    <row r="18" spans="7:7" ht="14.25" customHeight="1">
      <c r="G18" s="431"/>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IJ64"/>
  <sheetViews>
    <sheetView showGridLines="0" topLeftCell="P25" zoomScale="90" workbookViewId="0">
      <selection activeCell="T60" sqref="T60:IE60"/>
    </sheetView>
  </sheetViews>
  <sheetFormatPr defaultColWidth="10.5703125" defaultRowHeight="14.25" customHeight="1"/>
  <cols>
    <col min="1" max="1" width="10.5703125" style="2553" hidden="1"/>
    <col min="2" max="2" width="11" style="2553" hidden="1" customWidth="1"/>
    <col min="3" max="3" width="10.5703125" style="2553" hidden="1"/>
    <col min="4" max="4" width="11.85546875" style="2553" hidden="1" customWidth="1"/>
    <col min="5" max="5" width="10" style="2553" hidden="1" customWidth="1"/>
    <col min="6" max="6" width="8.7109375" style="2553" hidden="1" customWidth="1"/>
    <col min="7" max="7" width="7.5703125" style="2553" hidden="1" customWidth="1"/>
    <col min="8" max="8" width="11.42578125" style="2553" hidden="1" customWidth="1"/>
    <col min="9" max="9" width="12" style="2553" hidden="1" customWidth="1"/>
    <col min="10" max="10" width="9.85546875" style="2553" hidden="1" customWidth="1"/>
    <col min="11" max="11" width="11.42578125" style="2553" hidden="1" customWidth="1"/>
    <col min="12" max="12" width="19.140625" style="2554" hidden="1" customWidth="1"/>
    <col min="13" max="14" width="12.28515625" style="2555" hidden="1" customWidth="1"/>
    <col min="15" max="15" width="23.42578125" style="2555" hidden="1" customWidth="1"/>
    <col min="16" max="16" width="3.7109375" style="3172" customWidth="1"/>
    <col min="17" max="18" width="3.7109375" style="3173" customWidth="1"/>
    <col min="19" max="19" width="12.7109375" style="3174" customWidth="1"/>
    <col min="20" max="20" width="35.7109375" style="1920" customWidth="1"/>
    <col min="21" max="21" width="0.140625" style="1920" customWidth="1"/>
    <col min="22" max="22" width="24.7109375" style="1920" hidden="1" customWidth="1"/>
    <col min="23" max="23" width="0.140625" style="1920" hidden="1" customWidth="1"/>
    <col min="24" max="25" width="24.7109375" style="1920" hidden="1" customWidth="1"/>
    <col min="26" max="26" width="11.7109375" style="1920" hidden="1" customWidth="1"/>
    <col min="27" max="27" width="3.7109375" style="1920" hidden="1" customWidth="1"/>
    <col min="28" max="28" width="11.7109375" style="1920" hidden="1" customWidth="1"/>
    <col min="29" max="29" width="8.5703125" style="1920" hidden="1" customWidth="1"/>
    <col min="30" max="30" width="15.5703125" style="1920" customWidth="1"/>
    <col min="31" max="31" width="0" style="1920" hidden="1" customWidth="1"/>
    <col min="32" max="32" width="10" style="1920" customWidth="1"/>
    <col min="33" max="33" width="9.140625" style="1920" customWidth="1"/>
    <col min="34" max="34" width="11.7109375" style="1920" customWidth="1"/>
    <col min="35" max="35" width="3.7109375" style="1920" customWidth="1"/>
    <col min="36" max="36" width="11.7109375" style="1920" customWidth="1"/>
    <col min="37" max="37" width="8.5703125" style="1920" customWidth="1"/>
    <col min="237" max="237" width="10.5703125" hidden="1"/>
    <col min="238" max="238" width="4.7109375" style="1920" customWidth="1"/>
    <col min="239" max="239" width="115.7109375" style="1920" customWidth="1"/>
    <col min="240" max="241" width="10.5703125" style="1821"/>
    <col min="242" max="242" width="11.140625" style="1821" customWidth="1"/>
    <col min="243" max="244" width="10.5703125" style="1821"/>
  </cols>
  <sheetData>
    <row r="1" spans="1:244" ht="14.25" hidden="1" customHeight="1">
      <c r="Y1" s="254"/>
      <c r="Z1" s="254"/>
      <c r="AG1" s="254"/>
      <c r="AH1" s="254"/>
      <c r="AL1" s="1945"/>
      <c r="AM1" s="1945"/>
      <c r="AN1" s="1945"/>
      <c r="AO1" s="1945"/>
      <c r="AP1" s="1945"/>
      <c r="AQ1" s="1945"/>
      <c r="AR1" s="1945"/>
      <c r="AS1" s="1945"/>
      <c r="AT1" s="1945"/>
      <c r="AU1" s="1945"/>
      <c r="AV1" s="1945"/>
      <c r="AW1" s="1945"/>
      <c r="AX1" s="1945"/>
      <c r="AY1" s="1945"/>
      <c r="AZ1" s="1945"/>
      <c r="BA1" s="1945"/>
      <c r="BB1" s="1945"/>
      <c r="BC1" s="1945"/>
      <c r="BD1" s="1945"/>
      <c r="BE1" s="1945"/>
      <c r="BF1" s="1945"/>
      <c r="BG1" s="1945"/>
      <c r="BH1" s="1945"/>
      <c r="BI1" s="1945"/>
      <c r="BJ1" s="1945"/>
      <c r="BK1" s="1945"/>
      <c r="BL1" s="1945"/>
      <c r="BM1" s="1945"/>
      <c r="BN1" s="1945"/>
      <c r="BO1" s="1945"/>
      <c r="BP1" s="1945"/>
      <c r="BQ1" s="1945"/>
      <c r="BR1" s="1945"/>
      <c r="BS1" s="1945"/>
      <c r="BT1" s="1945"/>
      <c r="BU1" s="1945"/>
      <c r="BV1" s="1945"/>
      <c r="BW1" s="1945"/>
      <c r="BX1" s="1945"/>
      <c r="BY1" s="1945"/>
      <c r="BZ1" s="1945"/>
      <c r="CA1" s="1945"/>
      <c r="CB1" s="1945"/>
      <c r="CC1" s="1945"/>
      <c r="CD1" s="1945"/>
      <c r="CE1" s="1945"/>
      <c r="CF1" s="1945"/>
      <c r="CG1" s="1945"/>
      <c r="CH1" s="1945"/>
      <c r="CI1" s="1945"/>
      <c r="CJ1" s="1945"/>
      <c r="CK1" s="1945"/>
      <c r="CL1" s="1945"/>
      <c r="CM1" s="1945"/>
      <c r="CN1" s="1945"/>
      <c r="CO1" s="1945"/>
      <c r="CP1" s="1945"/>
      <c r="CQ1" s="1945"/>
      <c r="CR1" s="1945"/>
      <c r="CS1" s="1945"/>
      <c r="CT1" s="1945"/>
      <c r="CU1" s="1945"/>
      <c r="CV1" s="1945"/>
      <c r="CW1" s="1945"/>
      <c r="CX1" s="1945"/>
      <c r="CY1" s="1945"/>
      <c r="CZ1" s="1945"/>
      <c r="DA1" s="1945"/>
      <c r="DB1" s="1945"/>
      <c r="DC1" s="1945"/>
      <c r="DD1" s="1945"/>
      <c r="DE1" s="1945"/>
      <c r="DF1" s="1945"/>
      <c r="DG1" s="1945"/>
      <c r="DH1" s="1945"/>
      <c r="DI1" s="1945"/>
      <c r="DJ1" s="1945"/>
      <c r="DK1" s="1945"/>
      <c r="DL1" s="1945"/>
      <c r="DM1" s="1945"/>
      <c r="DN1" s="1945"/>
      <c r="DO1" s="1945"/>
      <c r="DP1" s="1945"/>
      <c r="DQ1" s="1945"/>
      <c r="DR1" s="1945"/>
      <c r="DS1" s="1945"/>
      <c r="DT1" s="1945"/>
      <c r="DU1" s="1945"/>
      <c r="DV1" s="1945"/>
      <c r="DW1" s="1945"/>
      <c r="DX1" s="1945"/>
      <c r="DY1" s="1945"/>
      <c r="DZ1" s="1945"/>
      <c r="EA1" s="1945"/>
      <c r="EB1" s="1945"/>
      <c r="EC1" s="1945"/>
      <c r="ED1" s="1945"/>
      <c r="EE1" s="1945"/>
      <c r="EF1" s="1945"/>
      <c r="EG1" s="1945"/>
      <c r="EH1" s="1945"/>
      <c r="EI1" s="1945"/>
      <c r="EJ1" s="1945"/>
      <c r="EK1" s="1945"/>
      <c r="EL1" s="1945"/>
      <c r="EM1" s="1945"/>
      <c r="EN1" s="1945"/>
      <c r="EO1" s="1945"/>
      <c r="EP1" s="1945"/>
      <c r="EQ1" s="1945"/>
      <c r="ER1" s="1945"/>
      <c r="ES1" s="1945"/>
      <c r="ET1" s="1945"/>
      <c r="EU1" s="1945"/>
      <c r="EV1" s="1945"/>
      <c r="EW1" s="1945"/>
      <c r="EX1" s="1945"/>
      <c r="EY1" s="1945"/>
      <c r="EZ1" s="1945"/>
      <c r="FA1" s="1945"/>
      <c r="FB1" s="1945"/>
      <c r="FC1" s="1945"/>
      <c r="FD1" s="1945"/>
      <c r="FE1" s="1945"/>
      <c r="FF1" s="1945"/>
      <c r="FG1" s="1945"/>
      <c r="FH1" s="1945"/>
      <c r="FI1" s="1945"/>
      <c r="FJ1" s="1945"/>
      <c r="FK1" s="1945"/>
      <c r="FL1" s="1945"/>
      <c r="FM1" s="1945"/>
      <c r="FN1" s="1945"/>
      <c r="FO1" s="1945"/>
      <c r="FP1" s="1945"/>
      <c r="FQ1" s="1945"/>
      <c r="FR1" s="1945"/>
      <c r="FS1" s="1945"/>
      <c r="FT1" s="1945"/>
      <c r="FU1" s="1945"/>
      <c r="FV1" s="1945"/>
      <c r="FW1" s="1945"/>
      <c r="FX1" s="1945"/>
      <c r="FY1" s="1945"/>
      <c r="FZ1" s="1945"/>
      <c r="GA1" s="1945"/>
      <c r="GB1" s="1945"/>
      <c r="GC1" s="1945"/>
      <c r="GD1" s="1945"/>
      <c r="GE1" s="1945"/>
      <c r="GF1" s="1945"/>
      <c r="GG1" s="1945"/>
      <c r="GH1" s="1945"/>
      <c r="GI1" s="1945"/>
      <c r="GJ1" s="1945"/>
      <c r="GK1" s="1945"/>
      <c r="GL1" s="1945"/>
      <c r="GM1" s="1945"/>
      <c r="GN1" s="1945"/>
      <c r="GO1" s="1945"/>
      <c r="GP1" s="1945"/>
      <c r="GQ1" s="1945"/>
      <c r="GR1" s="1945"/>
      <c r="GS1" s="1945"/>
      <c r="GT1" s="1945"/>
      <c r="GU1" s="1945"/>
      <c r="GV1" s="1945"/>
      <c r="GW1" s="1945"/>
      <c r="GX1" s="1945"/>
      <c r="GY1" s="1945"/>
      <c r="GZ1" s="1945"/>
      <c r="HA1" s="1945"/>
      <c r="HB1" s="1945"/>
      <c r="HC1" s="1945"/>
      <c r="HD1" s="1945"/>
      <c r="HE1" s="1945"/>
      <c r="HF1" s="1945"/>
      <c r="HG1" s="1945"/>
      <c r="HH1" s="1945"/>
      <c r="HI1" s="1945"/>
      <c r="HJ1" s="1945"/>
      <c r="HK1" s="1945"/>
      <c r="HL1" s="1945"/>
      <c r="HM1" s="1945"/>
      <c r="HN1" s="1945"/>
      <c r="HO1" s="1945"/>
      <c r="HP1" s="1945"/>
      <c r="HQ1" s="1945"/>
      <c r="HR1" s="1945"/>
      <c r="HS1" s="1945"/>
      <c r="HT1" s="1945"/>
      <c r="HU1" s="1945"/>
      <c r="HV1" s="1945"/>
      <c r="HW1" s="1945"/>
      <c r="HX1" s="1945"/>
      <c r="HY1" s="1945"/>
      <c r="HZ1" s="1945"/>
      <c r="IA1" s="1945"/>
      <c r="IB1" s="1945"/>
      <c r="IC1" s="1945"/>
    </row>
    <row r="2" spans="1:244" ht="21" hidden="1" customHeight="1">
      <c r="A2" s="1279"/>
      <c r="B2" s="1279"/>
      <c r="C2" s="1279"/>
      <c r="D2" s="1279"/>
      <c r="E2" s="4074">
        <v>1</v>
      </c>
      <c r="F2" s="1279"/>
      <c r="G2" s="1279"/>
      <c r="H2" s="1279"/>
      <c r="I2" s="1279"/>
      <c r="J2" s="1279"/>
      <c r="K2" s="1279"/>
      <c r="L2" s="1280"/>
      <c r="M2" s="1281"/>
      <c r="N2" s="1281"/>
      <c r="O2" s="1281"/>
      <c r="P2" s="286"/>
      <c r="Q2" s="285"/>
      <c r="R2" s="280"/>
      <c r="S2" s="1227" t="e">
        <f>INDEX(PT_DIFFERENTIATION_NUM_NTAR,MATCH(A2,PT_DIFFERENTIATION_NTAR_ID,0))</f>
        <v>#N/A</v>
      </c>
      <c r="T2" s="217" t="s">
        <v>121</v>
      </c>
      <c r="U2" s="219"/>
      <c r="V2" s="4060"/>
      <c r="W2" s="4061"/>
      <c r="X2" s="4061"/>
      <c r="Y2" s="4061"/>
      <c r="Z2" s="4061"/>
      <c r="AA2" s="4061"/>
      <c r="AB2" s="4061"/>
      <c r="AC2" s="4062"/>
      <c r="AD2" s="4060" t="e">
        <f>INDEX(PT_DIFFERENTIATION_NTAR,MATCH(A2,PT_DIFFERENTIATION_NTAR_ID,0))</f>
        <v>#N/A</v>
      </c>
      <c r="AE2" s="4061"/>
      <c r="AF2" s="4061"/>
      <c r="AG2" s="4061"/>
      <c r="AH2" s="4061"/>
      <c r="AI2" s="4061"/>
      <c r="AJ2" s="4061"/>
      <c r="AK2" s="4061"/>
      <c r="AL2" s="4060"/>
      <c r="AM2" s="4061"/>
      <c r="AN2" s="4061"/>
      <c r="AO2" s="4061"/>
      <c r="AP2" s="4061"/>
      <c r="AQ2" s="4061"/>
      <c r="AR2" s="4061"/>
      <c r="AS2" s="4062"/>
      <c r="AT2" s="4060"/>
      <c r="AU2" s="4061"/>
      <c r="AV2" s="4061"/>
      <c r="AW2" s="4061"/>
      <c r="AX2" s="4061"/>
      <c r="AY2" s="4061"/>
      <c r="AZ2" s="4061"/>
      <c r="BA2" s="4062"/>
      <c r="BB2" s="4060"/>
      <c r="BC2" s="4061"/>
      <c r="BD2" s="4061"/>
      <c r="BE2" s="4061"/>
      <c r="BF2" s="4061"/>
      <c r="BG2" s="4061"/>
      <c r="BH2" s="4061"/>
      <c r="BI2" s="4062"/>
      <c r="BJ2" s="4060"/>
      <c r="BK2" s="4061"/>
      <c r="BL2" s="4061"/>
      <c r="BM2" s="4061"/>
      <c r="BN2" s="4061"/>
      <c r="BO2" s="4061"/>
      <c r="BP2" s="4061"/>
      <c r="BQ2" s="4062"/>
      <c r="BR2" s="4060"/>
      <c r="BS2" s="4061"/>
      <c r="BT2" s="4061"/>
      <c r="BU2" s="4061"/>
      <c r="BV2" s="4061"/>
      <c r="BW2" s="4061"/>
      <c r="BX2" s="4061"/>
      <c r="BY2" s="4062"/>
      <c r="BZ2" s="4060"/>
      <c r="CA2" s="4061"/>
      <c r="CB2" s="4061"/>
      <c r="CC2" s="4061"/>
      <c r="CD2" s="4061"/>
      <c r="CE2" s="4061"/>
      <c r="CF2" s="4061"/>
      <c r="CG2" s="4062"/>
      <c r="CH2" s="4060"/>
      <c r="CI2" s="4061"/>
      <c r="CJ2" s="4061"/>
      <c r="CK2" s="4061"/>
      <c r="CL2" s="4061"/>
      <c r="CM2" s="4061"/>
      <c r="CN2" s="4061"/>
      <c r="CO2" s="4062"/>
      <c r="CP2" s="4060"/>
      <c r="CQ2" s="4061"/>
      <c r="CR2" s="4061"/>
      <c r="CS2" s="4061"/>
      <c r="CT2" s="4061"/>
      <c r="CU2" s="4061"/>
      <c r="CV2" s="4061"/>
      <c r="CW2" s="4062"/>
      <c r="CX2" s="4060"/>
      <c r="CY2" s="4061"/>
      <c r="CZ2" s="4061"/>
      <c r="DA2" s="4061"/>
      <c r="DB2" s="4061"/>
      <c r="DC2" s="4061"/>
      <c r="DD2" s="4061"/>
      <c r="DE2" s="4062"/>
      <c r="DF2" s="4060"/>
      <c r="DG2" s="4061"/>
      <c r="DH2" s="4061"/>
      <c r="DI2" s="4061"/>
      <c r="DJ2" s="4061"/>
      <c r="DK2" s="4061"/>
      <c r="DL2" s="4061"/>
      <c r="DM2" s="4062"/>
      <c r="DN2" s="4060"/>
      <c r="DO2" s="4061"/>
      <c r="DP2" s="4061"/>
      <c r="DQ2" s="4061"/>
      <c r="DR2" s="4061"/>
      <c r="DS2" s="4061"/>
      <c r="DT2" s="4061"/>
      <c r="DU2" s="4062"/>
      <c r="DV2" s="4060"/>
      <c r="DW2" s="4061"/>
      <c r="DX2" s="4061"/>
      <c r="DY2" s="4061"/>
      <c r="DZ2" s="4061"/>
      <c r="EA2" s="4061"/>
      <c r="EB2" s="4061"/>
      <c r="EC2" s="4062"/>
      <c r="ED2" s="4060"/>
      <c r="EE2" s="4061"/>
      <c r="EF2" s="4061"/>
      <c r="EG2" s="4061"/>
      <c r="EH2" s="4061"/>
      <c r="EI2" s="4061"/>
      <c r="EJ2" s="4061"/>
      <c r="EK2" s="4062"/>
      <c r="EL2" s="4060"/>
      <c r="EM2" s="4061"/>
      <c r="EN2" s="4061"/>
      <c r="EO2" s="4061"/>
      <c r="EP2" s="4061"/>
      <c r="EQ2" s="4061"/>
      <c r="ER2" s="4061"/>
      <c r="ES2" s="4062"/>
      <c r="ET2" s="4060"/>
      <c r="EU2" s="4061"/>
      <c r="EV2" s="4061"/>
      <c r="EW2" s="4061"/>
      <c r="EX2" s="4061"/>
      <c r="EY2" s="4061"/>
      <c r="EZ2" s="4061"/>
      <c r="FA2" s="4062"/>
      <c r="FB2" s="4060"/>
      <c r="FC2" s="4061"/>
      <c r="FD2" s="4061"/>
      <c r="FE2" s="4061"/>
      <c r="FF2" s="4061"/>
      <c r="FG2" s="4061"/>
      <c r="FH2" s="4061"/>
      <c r="FI2" s="4062"/>
      <c r="FJ2" s="4060"/>
      <c r="FK2" s="4061"/>
      <c r="FL2" s="4061"/>
      <c r="FM2" s="4061"/>
      <c r="FN2" s="4061"/>
      <c r="FO2" s="4061"/>
      <c r="FP2" s="4061"/>
      <c r="FQ2" s="4062"/>
      <c r="FR2" s="4060"/>
      <c r="FS2" s="4061"/>
      <c r="FT2" s="4061"/>
      <c r="FU2" s="4061"/>
      <c r="FV2" s="4061"/>
      <c r="FW2" s="4061"/>
      <c r="FX2" s="4061"/>
      <c r="FY2" s="4062"/>
      <c r="FZ2" s="4060"/>
      <c r="GA2" s="4061"/>
      <c r="GB2" s="4061"/>
      <c r="GC2" s="4061"/>
      <c r="GD2" s="4061"/>
      <c r="GE2" s="4061"/>
      <c r="GF2" s="4061"/>
      <c r="GG2" s="4062"/>
      <c r="GH2" s="4060"/>
      <c r="GI2" s="4061"/>
      <c r="GJ2" s="4061"/>
      <c r="GK2" s="4061"/>
      <c r="GL2" s="4061"/>
      <c r="GM2" s="4061"/>
      <c r="GN2" s="4061"/>
      <c r="GO2" s="4062"/>
      <c r="GP2" s="4060"/>
      <c r="GQ2" s="4061"/>
      <c r="GR2" s="4061"/>
      <c r="GS2" s="4061"/>
      <c r="GT2" s="4061"/>
      <c r="GU2" s="4061"/>
      <c r="GV2" s="4061"/>
      <c r="GW2" s="4062"/>
      <c r="GX2" s="4060"/>
      <c r="GY2" s="4061"/>
      <c r="GZ2" s="4061"/>
      <c r="HA2" s="4061"/>
      <c r="HB2" s="4061"/>
      <c r="HC2" s="4061"/>
      <c r="HD2" s="4061"/>
      <c r="HE2" s="4062"/>
      <c r="HF2" s="4060"/>
      <c r="HG2" s="4061"/>
      <c r="HH2" s="4061"/>
      <c r="HI2" s="4061"/>
      <c r="HJ2" s="4061"/>
      <c r="HK2" s="4061"/>
      <c r="HL2" s="4061"/>
      <c r="HM2" s="4062"/>
      <c r="HN2" s="4060"/>
      <c r="HO2" s="4061"/>
      <c r="HP2" s="4061"/>
      <c r="HQ2" s="4061"/>
      <c r="HR2" s="4061"/>
      <c r="HS2" s="4061"/>
      <c r="HT2" s="4061"/>
      <c r="HU2" s="4062"/>
      <c r="HV2" s="4060"/>
      <c r="HW2" s="4061"/>
      <c r="HX2" s="4061"/>
      <c r="HY2" s="4061"/>
      <c r="HZ2" s="4061"/>
      <c r="IA2" s="4061"/>
      <c r="IB2" s="4061"/>
      <c r="IC2" s="4062"/>
      <c r="ID2" s="4062"/>
      <c r="IE2" s="1177" t="s">
        <v>388</v>
      </c>
      <c r="IG2" s="426"/>
      <c r="IH2" s="426" t="str">
        <f t="shared" ref="IH2:IH15" si="0">IF(T2="","",T2)</f>
        <v>Наименование тарифа</v>
      </c>
      <c r="II2" s="426"/>
      <c r="IJ2" s="426"/>
    </row>
    <row r="3" spans="1:244" ht="21" hidden="1" customHeight="1">
      <c r="A3" s="1279"/>
      <c r="B3" s="1279"/>
      <c r="C3" s="1279"/>
      <c r="D3" s="1279"/>
      <c r="E3" s="4075"/>
      <c r="F3" s="4074">
        <v>1</v>
      </c>
      <c r="G3" s="1279"/>
      <c r="H3" s="1279"/>
      <c r="I3" s="1279"/>
      <c r="J3" s="1279"/>
      <c r="K3" s="1279"/>
      <c r="L3" s="1280"/>
      <c r="M3" s="1281"/>
      <c r="N3" s="1281"/>
      <c r="O3" s="1281"/>
      <c r="P3" s="1223"/>
      <c r="Q3" s="277"/>
      <c r="R3" s="278"/>
      <c r="S3" s="1227" t="e">
        <f>INDEX(PT_DIFFERENTIATION_NUM_TER,MATCH(B3,PT_DIFFERENTIATION_TER_ID,0))</f>
        <v>#N/A</v>
      </c>
      <c r="T3" s="229" t="s">
        <v>389</v>
      </c>
      <c r="U3" s="219"/>
      <c r="V3" s="4060"/>
      <c r="W3" s="4061"/>
      <c r="X3" s="4061"/>
      <c r="Y3" s="4061"/>
      <c r="Z3" s="4061"/>
      <c r="AA3" s="4061"/>
      <c r="AB3" s="4061"/>
      <c r="AC3" s="4062"/>
      <c r="AD3" s="4060" t="e">
        <f>INDEX(PT_DIFFERENTIATION_TER,MATCH(B3,PT_DIFFERENTIATION_TER_ID,0))</f>
        <v>#N/A</v>
      </c>
      <c r="AE3" s="4061"/>
      <c r="AF3" s="4061"/>
      <c r="AG3" s="4061"/>
      <c r="AH3" s="4061"/>
      <c r="AI3" s="4061"/>
      <c r="AJ3" s="4061"/>
      <c r="AK3" s="4061"/>
      <c r="AL3" s="4060"/>
      <c r="AM3" s="4061"/>
      <c r="AN3" s="4061"/>
      <c r="AO3" s="4061"/>
      <c r="AP3" s="4061"/>
      <c r="AQ3" s="4061"/>
      <c r="AR3" s="4061"/>
      <c r="AS3" s="4062"/>
      <c r="AT3" s="4060"/>
      <c r="AU3" s="4061"/>
      <c r="AV3" s="4061"/>
      <c r="AW3" s="4061"/>
      <c r="AX3" s="4061"/>
      <c r="AY3" s="4061"/>
      <c r="AZ3" s="4061"/>
      <c r="BA3" s="4062"/>
      <c r="BB3" s="4060"/>
      <c r="BC3" s="4061"/>
      <c r="BD3" s="4061"/>
      <c r="BE3" s="4061"/>
      <c r="BF3" s="4061"/>
      <c r="BG3" s="4061"/>
      <c r="BH3" s="4061"/>
      <c r="BI3" s="4062"/>
      <c r="BJ3" s="4060"/>
      <c r="BK3" s="4061"/>
      <c r="BL3" s="4061"/>
      <c r="BM3" s="4061"/>
      <c r="BN3" s="4061"/>
      <c r="BO3" s="4061"/>
      <c r="BP3" s="4061"/>
      <c r="BQ3" s="4062"/>
      <c r="BR3" s="4060"/>
      <c r="BS3" s="4061"/>
      <c r="BT3" s="4061"/>
      <c r="BU3" s="4061"/>
      <c r="BV3" s="4061"/>
      <c r="BW3" s="4061"/>
      <c r="BX3" s="4061"/>
      <c r="BY3" s="4062"/>
      <c r="BZ3" s="4060"/>
      <c r="CA3" s="4061"/>
      <c r="CB3" s="4061"/>
      <c r="CC3" s="4061"/>
      <c r="CD3" s="4061"/>
      <c r="CE3" s="4061"/>
      <c r="CF3" s="4061"/>
      <c r="CG3" s="4062"/>
      <c r="CH3" s="4060"/>
      <c r="CI3" s="4061"/>
      <c r="CJ3" s="4061"/>
      <c r="CK3" s="4061"/>
      <c r="CL3" s="4061"/>
      <c r="CM3" s="4061"/>
      <c r="CN3" s="4061"/>
      <c r="CO3" s="4062"/>
      <c r="CP3" s="4060"/>
      <c r="CQ3" s="4061"/>
      <c r="CR3" s="4061"/>
      <c r="CS3" s="4061"/>
      <c r="CT3" s="4061"/>
      <c r="CU3" s="4061"/>
      <c r="CV3" s="4061"/>
      <c r="CW3" s="4062"/>
      <c r="CX3" s="4060"/>
      <c r="CY3" s="4061"/>
      <c r="CZ3" s="4061"/>
      <c r="DA3" s="4061"/>
      <c r="DB3" s="4061"/>
      <c r="DC3" s="4061"/>
      <c r="DD3" s="4061"/>
      <c r="DE3" s="4062"/>
      <c r="DF3" s="4060"/>
      <c r="DG3" s="4061"/>
      <c r="DH3" s="4061"/>
      <c r="DI3" s="4061"/>
      <c r="DJ3" s="4061"/>
      <c r="DK3" s="4061"/>
      <c r="DL3" s="4061"/>
      <c r="DM3" s="4062"/>
      <c r="DN3" s="4060"/>
      <c r="DO3" s="4061"/>
      <c r="DP3" s="4061"/>
      <c r="DQ3" s="4061"/>
      <c r="DR3" s="4061"/>
      <c r="DS3" s="4061"/>
      <c r="DT3" s="4061"/>
      <c r="DU3" s="4062"/>
      <c r="DV3" s="4060"/>
      <c r="DW3" s="4061"/>
      <c r="DX3" s="4061"/>
      <c r="DY3" s="4061"/>
      <c r="DZ3" s="4061"/>
      <c r="EA3" s="4061"/>
      <c r="EB3" s="4061"/>
      <c r="EC3" s="4062"/>
      <c r="ED3" s="4060"/>
      <c r="EE3" s="4061"/>
      <c r="EF3" s="4061"/>
      <c r="EG3" s="4061"/>
      <c r="EH3" s="4061"/>
      <c r="EI3" s="4061"/>
      <c r="EJ3" s="4061"/>
      <c r="EK3" s="4062"/>
      <c r="EL3" s="4060"/>
      <c r="EM3" s="4061"/>
      <c r="EN3" s="4061"/>
      <c r="EO3" s="4061"/>
      <c r="EP3" s="4061"/>
      <c r="EQ3" s="4061"/>
      <c r="ER3" s="4061"/>
      <c r="ES3" s="4062"/>
      <c r="ET3" s="4060"/>
      <c r="EU3" s="4061"/>
      <c r="EV3" s="4061"/>
      <c r="EW3" s="4061"/>
      <c r="EX3" s="4061"/>
      <c r="EY3" s="4061"/>
      <c r="EZ3" s="4061"/>
      <c r="FA3" s="4062"/>
      <c r="FB3" s="4060"/>
      <c r="FC3" s="4061"/>
      <c r="FD3" s="4061"/>
      <c r="FE3" s="4061"/>
      <c r="FF3" s="4061"/>
      <c r="FG3" s="4061"/>
      <c r="FH3" s="4061"/>
      <c r="FI3" s="4062"/>
      <c r="FJ3" s="4060"/>
      <c r="FK3" s="4061"/>
      <c r="FL3" s="4061"/>
      <c r="FM3" s="4061"/>
      <c r="FN3" s="4061"/>
      <c r="FO3" s="4061"/>
      <c r="FP3" s="4061"/>
      <c r="FQ3" s="4062"/>
      <c r="FR3" s="4060"/>
      <c r="FS3" s="4061"/>
      <c r="FT3" s="4061"/>
      <c r="FU3" s="4061"/>
      <c r="FV3" s="4061"/>
      <c r="FW3" s="4061"/>
      <c r="FX3" s="4061"/>
      <c r="FY3" s="4062"/>
      <c r="FZ3" s="4060"/>
      <c r="GA3" s="4061"/>
      <c r="GB3" s="4061"/>
      <c r="GC3" s="4061"/>
      <c r="GD3" s="4061"/>
      <c r="GE3" s="4061"/>
      <c r="GF3" s="4061"/>
      <c r="GG3" s="4062"/>
      <c r="GH3" s="4060"/>
      <c r="GI3" s="4061"/>
      <c r="GJ3" s="4061"/>
      <c r="GK3" s="4061"/>
      <c r="GL3" s="4061"/>
      <c r="GM3" s="4061"/>
      <c r="GN3" s="4061"/>
      <c r="GO3" s="4062"/>
      <c r="GP3" s="4060"/>
      <c r="GQ3" s="4061"/>
      <c r="GR3" s="4061"/>
      <c r="GS3" s="4061"/>
      <c r="GT3" s="4061"/>
      <c r="GU3" s="4061"/>
      <c r="GV3" s="4061"/>
      <c r="GW3" s="4062"/>
      <c r="GX3" s="4060"/>
      <c r="GY3" s="4061"/>
      <c r="GZ3" s="4061"/>
      <c r="HA3" s="4061"/>
      <c r="HB3" s="4061"/>
      <c r="HC3" s="4061"/>
      <c r="HD3" s="4061"/>
      <c r="HE3" s="4062"/>
      <c r="HF3" s="4060"/>
      <c r="HG3" s="4061"/>
      <c r="HH3" s="4061"/>
      <c r="HI3" s="4061"/>
      <c r="HJ3" s="4061"/>
      <c r="HK3" s="4061"/>
      <c r="HL3" s="4061"/>
      <c r="HM3" s="4062"/>
      <c r="HN3" s="4060"/>
      <c r="HO3" s="4061"/>
      <c r="HP3" s="4061"/>
      <c r="HQ3" s="4061"/>
      <c r="HR3" s="4061"/>
      <c r="HS3" s="4061"/>
      <c r="HT3" s="4061"/>
      <c r="HU3" s="4062"/>
      <c r="HV3" s="4060"/>
      <c r="HW3" s="4061"/>
      <c r="HX3" s="4061"/>
      <c r="HY3" s="4061"/>
      <c r="HZ3" s="4061"/>
      <c r="IA3" s="4061"/>
      <c r="IB3" s="4061"/>
      <c r="IC3" s="4062"/>
      <c r="ID3" s="4062"/>
      <c r="IE3" s="1177" t="s">
        <v>390</v>
      </c>
      <c r="IG3" s="426"/>
      <c r="IH3" s="426" t="str">
        <f t="shared" si="0"/>
        <v>Территория действия тарифа</v>
      </c>
      <c r="II3" s="426"/>
      <c r="IJ3" s="426"/>
    </row>
    <row r="4" spans="1:244" ht="23.25" hidden="1" customHeight="1">
      <c r="A4" s="1279"/>
      <c r="B4" s="1279"/>
      <c r="C4" s="1279"/>
      <c r="D4" s="1279"/>
      <c r="E4" s="4075"/>
      <c r="F4" s="4075"/>
      <c r="G4" s="4074">
        <v>1</v>
      </c>
      <c r="H4" s="1279"/>
      <c r="I4" s="1279"/>
      <c r="J4" s="1279"/>
      <c r="K4" s="1279"/>
      <c r="L4" s="1280"/>
      <c r="M4" s="1281"/>
      <c r="N4" s="1281"/>
      <c r="O4" s="1281"/>
      <c r="P4" s="279"/>
      <c r="Q4" s="277"/>
      <c r="R4" s="278"/>
      <c r="S4" s="1227" t="e">
        <f>INDEX(PT_DIFFERENTIATION_NUM_CS,MATCH(C4,PT_DIFFERENTIATION_CS_ID,0))</f>
        <v>#N/A</v>
      </c>
      <c r="T4" s="230" t="s">
        <v>391</v>
      </c>
      <c r="U4" s="219"/>
      <c r="V4" s="4060"/>
      <c r="W4" s="4061"/>
      <c r="X4" s="4061"/>
      <c r="Y4" s="4061"/>
      <c r="Z4" s="4061"/>
      <c r="AA4" s="4061"/>
      <c r="AB4" s="4061"/>
      <c r="AC4" s="4062"/>
      <c r="AD4" s="4060" t="e">
        <f>INDEX(PT_DIFFERENTIATION_CS,MATCH(C4,PT_DIFFERENTIATION_CS_ID,0))</f>
        <v>#N/A</v>
      </c>
      <c r="AE4" s="4061"/>
      <c r="AF4" s="4061"/>
      <c r="AG4" s="4061"/>
      <c r="AH4" s="4061"/>
      <c r="AI4" s="4061"/>
      <c r="AJ4" s="4061"/>
      <c r="AK4" s="4061"/>
      <c r="AL4" s="4060"/>
      <c r="AM4" s="4061"/>
      <c r="AN4" s="4061"/>
      <c r="AO4" s="4061"/>
      <c r="AP4" s="4061"/>
      <c r="AQ4" s="4061"/>
      <c r="AR4" s="4061"/>
      <c r="AS4" s="4062"/>
      <c r="AT4" s="4060"/>
      <c r="AU4" s="4061"/>
      <c r="AV4" s="4061"/>
      <c r="AW4" s="4061"/>
      <c r="AX4" s="4061"/>
      <c r="AY4" s="4061"/>
      <c r="AZ4" s="4061"/>
      <c r="BA4" s="4062"/>
      <c r="BB4" s="4060"/>
      <c r="BC4" s="4061"/>
      <c r="BD4" s="4061"/>
      <c r="BE4" s="4061"/>
      <c r="BF4" s="4061"/>
      <c r="BG4" s="4061"/>
      <c r="BH4" s="4061"/>
      <c r="BI4" s="4062"/>
      <c r="BJ4" s="4060"/>
      <c r="BK4" s="4061"/>
      <c r="BL4" s="4061"/>
      <c r="BM4" s="4061"/>
      <c r="BN4" s="4061"/>
      <c r="BO4" s="4061"/>
      <c r="BP4" s="4061"/>
      <c r="BQ4" s="4062"/>
      <c r="BR4" s="4060"/>
      <c r="BS4" s="4061"/>
      <c r="BT4" s="4061"/>
      <c r="BU4" s="4061"/>
      <c r="BV4" s="4061"/>
      <c r="BW4" s="4061"/>
      <c r="BX4" s="4061"/>
      <c r="BY4" s="4062"/>
      <c r="BZ4" s="4060"/>
      <c r="CA4" s="4061"/>
      <c r="CB4" s="4061"/>
      <c r="CC4" s="4061"/>
      <c r="CD4" s="4061"/>
      <c r="CE4" s="4061"/>
      <c r="CF4" s="4061"/>
      <c r="CG4" s="4062"/>
      <c r="CH4" s="4060"/>
      <c r="CI4" s="4061"/>
      <c r="CJ4" s="4061"/>
      <c r="CK4" s="4061"/>
      <c r="CL4" s="4061"/>
      <c r="CM4" s="4061"/>
      <c r="CN4" s="4061"/>
      <c r="CO4" s="4062"/>
      <c r="CP4" s="4060"/>
      <c r="CQ4" s="4061"/>
      <c r="CR4" s="4061"/>
      <c r="CS4" s="4061"/>
      <c r="CT4" s="4061"/>
      <c r="CU4" s="4061"/>
      <c r="CV4" s="4061"/>
      <c r="CW4" s="4062"/>
      <c r="CX4" s="4060"/>
      <c r="CY4" s="4061"/>
      <c r="CZ4" s="4061"/>
      <c r="DA4" s="4061"/>
      <c r="DB4" s="4061"/>
      <c r="DC4" s="4061"/>
      <c r="DD4" s="4061"/>
      <c r="DE4" s="4062"/>
      <c r="DF4" s="4060"/>
      <c r="DG4" s="4061"/>
      <c r="DH4" s="4061"/>
      <c r="DI4" s="4061"/>
      <c r="DJ4" s="4061"/>
      <c r="DK4" s="4061"/>
      <c r="DL4" s="4061"/>
      <c r="DM4" s="4062"/>
      <c r="DN4" s="4060"/>
      <c r="DO4" s="4061"/>
      <c r="DP4" s="4061"/>
      <c r="DQ4" s="4061"/>
      <c r="DR4" s="4061"/>
      <c r="DS4" s="4061"/>
      <c r="DT4" s="4061"/>
      <c r="DU4" s="4062"/>
      <c r="DV4" s="4060"/>
      <c r="DW4" s="4061"/>
      <c r="DX4" s="4061"/>
      <c r="DY4" s="4061"/>
      <c r="DZ4" s="4061"/>
      <c r="EA4" s="4061"/>
      <c r="EB4" s="4061"/>
      <c r="EC4" s="4062"/>
      <c r="ED4" s="4060"/>
      <c r="EE4" s="4061"/>
      <c r="EF4" s="4061"/>
      <c r="EG4" s="4061"/>
      <c r="EH4" s="4061"/>
      <c r="EI4" s="4061"/>
      <c r="EJ4" s="4061"/>
      <c r="EK4" s="4062"/>
      <c r="EL4" s="4060"/>
      <c r="EM4" s="4061"/>
      <c r="EN4" s="4061"/>
      <c r="EO4" s="4061"/>
      <c r="EP4" s="4061"/>
      <c r="EQ4" s="4061"/>
      <c r="ER4" s="4061"/>
      <c r="ES4" s="4062"/>
      <c r="ET4" s="4060"/>
      <c r="EU4" s="4061"/>
      <c r="EV4" s="4061"/>
      <c r="EW4" s="4061"/>
      <c r="EX4" s="4061"/>
      <c r="EY4" s="4061"/>
      <c r="EZ4" s="4061"/>
      <c r="FA4" s="4062"/>
      <c r="FB4" s="4060"/>
      <c r="FC4" s="4061"/>
      <c r="FD4" s="4061"/>
      <c r="FE4" s="4061"/>
      <c r="FF4" s="4061"/>
      <c r="FG4" s="4061"/>
      <c r="FH4" s="4061"/>
      <c r="FI4" s="4062"/>
      <c r="FJ4" s="4060"/>
      <c r="FK4" s="4061"/>
      <c r="FL4" s="4061"/>
      <c r="FM4" s="4061"/>
      <c r="FN4" s="4061"/>
      <c r="FO4" s="4061"/>
      <c r="FP4" s="4061"/>
      <c r="FQ4" s="4062"/>
      <c r="FR4" s="4060"/>
      <c r="FS4" s="4061"/>
      <c r="FT4" s="4061"/>
      <c r="FU4" s="4061"/>
      <c r="FV4" s="4061"/>
      <c r="FW4" s="4061"/>
      <c r="FX4" s="4061"/>
      <c r="FY4" s="4062"/>
      <c r="FZ4" s="4060"/>
      <c r="GA4" s="4061"/>
      <c r="GB4" s="4061"/>
      <c r="GC4" s="4061"/>
      <c r="GD4" s="4061"/>
      <c r="GE4" s="4061"/>
      <c r="GF4" s="4061"/>
      <c r="GG4" s="4062"/>
      <c r="GH4" s="4060"/>
      <c r="GI4" s="4061"/>
      <c r="GJ4" s="4061"/>
      <c r="GK4" s="4061"/>
      <c r="GL4" s="4061"/>
      <c r="GM4" s="4061"/>
      <c r="GN4" s="4061"/>
      <c r="GO4" s="4062"/>
      <c r="GP4" s="4060"/>
      <c r="GQ4" s="4061"/>
      <c r="GR4" s="4061"/>
      <c r="GS4" s="4061"/>
      <c r="GT4" s="4061"/>
      <c r="GU4" s="4061"/>
      <c r="GV4" s="4061"/>
      <c r="GW4" s="4062"/>
      <c r="GX4" s="4060"/>
      <c r="GY4" s="4061"/>
      <c r="GZ4" s="4061"/>
      <c r="HA4" s="4061"/>
      <c r="HB4" s="4061"/>
      <c r="HC4" s="4061"/>
      <c r="HD4" s="4061"/>
      <c r="HE4" s="4062"/>
      <c r="HF4" s="4060"/>
      <c r="HG4" s="4061"/>
      <c r="HH4" s="4061"/>
      <c r="HI4" s="4061"/>
      <c r="HJ4" s="4061"/>
      <c r="HK4" s="4061"/>
      <c r="HL4" s="4061"/>
      <c r="HM4" s="4062"/>
      <c r="HN4" s="4060"/>
      <c r="HO4" s="4061"/>
      <c r="HP4" s="4061"/>
      <c r="HQ4" s="4061"/>
      <c r="HR4" s="4061"/>
      <c r="HS4" s="4061"/>
      <c r="HT4" s="4061"/>
      <c r="HU4" s="4062"/>
      <c r="HV4" s="4060"/>
      <c r="HW4" s="4061"/>
      <c r="HX4" s="4061"/>
      <c r="HY4" s="4061"/>
      <c r="HZ4" s="4061"/>
      <c r="IA4" s="4061"/>
      <c r="IB4" s="4061"/>
      <c r="IC4" s="4062"/>
      <c r="ID4" s="4062"/>
      <c r="IE4" s="1177" t="s">
        <v>392</v>
      </c>
      <c r="IG4" s="426"/>
      <c r="IH4" s="426" t="str">
        <f t="shared" si="0"/>
        <v xml:space="preserve">Наименование системы теплоснабжения </v>
      </c>
      <c r="II4" s="426"/>
      <c r="IJ4" s="426"/>
    </row>
    <row r="5" spans="1:244" ht="21" hidden="1" customHeight="1">
      <c r="A5" s="1279"/>
      <c r="B5" s="1279"/>
      <c r="C5" s="1279"/>
      <c r="D5" s="1279"/>
      <c r="E5" s="4075"/>
      <c r="F5" s="4075"/>
      <c r="G5" s="4075"/>
      <c r="H5" s="4074">
        <v>1</v>
      </c>
      <c r="I5" s="1279"/>
      <c r="J5" s="1279"/>
      <c r="K5" s="1279"/>
      <c r="L5" s="1280"/>
      <c r="M5" s="1281"/>
      <c r="N5" s="1281"/>
      <c r="O5" s="1281"/>
      <c r="P5" s="279"/>
      <c r="Q5" s="277"/>
      <c r="R5" s="278"/>
      <c r="S5" s="1227" t="e">
        <f>INDEX(PT_DIFFERENTIATION_NUM_IST_TE,MATCH(D5,PT_DIFFERENTIATION_IST_TE_ID,0))</f>
        <v>#N/A</v>
      </c>
      <c r="T5" s="231" t="s">
        <v>393</v>
      </c>
      <c r="U5" s="219"/>
      <c r="V5" s="4060"/>
      <c r="W5" s="4061"/>
      <c r="X5" s="4061"/>
      <c r="Y5" s="4061"/>
      <c r="Z5" s="4061"/>
      <c r="AA5" s="4061"/>
      <c r="AB5" s="4061"/>
      <c r="AC5" s="4062"/>
      <c r="AD5" s="4060" t="e">
        <f>INDEX(PT_DIFFERENTIATION_IST_TE,MATCH(D5,PT_DIFFERENTIATION_IST_TE_ID,0))</f>
        <v>#N/A</v>
      </c>
      <c r="AE5" s="4061"/>
      <c r="AF5" s="4061"/>
      <c r="AG5" s="4061"/>
      <c r="AH5" s="4061"/>
      <c r="AI5" s="4061"/>
      <c r="AJ5" s="4061"/>
      <c r="AK5" s="4061"/>
      <c r="AL5" s="4060"/>
      <c r="AM5" s="4061"/>
      <c r="AN5" s="4061"/>
      <c r="AO5" s="4061"/>
      <c r="AP5" s="4061"/>
      <c r="AQ5" s="4061"/>
      <c r="AR5" s="4061"/>
      <c r="AS5" s="4062"/>
      <c r="AT5" s="4060"/>
      <c r="AU5" s="4061"/>
      <c r="AV5" s="4061"/>
      <c r="AW5" s="4061"/>
      <c r="AX5" s="4061"/>
      <c r="AY5" s="4061"/>
      <c r="AZ5" s="4061"/>
      <c r="BA5" s="4062"/>
      <c r="BB5" s="4060"/>
      <c r="BC5" s="4061"/>
      <c r="BD5" s="4061"/>
      <c r="BE5" s="4061"/>
      <c r="BF5" s="4061"/>
      <c r="BG5" s="4061"/>
      <c r="BH5" s="4061"/>
      <c r="BI5" s="4062"/>
      <c r="BJ5" s="4060"/>
      <c r="BK5" s="4061"/>
      <c r="BL5" s="4061"/>
      <c r="BM5" s="4061"/>
      <c r="BN5" s="4061"/>
      <c r="BO5" s="4061"/>
      <c r="BP5" s="4061"/>
      <c r="BQ5" s="4062"/>
      <c r="BR5" s="4060"/>
      <c r="BS5" s="4061"/>
      <c r="BT5" s="4061"/>
      <c r="BU5" s="4061"/>
      <c r="BV5" s="4061"/>
      <c r="BW5" s="4061"/>
      <c r="BX5" s="4061"/>
      <c r="BY5" s="4062"/>
      <c r="BZ5" s="4060"/>
      <c r="CA5" s="4061"/>
      <c r="CB5" s="4061"/>
      <c r="CC5" s="4061"/>
      <c r="CD5" s="4061"/>
      <c r="CE5" s="4061"/>
      <c r="CF5" s="4061"/>
      <c r="CG5" s="4062"/>
      <c r="CH5" s="4060"/>
      <c r="CI5" s="4061"/>
      <c r="CJ5" s="4061"/>
      <c r="CK5" s="4061"/>
      <c r="CL5" s="4061"/>
      <c r="CM5" s="4061"/>
      <c r="CN5" s="4061"/>
      <c r="CO5" s="4062"/>
      <c r="CP5" s="4060"/>
      <c r="CQ5" s="4061"/>
      <c r="CR5" s="4061"/>
      <c r="CS5" s="4061"/>
      <c r="CT5" s="4061"/>
      <c r="CU5" s="4061"/>
      <c r="CV5" s="4061"/>
      <c r="CW5" s="4062"/>
      <c r="CX5" s="4060"/>
      <c r="CY5" s="4061"/>
      <c r="CZ5" s="4061"/>
      <c r="DA5" s="4061"/>
      <c r="DB5" s="4061"/>
      <c r="DC5" s="4061"/>
      <c r="DD5" s="4061"/>
      <c r="DE5" s="4062"/>
      <c r="DF5" s="4060"/>
      <c r="DG5" s="4061"/>
      <c r="DH5" s="4061"/>
      <c r="DI5" s="4061"/>
      <c r="DJ5" s="4061"/>
      <c r="DK5" s="4061"/>
      <c r="DL5" s="4061"/>
      <c r="DM5" s="4062"/>
      <c r="DN5" s="4060"/>
      <c r="DO5" s="4061"/>
      <c r="DP5" s="4061"/>
      <c r="DQ5" s="4061"/>
      <c r="DR5" s="4061"/>
      <c r="DS5" s="4061"/>
      <c r="DT5" s="4061"/>
      <c r="DU5" s="4062"/>
      <c r="DV5" s="4060"/>
      <c r="DW5" s="4061"/>
      <c r="DX5" s="4061"/>
      <c r="DY5" s="4061"/>
      <c r="DZ5" s="4061"/>
      <c r="EA5" s="4061"/>
      <c r="EB5" s="4061"/>
      <c r="EC5" s="4062"/>
      <c r="ED5" s="4060"/>
      <c r="EE5" s="4061"/>
      <c r="EF5" s="4061"/>
      <c r="EG5" s="4061"/>
      <c r="EH5" s="4061"/>
      <c r="EI5" s="4061"/>
      <c r="EJ5" s="4061"/>
      <c r="EK5" s="4062"/>
      <c r="EL5" s="4060"/>
      <c r="EM5" s="4061"/>
      <c r="EN5" s="4061"/>
      <c r="EO5" s="4061"/>
      <c r="EP5" s="4061"/>
      <c r="EQ5" s="4061"/>
      <c r="ER5" s="4061"/>
      <c r="ES5" s="4062"/>
      <c r="ET5" s="4060"/>
      <c r="EU5" s="4061"/>
      <c r="EV5" s="4061"/>
      <c r="EW5" s="4061"/>
      <c r="EX5" s="4061"/>
      <c r="EY5" s="4061"/>
      <c r="EZ5" s="4061"/>
      <c r="FA5" s="4062"/>
      <c r="FB5" s="4060"/>
      <c r="FC5" s="4061"/>
      <c r="FD5" s="4061"/>
      <c r="FE5" s="4061"/>
      <c r="FF5" s="4061"/>
      <c r="FG5" s="4061"/>
      <c r="FH5" s="4061"/>
      <c r="FI5" s="4062"/>
      <c r="FJ5" s="4060"/>
      <c r="FK5" s="4061"/>
      <c r="FL5" s="4061"/>
      <c r="FM5" s="4061"/>
      <c r="FN5" s="4061"/>
      <c r="FO5" s="4061"/>
      <c r="FP5" s="4061"/>
      <c r="FQ5" s="4062"/>
      <c r="FR5" s="4060"/>
      <c r="FS5" s="4061"/>
      <c r="FT5" s="4061"/>
      <c r="FU5" s="4061"/>
      <c r="FV5" s="4061"/>
      <c r="FW5" s="4061"/>
      <c r="FX5" s="4061"/>
      <c r="FY5" s="4062"/>
      <c r="FZ5" s="4060"/>
      <c r="GA5" s="4061"/>
      <c r="GB5" s="4061"/>
      <c r="GC5" s="4061"/>
      <c r="GD5" s="4061"/>
      <c r="GE5" s="4061"/>
      <c r="GF5" s="4061"/>
      <c r="GG5" s="4062"/>
      <c r="GH5" s="4060"/>
      <c r="GI5" s="4061"/>
      <c r="GJ5" s="4061"/>
      <c r="GK5" s="4061"/>
      <c r="GL5" s="4061"/>
      <c r="GM5" s="4061"/>
      <c r="GN5" s="4061"/>
      <c r="GO5" s="4062"/>
      <c r="GP5" s="4060"/>
      <c r="GQ5" s="4061"/>
      <c r="GR5" s="4061"/>
      <c r="GS5" s="4061"/>
      <c r="GT5" s="4061"/>
      <c r="GU5" s="4061"/>
      <c r="GV5" s="4061"/>
      <c r="GW5" s="4062"/>
      <c r="GX5" s="4060"/>
      <c r="GY5" s="4061"/>
      <c r="GZ5" s="4061"/>
      <c r="HA5" s="4061"/>
      <c r="HB5" s="4061"/>
      <c r="HC5" s="4061"/>
      <c r="HD5" s="4061"/>
      <c r="HE5" s="4062"/>
      <c r="HF5" s="4060"/>
      <c r="HG5" s="4061"/>
      <c r="HH5" s="4061"/>
      <c r="HI5" s="4061"/>
      <c r="HJ5" s="4061"/>
      <c r="HK5" s="4061"/>
      <c r="HL5" s="4061"/>
      <c r="HM5" s="4062"/>
      <c r="HN5" s="4060"/>
      <c r="HO5" s="4061"/>
      <c r="HP5" s="4061"/>
      <c r="HQ5" s="4061"/>
      <c r="HR5" s="4061"/>
      <c r="HS5" s="4061"/>
      <c r="HT5" s="4061"/>
      <c r="HU5" s="4062"/>
      <c r="HV5" s="4060"/>
      <c r="HW5" s="4061"/>
      <c r="HX5" s="4061"/>
      <c r="HY5" s="4061"/>
      <c r="HZ5" s="4061"/>
      <c r="IA5" s="4061"/>
      <c r="IB5" s="4061"/>
      <c r="IC5" s="4062"/>
      <c r="ID5" s="4062"/>
      <c r="IE5" s="1177" t="s">
        <v>394</v>
      </c>
      <c r="IG5" s="426"/>
      <c r="IH5" s="426" t="str">
        <f t="shared" si="0"/>
        <v xml:space="preserve">Источник тепловой энергии  </v>
      </c>
      <c r="II5" s="426"/>
      <c r="IJ5" s="426"/>
    </row>
    <row r="6" spans="1:244" ht="47.25" hidden="1" customHeight="1">
      <c r="A6" s="1279"/>
      <c r="B6" s="1279"/>
      <c r="C6" s="1279"/>
      <c r="D6" s="1279"/>
      <c r="E6" s="4075"/>
      <c r="F6" s="4075"/>
      <c r="G6" s="4075"/>
      <c r="H6" s="4075"/>
      <c r="I6" s="4072" t="e">
        <f>S5&amp;".1"</f>
        <v>#N/A</v>
      </c>
      <c r="J6" s="1279"/>
      <c r="K6" s="1279"/>
      <c r="L6" s="1280" t="s">
        <v>395</v>
      </c>
      <c r="M6" s="462"/>
      <c r="P6" s="4073">
        <v>1</v>
      </c>
      <c r="Q6" s="1224"/>
      <c r="R6" s="281"/>
      <c r="S6" s="1227" t="e">
        <f>$I6</f>
        <v>#N/A</v>
      </c>
      <c r="T6" s="204" t="s">
        <v>396</v>
      </c>
      <c r="U6" s="219"/>
      <c r="V6" s="4063"/>
      <c r="W6" s="4064"/>
      <c r="X6" s="4064"/>
      <c r="Y6" s="4064"/>
      <c r="Z6" s="4064"/>
      <c r="AA6" s="4064"/>
      <c r="AB6" s="4064"/>
      <c r="AC6" s="4065"/>
      <c r="AD6" s="4063"/>
      <c r="AE6" s="4064"/>
      <c r="AF6" s="4064"/>
      <c r="AG6" s="4064"/>
      <c r="AH6" s="4064"/>
      <c r="AI6" s="4064"/>
      <c r="AJ6" s="4064"/>
      <c r="AK6" s="4064"/>
      <c r="AL6" s="4063"/>
      <c r="AM6" s="4064"/>
      <c r="AN6" s="4064"/>
      <c r="AO6" s="4064"/>
      <c r="AP6" s="4064"/>
      <c r="AQ6" s="4064"/>
      <c r="AR6" s="4064"/>
      <c r="AS6" s="4065"/>
      <c r="AT6" s="4063"/>
      <c r="AU6" s="4064"/>
      <c r="AV6" s="4064"/>
      <c r="AW6" s="4064"/>
      <c r="AX6" s="4064"/>
      <c r="AY6" s="4064"/>
      <c r="AZ6" s="4064"/>
      <c r="BA6" s="4065"/>
      <c r="BB6" s="4063"/>
      <c r="BC6" s="4064"/>
      <c r="BD6" s="4064"/>
      <c r="BE6" s="4064"/>
      <c r="BF6" s="4064"/>
      <c r="BG6" s="4064"/>
      <c r="BH6" s="4064"/>
      <c r="BI6" s="4065"/>
      <c r="BJ6" s="4063"/>
      <c r="BK6" s="4064"/>
      <c r="BL6" s="4064"/>
      <c r="BM6" s="4064"/>
      <c r="BN6" s="4064"/>
      <c r="BO6" s="4064"/>
      <c r="BP6" s="4064"/>
      <c r="BQ6" s="4065"/>
      <c r="BR6" s="4063"/>
      <c r="BS6" s="4064"/>
      <c r="BT6" s="4064"/>
      <c r="BU6" s="4064"/>
      <c r="BV6" s="4064"/>
      <c r="BW6" s="4064"/>
      <c r="BX6" s="4064"/>
      <c r="BY6" s="4065"/>
      <c r="BZ6" s="4063"/>
      <c r="CA6" s="4064"/>
      <c r="CB6" s="4064"/>
      <c r="CC6" s="4064"/>
      <c r="CD6" s="4064"/>
      <c r="CE6" s="4064"/>
      <c r="CF6" s="4064"/>
      <c r="CG6" s="4065"/>
      <c r="CH6" s="4063"/>
      <c r="CI6" s="4064"/>
      <c r="CJ6" s="4064"/>
      <c r="CK6" s="4064"/>
      <c r="CL6" s="4064"/>
      <c r="CM6" s="4064"/>
      <c r="CN6" s="4064"/>
      <c r="CO6" s="4065"/>
      <c r="CP6" s="4063"/>
      <c r="CQ6" s="4064"/>
      <c r="CR6" s="4064"/>
      <c r="CS6" s="4064"/>
      <c r="CT6" s="4064"/>
      <c r="CU6" s="4064"/>
      <c r="CV6" s="4064"/>
      <c r="CW6" s="4065"/>
      <c r="CX6" s="4063"/>
      <c r="CY6" s="4064"/>
      <c r="CZ6" s="4064"/>
      <c r="DA6" s="4064"/>
      <c r="DB6" s="4064"/>
      <c r="DC6" s="4064"/>
      <c r="DD6" s="4064"/>
      <c r="DE6" s="4065"/>
      <c r="DF6" s="4063"/>
      <c r="DG6" s="4064"/>
      <c r="DH6" s="4064"/>
      <c r="DI6" s="4064"/>
      <c r="DJ6" s="4064"/>
      <c r="DK6" s="4064"/>
      <c r="DL6" s="4064"/>
      <c r="DM6" s="4065"/>
      <c r="DN6" s="4063"/>
      <c r="DO6" s="4064"/>
      <c r="DP6" s="4064"/>
      <c r="DQ6" s="4064"/>
      <c r="DR6" s="4064"/>
      <c r="DS6" s="4064"/>
      <c r="DT6" s="4064"/>
      <c r="DU6" s="4065"/>
      <c r="DV6" s="4063"/>
      <c r="DW6" s="4064"/>
      <c r="DX6" s="4064"/>
      <c r="DY6" s="4064"/>
      <c r="DZ6" s="4064"/>
      <c r="EA6" s="4064"/>
      <c r="EB6" s="4064"/>
      <c r="EC6" s="4065"/>
      <c r="ED6" s="4063"/>
      <c r="EE6" s="4064"/>
      <c r="EF6" s="4064"/>
      <c r="EG6" s="4064"/>
      <c r="EH6" s="4064"/>
      <c r="EI6" s="4064"/>
      <c r="EJ6" s="4064"/>
      <c r="EK6" s="4065"/>
      <c r="EL6" s="4063"/>
      <c r="EM6" s="4064"/>
      <c r="EN6" s="4064"/>
      <c r="EO6" s="4064"/>
      <c r="EP6" s="4064"/>
      <c r="EQ6" s="4064"/>
      <c r="ER6" s="4064"/>
      <c r="ES6" s="4065"/>
      <c r="ET6" s="4063"/>
      <c r="EU6" s="4064"/>
      <c r="EV6" s="4064"/>
      <c r="EW6" s="4064"/>
      <c r="EX6" s="4064"/>
      <c r="EY6" s="4064"/>
      <c r="EZ6" s="4064"/>
      <c r="FA6" s="4065"/>
      <c r="FB6" s="4063"/>
      <c r="FC6" s="4064"/>
      <c r="FD6" s="4064"/>
      <c r="FE6" s="4064"/>
      <c r="FF6" s="4064"/>
      <c r="FG6" s="4064"/>
      <c r="FH6" s="4064"/>
      <c r="FI6" s="4065"/>
      <c r="FJ6" s="4063"/>
      <c r="FK6" s="4064"/>
      <c r="FL6" s="4064"/>
      <c r="FM6" s="4064"/>
      <c r="FN6" s="4064"/>
      <c r="FO6" s="4064"/>
      <c r="FP6" s="4064"/>
      <c r="FQ6" s="4065"/>
      <c r="FR6" s="4063"/>
      <c r="FS6" s="4064"/>
      <c r="FT6" s="4064"/>
      <c r="FU6" s="4064"/>
      <c r="FV6" s="4064"/>
      <c r="FW6" s="4064"/>
      <c r="FX6" s="4064"/>
      <c r="FY6" s="4065"/>
      <c r="FZ6" s="4063"/>
      <c r="GA6" s="4064"/>
      <c r="GB6" s="4064"/>
      <c r="GC6" s="4064"/>
      <c r="GD6" s="4064"/>
      <c r="GE6" s="4064"/>
      <c r="GF6" s="4064"/>
      <c r="GG6" s="4065"/>
      <c r="GH6" s="4063"/>
      <c r="GI6" s="4064"/>
      <c r="GJ6" s="4064"/>
      <c r="GK6" s="4064"/>
      <c r="GL6" s="4064"/>
      <c r="GM6" s="4064"/>
      <c r="GN6" s="4064"/>
      <c r="GO6" s="4065"/>
      <c r="GP6" s="4063"/>
      <c r="GQ6" s="4064"/>
      <c r="GR6" s="4064"/>
      <c r="GS6" s="4064"/>
      <c r="GT6" s="4064"/>
      <c r="GU6" s="4064"/>
      <c r="GV6" s="4064"/>
      <c r="GW6" s="4065"/>
      <c r="GX6" s="4063"/>
      <c r="GY6" s="4064"/>
      <c r="GZ6" s="4064"/>
      <c r="HA6" s="4064"/>
      <c r="HB6" s="4064"/>
      <c r="HC6" s="4064"/>
      <c r="HD6" s="4064"/>
      <c r="HE6" s="4065"/>
      <c r="HF6" s="4063"/>
      <c r="HG6" s="4064"/>
      <c r="HH6" s="4064"/>
      <c r="HI6" s="4064"/>
      <c r="HJ6" s="4064"/>
      <c r="HK6" s="4064"/>
      <c r="HL6" s="4064"/>
      <c r="HM6" s="4065"/>
      <c r="HN6" s="4063"/>
      <c r="HO6" s="4064"/>
      <c r="HP6" s="4064"/>
      <c r="HQ6" s="4064"/>
      <c r="HR6" s="4064"/>
      <c r="HS6" s="4064"/>
      <c r="HT6" s="4064"/>
      <c r="HU6" s="4065"/>
      <c r="HV6" s="4063"/>
      <c r="HW6" s="4064"/>
      <c r="HX6" s="4064"/>
      <c r="HY6" s="4064"/>
      <c r="HZ6" s="4064"/>
      <c r="IA6" s="4064"/>
      <c r="IB6" s="4064"/>
      <c r="IC6" s="4065"/>
      <c r="ID6" s="4065"/>
      <c r="IE6" s="1177" t="s">
        <v>397</v>
      </c>
      <c r="IG6" s="426"/>
      <c r="IH6" s="426" t="str">
        <f t="shared" si="0"/>
        <v>Схема подключения теплопотребляющей установки к коллектору источника тепловой энергии</v>
      </c>
      <c r="II6" s="426"/>
      <c r="IJ6" s="426"/>
    </row>
    <row r="7" spans="1:244" ht="21" hidden="1" customHeight="1">
      <c r="A7" s="1279"/>
      <c r="B7" s="1279"/>
      <c r="C7" s="1279"/>
      <c r="D7" s="1279"/>
      <c r="E7" s="4075"/>
      <c r="F7" s="4075"/>
      <c r="G7" s="4075"/>
      <c r="H7" s="4075"/>
      <c r="I7" s="4095"/>
      <c r="J7" s="4072" t="e">
        <f>I6&amp;".1"</f>
        <v>#N/A</v>
      </c>
      <c r="K7" s="1279"/>
      <c r="L7" s="1280" t="s">
        <v>398</v>
      </c>
      <c r="M7" s="462"/>
      <c r="N7" s="1282"/>
      <c r="P7" s="4073"/>
      <c r="Q7" s="4073">
        <v>1</v>
      </c>
      <c r="R7" s="282"/>
      <c r="S7" s="1227" t="e">
        <f>$J7</f>
        <v>#N/A</v>
      </c>
      <c r="T7" s="205" t="s">
        <v>399</v>
      </c>
      <c r="U7" s="219"/>
      <c r="V7" s="4063"/>
      <c r="W7" s="4064"/>
      <c r="X7" s="4064"/>
      <c r="Y7" s="4064"/>
      <c r="Z7" s="4064"/>
      <c r="AA7" s="4064"/>
      <c r="AB7" s="4064"/>
      <c r="AC7" s="4065"/>
      <c r="AD7" s="4063"/>
      <c r="AE7" s="4064"/>
      <c r="AF7" s="4064"/>
      <c r="AG7" s="4064"/>
      <c r="AH7" s="4064"/>
      <c r="AI7" s="4064"/>
      <c r="AJ7" s="4064"/>
      <c r="AK7" s="4064"/>
      <c r="AL7" s="4063"/>
      <c r="AM7" s="4064"/>
      <c r="AN7" s="4064"/>
      <c r="AO7" s="4064"/>
      <c r="AP7" s="4064"/>
      <c r="AQ7" s="4064"/>
      <c r="AR7" s="4064"/>
      <c r="AS7" s="4065"/>
      <c r="AT7" s="4063"/>
      <c r="AU7" s="4064"/>
      <c r="AV7" s="4064"/>
      <c r="AW7" s="4064"/>
      <c r="AX7" s="4064"/>
      <c r="AY7" s="4064"/>
      <c r="AZ7" s="4064"/>
      <c r="BA7" s="4065"/>
      <c r="BB7" s="4063"/>
      <c r="BC7" s="4064"/>
      <c r="BD7" s="4064"/>
      <c r="BE7" s="4064"/>
      <c r="BF7" s="4064"/>
      <c r="BG7" s="4064"/>
      <c r="BH7" s="4064"/>
      <c r="BI7" s="4065"/>
      <c r="BJ7" s="4063"/>
      <c r="BK7" s="4064"/>
      <c r="BL7" s="4064"/>
      <c r="BM7" s="4064"/>
      <c r="BN7" s="4064"/>
      <c r="BO7" s="4064"/>
      <c r="BP7" s="4064"/>
      <c r="BQ7" s="4065"/>
      <c r="BR7" s="4063"/>
      <c r="BS7" s="4064"/>
      <c r="BT7" s="4064"/>
      <c r="BU7" s="4064"/>
      <c r="BV7" s="4064"/>
      <c r="BW7" s="4064"/>
      <c r="BX7" s="4064"/>
      <c r="BY7" s="4065"/>
      <c r="BZ7" s="4063"/>
      <c r="CA7" s="4064"/>
      <c r="CB7" s="4064"/>
      <c r="CC7" s="4064"/>
      <c r="CD7" s="4064"/>
      <c r="CE7" s="4064"/>
      <c r="CF7" s="4064"/>
      <c r="CG7" s="4065"/>
      <c r="CH7" s="4063"/>
      <c r="CI7" s="4064"/>
      <c r="CJ7" s="4064"/>
      <c r="CK7" s="4064"/>
      <c r="CL7" s="4064"/>
      <c r="CM7" s="4064"/>
      <c r="CN7" s="4064"/>
      <c r="CO7" s="4065"/>
      <c r="CP7" s="4063"/>
      <c r="CQ7" s="4064"/>
      <c r="CR7" s="4064"/>
      <c r="CS7" s="4064"/>
      <c r="CT7" s="4064"/>
      <c r="CU7" s="4064"/>
      <c r="CV7" s="4064"/>
      <c r="CW7" s="4065"/>
      <c r="CX7" s="4063"/>
      <c r="CY7" s="4064"/>
      <c r="CZ7" s="4064"/>
      <c r="DA7" s="4064"/>
      <c r="DB7" s="4064"/>
      <c r="DC7" s="4064"/>
      <c r="DD7" s="4064"/>
      <c r="DE7" s="4065"/>
      <c r="DF7" s="4063"/>
      <c r="DG7" s="4064"/>
      <c r="DH7" s="4064"/>
      <c r="DI7" s="4064"/>
      <c r="DJ7" s="4064"/>
      <c r="DK7" s="4064"/>
      <c r="DL7" s="4064"/>
      <c r="DM7" s="4065"/>
      <c r="DN7" s="4063"/>
      <c r="DO7" s="4064"/>
      <c r="DP7" s="4064"/>
      <c r="DQ7" s="4064"/>
      <c r="DR7" s="4064"/>
      <c r="DS7" s="4064"/>
      <c r="DT7" s="4064"/>
      <c r="DU7" s="4065"/>
      <c r="DV7" s="4063"/>
      <c r="DW7" s="4064"/>
      <c r="DX7" s="4064"/>
      <c r="DY7" s="4064"/>
      <c r="DZ7" s="4064"/>
      <c r="EA7" s="4064"/>
      <c r="EB7" s="4064"/>
      <c r="EC7" s="4065"/>
      <c r="ED7" s="4063"/>
      <c r="EE7" s="4064"/>
      <c r="EF7" s="4064"/>
      <c r="EG7" s="4064"/>
      <c r="EH7" s="4064"/>
      <c r="EI7" s="4064"/>
      <c r="EJ7" s="4064"/>
      <c r="EK7" s="4065"/>
      <c r="EL7" s="4063"/>
      <c r="EM7" s="4064"/>
      <c r="EN7" s="4064"/>
      <c r="EO7" s="4064"/>
      <c r="EP7" s="4064"/>
      <c r="EQ7" s="4064"/>
      <c r="ER7" s="4064"/>
      <c r="ES7" s="4065"/>
      <c r="ET7" s="4063"/>
      <c r="EU7" s="4064"/>
      <c r="EV7" s="4064"/>
      <c r="EW7" s="4064"/>
      <c r="EX7" s="4064"/>
      <c r="EY7" s="4064"/>
      <c r="EZ7" s="4064"/>
      <c r="FA7" s="4065"/>
      <c r="FB7" s="4063"/>
      <c r="FC7" s="4064"/>
      <c r="FD7" s="4064"/>
      <c r="FE7" s="4064"/>
      <c r="FF7" s="4064"/>
      <c r="FG7" s="4064"/>
      <c r="FH7" s="4064"/>
      <c r="FI7" s="4065"/>
      <c r="FJ7" s="4063"/>
      <c r="FK7" s="4064"/>
      <c r="FL7" s="4064"/>
      <c r="FM7" s="4064"/>
      <c r="FN7" s="4064"/>
      <c r="FO7" s="4064"/>
      <c r="FP7" s="4064"/>
      <c r="FQ7" s="4065"/>
      <c r="FR7" s="4063"/>
      <c r="FS7" s="4064"/>
      <c r="FT7" s="4064"/>
      <c r="FU7" s="4064"/>
      <c r="FV7" s="4064"/>
      <c r="FW7" s="4064"/>
      <c r="FX7" s="4064"/>
      <c r="FY7" s="4065"/>
      <c r="FZ7" s="4063"/>
      <c r="GA7" s="4064"/>
      <c r="GB7" s="4064"/>
      <c r="GC7" s="4064"/>
      <c r="GD7" s="4064"/>
      <c r="GE7" s="4064"/>
      <c r="GF7" s="4064"/>
      <c r="GG7" s="4065"/>
      <c r="GH7" s="4063"/>
      <c r="GI7" s="4064"/>
      <c r="GJ7" s="4064"/>
      <c r="GK7" s="4064"/>
      <c r="GL7" s="4064"/>
      <c r="GM7" s="4064"/>
      <c r="GN7" s="4064"/>
      <c r="GO7" s="4065"/>
      <c r="GP7" s="4063"/>
      <c r="GQ7" s="4064"/>
      <c r="GR7" s="4064"/>
      <c r="GS7" s="4064"/>
      <c r="GT7" s="4064"/>
      <c r="GU7" s="4064"/>
      <c r="GV7" s="4064"/>
      <c r="GW7" s="4065"/>
      <c r="GX7" s="4063"/>
      <c r="GY7" s="4064"/>
      <c r="GZ7" s="4064"/>
      <c r="HA7" s="4064"/>
      <c r="HB7" s="4064"/>
      <c r="HC7" s="4064"/>
      <c r="HD7" s="4064"/>
      <c r="HE7" s="4065"/>
      <c r="HF7" s="4063"/>
      <c r="HG7" s="4064"/>
      <c r="HH7" s="4064"/>
      <c r="HI7" s="4064"/>
      <c r="HJ7" s="4064"/>
      <c r="HK7" s="4064"/>
      <c r="HL7" s="4064"/>
      <c r="HM7" s="4065"/>
      <c r="HN7" s="4063"/>
      <c r="HO7" s="4064"/>
      <c r="HP7" s="4064"/>
      <c r="HQ7" s="4064"/>
      <c r="HR7" s="4064"/>
      <c r="HS7" s="4064"/>
      <c r="HT7" s="4064"/>
      <c r="HU7" s="4065"/>
      <c r="HV7" s="4063"/>
      <c r="HW7" s="4064"/>
      <c r="HX7" s="4064"/>
      <c r="HY7" s="4064"/>
      <c r="HZ7" s="4064"/>
      <c r="IA7" s="4064"/>
      <c r="IB7" s="4064"/>
      <c r="IC7" s="4065"/>
      <c r="ID7" s="4065"/>
      <c r="IE7" s="1177" t="s">
        <v>400</v>
      </c>
      <c r="IG7" s="426"/>
      <c r="IH7" s="426" t="str">
        <f t="shared" si="0"/>
        <v>Группа потребителей</v>
      </c>
      <c r="II7" s="426"/>
      <c r="IJ7" s="426"/>
    </row>
    <row r="8" spans="1:244" ht="21" hidden="1" customHeight="1">
      <c r="A8" s="1279"/>
      <c r="B8" s="1279"/>
      <c r="C8" s="1279"/>
      <c r="D8" s="1279"/>
      <c r="E8" s="4075"/>
      <c r="F8" s="4075"/>
      <c r="G8" s="4075"/>
      <c r="H8" s="4075"/>
      <c r="I8" s="4095"/>
      <c r="J8" s="4095"/>
      <c r="K8" s="4072" t="e">
        <f>J7&amp;".1"</f>
        <v>#N/A</v>
      </c>
      <c r="L8" s="1280" t="s">
        <v>401</v>
      </c>
      <c r="M8" s="462"/>
      <c r="N8" s="1282"/>
      <c r="O8" s="1282"/>
      <c r="P8" s="4073"/>
      <c r="Q8" s="4073"/>
      <c r="R8" s="282">
        <v>1</v>
      </c>
      <c r="S8" s="1227" t="e">
        <f>$K8</f>
        <v>#N/A</v>
      </c>
      <c r="T8" s="1264"/>
      <c r="U8" s="219"/>
      <c r="V8" s="668"/>
      <c r="W8" s="251"/>
      <c r="X8" s="668"/>
      <c r="Y8" s="1176"/>
      <c r="Z8" s="4077"/>
      <c r="AA8" s="3927" t="s">
        <v>65</v>
      </c>
      <c r="AB8" s="4077"/>
      <c r="AC8" s="3927" t="s">
        <v>65</v>
      </c>
      <c r="AD8" s="668"/>
      <c r="AE8" s="251"/>
      <c r="AF8" s="668"/>
      <c r="AG8" s="1176"/>
      <c r="AH8" s="4077"/>
      <c r="AI8" s="3927" t="s">
        <v>65</v>
      </c>
      <c r="AJ8" s="4077"/>
      <c r="AK8" s="3927" t="s">
        <v>65</v>
      </c>
      <c r="AL8" s="1946"/>
      <c r="AM8" s="1947"/>
      <c r="AN8" s="1946"/>
      <c r="AO8" s="1948"/>
      <c r="AP8" s="4077"/>
      <c r="AQ8" s="3927" t="s">
        <v>65</v>
      </c>
      <c r="AR8" s="4077"/>
      <c r="AS8" s="3927" t="s">
        <v>65</v>
      </c>
      <c r="AT8" s="1946"/>
      <c r="AU8" s="1947"/>
      <c r="AV8" s="1946"/>
      <c r="AW8" s="1948"/>
      <c r="AX8" s="4077"/>
      <c r="AY8" s="3927" t="s">
        <v>65</v>
      </c>
      <c r="AZ8" s="4077"/>
      <c r="BA8" s="3927" t="s">
        <v>65</v>
      </c>
      <c r="BB8" s="1946"/>
      <c r="BC8" s="1947"/>
      <c r="BD8" s="1946"/>
      <c r="BE8" s="1948"/>
      <c r="BF8" s="4077"/>
      <c r="BG8" s="3927" t="s">
        <v>65</v>
      </c>
      <c r="BH8" s="4077"/>
      <c r="BI8" s="3927" t="s">
        <v>65</v>
      </c>
      <c r="BJ8" s="1946"/>
      <c r="BK8" s="1947"/>
      <c r="BL8" s="1946"/>
      <c r="BM8" s="1948"/>
      <c r="BN8" s="4077"/>
      <c r="BO8" s="3927" t="s">
        <v>65</v>
      </c>
      <c r="BP8" s="4077"/>
      <c r="BQ8" s="3927" t="s">
        <v>65</v>
      </c>
      <c r="BR8" s="1946"/>
      <c r="BS8" s="1947"/>
      <c r="BT8" s="1946"/>
      <c r="BU8" s="1948"/>
      <c r="BV8" s="4077"/>
      <c r="BW8" s="3927" t="s">
        <v>65</v>
      </c>
      <c r="BX8" s="4077"/>
      <c r="BY8" s="3927" t="s">
        <v>65</v>
      </c>
      <c r="BZ8" s="1946"/>
      <c r="CA8" s="1947"/>
      <c r="CB8" s="1946"/>
      <c r="CC8" s="1948"/>
      <c r="CD8" s="4077"/>
      <c r="CE8" s="3927" t="s">
        <v>65</v>
      </c>
      <c r="CF8" s="4077"/>
      <c r="CG8" s="3927" t="s">
        <v>65</v>
      </c>
      <c r="CH8" s="1946"/>
      <c r="CI8" s="1947"/>
      <c r="CJ8" s="1946"/>
      <c r="CK8" s="1948"/>
      <c r="CL8" s="4077"/>
      <c r="CM8" s="3927" t="s">
        <v>65</v>
      </c>
      <c r="CN8" s="4077"/>
      <c r="CO8" s="3927" t="s">
        <v>65</v>
      </c>
      <c r="CP8" s="1946"/>
      <c r="CQ8" s="1947"/>
      <c r="CR8" s="1946"/>
      <c r="CS8" s="1948"/>
      <c r="CT8" s="4077"/>
      <c r="CU8" s="3927" t="s">
        <v>65</v>
      </c>
      <c r="CV8" s="4077"/>
      <c r="CW8" s="3927" t="s">
        <v>65</v>
      </c>
      <c r="CX8" s="1946"/>
      <c r="CY8" s="1947"/>
      <c r="CZ8" s="1946"/>
      <c r="DA8" s="1948"/>
      <c r="DB8" s="4077"/>
      <c r="DC8" s="3927" t="s">
        <v>65</v>
      </c>
      <c r="DD8" s="4077"/>
      <c r="DE8" s="3927" t="s">
        <v>65</v>
      </c>
      <c r="DF8" s="1946"/>
      <c r="DG8" s="1947"/>
      <c r="DH8" s="1946"/>
      <c r="DI8" s="1948"/>
      <c r="DJ8" s="4077"/>
      <c r="DK8" s="3927" t="s">
        <v>65</v>
      </c>
      <c r="DL8" s="4077"/>
      <c r="DM8" s="3927" t="s">
        <v>65</v>
      </c>
      <c r="DN8" s="1946"/>
      <c r="DO8" s="1947"/>
      <c r="DP8" s="1946"/>
      <c r="DQ8" s="1948"/>
      <c r="DR8" s="4077"/>
      <c r="DS8" s="3927" t="s">
        <v>65</v>
      </c>
      <c r="DT8" s="4077"/>
      <c r="DU8" s="3927" t="s">
        <v>65</v>
      </c>
      <c r="DV8" s="1946"/>
      <c r="DW8" s="1947"/>
      <c r="DX8" s="1946"/>
      <c r="DY8" s="1948"/>
      <c r="DZ8" s="4077"/>
      <c r="EA8" s="3927" t="s">
        <v>65</v>
      </c>
      <c r="EB8" s="4077"/>
      <c r="EC8" s="3927" t="s">
        <v>65</v>
      </c>
      <c r="ED8" s="1946"/>
      <c r="EE8" s="1947"/>
      <c r="EF8" s="1946"/>
      <c r="EG8" s="1948"/>
      <c r="EH8" s="4077"/>
      <c r="EI8" s="3927" t="s">
        <v>65</v>
      </c>
      <c r="EJ8" s="4077"/>
      <c r="EK8" s="3927" t="s">
        <v>65</v>
      </c>
      <c r="EL8" s="1946"/>
      <c r="EM8" s="1947"/>
      <c r="EN8" s="1946"/>
      <c r="EO8" s="1948"/>
      <c r="EP8" s="4077"/>
      <c r="EQ8" s="3927" t="s">
        <v>65</v>
      </c>
      <c r="ER8" s="4077"/>
      <c r="ES8" s="3927" t="s">
        <v>65</v>
      </c>
      <c r="ET8" s="1946"/>
      <c r="EU8" s="1947"/>
      <c r="EV8" s="1946"/>
      <c r="EW8" s="1948"/>
      <c r="EX8" s="4077"/>
      <c r="EY8" s="3927" t="s">
        <v>65</v>
      </c>
      <c r="EZ8" s="4077"/>
      <c r="FA8" s="3927" t="s">
        <v>65</v>
      </c>
      <c r="FB8" s="1946"/>
      <c r="FC8" s="1947"/>
      <c r="FD8" s="1946"/>
      <c r="FE8" s="1948"/>
      <c r="FF8" s="4077"/>
      <c r="FG8" s="3927" t="s">
        <v>65</v>
      </c>
      <c r="FH8" s="4077"/>
      <c r="FI8" s="3927" t="s">
        <v>65</v>
      </c>
      <c r="FJ8" s="1946"/>
      <c r="FK8" s="1947"/>
      <c r="FL8" s="1946"/>
      <c r="FM8" s="1948"/>
      <c r="FN8" s="4077"/>
      <c r="FO8" s="3927" t="s">
        <v>65</v>
      </c>
      <c r="FP8" s="4077"/>
      <c r="FQ8" s="3927" t="s">
        <v>65</v>
      </c>
      <c r="FR8" s="1946"/>
      <c r="FS8" s="1947"/>
      <c r="FT8" s="1946"/>
      <c r="FU8" s="1948"/>
      <c r="FV8" s="4077"/>
      <c r="FW8" s="3927" t="s">
        <v>65</v>
      </c>
      <c r="FX8" s="4077"/>
      <c r="FY8" s="3927" t="s">
        <v>65</v>
      </c>
      <c r="FZ8" s="1946"/>
      <c r="GA8" s="1947"/>
      <c r="GB8" s="1946"/>
      <c r="GC8" s="1948"/>
      <c r="GD8" s="4077"/>
      <c r="GE8" s="3927" t="s">
        <v>65</v>
      </c>
      <c r="GF8" s="4077"/>
      <c r="GG8" s="3927" t="s">
        <v>65</v>
      </c>
      <c r="GH8" s="1946"/>
      <c r="GI8" s="1947"/>
      <c r="GJ8" s="1946"/>
      <c r="GK8" s="1948"/>
      <c r="GL8" s="4077"/>
      <c r="GM8" s="3927" t="s">
        <v>65</v>
      </c>
      <c r="GN8" s="4077"/>
      <c r="GO8" s="3927" t="s">
        <v>65</v>
      </c>
      <c r="GP8" s="1946"/>
      <c r="GQ8" s="1947"/>
      <c r="GR8" s="1946"/>
      <c r="GS8" s="1948"/>
      <c r="GT8" s="4077"/>
      <c r="GU8" s="3927" t="s">
        <v>65</v>
      </c>
      <c r="GV8" s="4077"/>
      <c r="GW8" s="3927" t="s">
        <v>65</v>
      </c>
      <c r="GX8" s="1946"/>
      <c r="GY8" s="1947"/>
      <c r="GZ8" s="1946"/>
      <c r="HA8" s="1948"/>
      <c r="HB8" s="4077"/>
      <c r="HC8" s="3927" t="s">
        <v>65</v>
      </c>
      <c r="HD8" s="4077"/>
      <c r="HE8" s="3927" t="s">
        <v>65</v>
      </c>
      <c r="HF8" s="1946"/>
      <c r="HG8" s="1947"/>
      <c r="HH8" s="1946"/>
      <c r="HI8" s="1948"/>
      <c r="HJ8" s="4077"/>
      <c r="HK8" s="3927" t="s">
        <v>65</v>
      </c>
      <c r="HL8" s="4077"/>
      <c r="HM8" s="3927" t="s">
        <v>65</v>
      </c>
      <c r="HN8" s="1946"/>
      <c r="HO8" s="1947"/>
      <c r="HP8" s="1946"/>
      <c r="HQ8" s="1948"/>
      <c r="HR8" s="4077"/>
      <c r="HS8" s="3927" t="s">
        <v>65</v>
      </c>
      <c r="HT8" s="4077"/>
      <c r="HU8" s="3927" t="s">
        <v>65</v>
      </c>
      <c r="HV8" s="1946"/>
      <c r="HW8" s="1947"/>
      <c r="HX8" s="1946"/>
      <c r="HY8" s="1948"/>
      <c r="HZ8" s="4077"/>
      <c r="IA8" s="3927" t="s">
        <v>65</v>
      </c>
      <c r="IB8" s="4077"/>
      <c r="IC8" s="3927" t="s">
        <v>65</v>
      </c>
      <c r="ID8" s="251"/>
      <c r="IE8" s="4069" t="s">
        <v>402</v>
      </c>
      <c r="IF8" s="437" t="e">
        <f ca="1">STRCHECKDATE(V9:ID9)</f>
        <v>#NAME?</v>
      </c>
      <c r="IG8" s="426"/>
      <c r="IH8" s="426" t="str">
        <f t="shared" si="0"/>
        <v/>
      </c>
      <c r="II8" s="426"/>
      <c r="IJ8" s="426"/>
    </row>
    <row r="9" spans="1:244" ht="0.75" hidden="1" customHeight="1">
      <c r="A9" s="1279"/>
      <c r="B9" s="1279"/>
      <c r="C9" s="1279"/>
      <c r="D9" s="1279"/>
      <c r="E9" s="4075"/>
      <c r="F9" s="4075"/>
      <c r="G9" s="4075"/>
      <c r="H9" s="4075"/>
      <c r="I9" s="4095"/>
      <c r="J9" s="4095"/>
      <c r="K9" s="4072"/>
      <c r="L9" s="1280"/>
      <c r="M9" s="462"/>
      <c r="N9" s="1282"/>
      <c r="O9" s="1282"/>
      <c r="P9" s="4073"/>
      <c r="Q9" s="4073"/>
      <c r="R9" s="282"/>
      <c r="S9" s="1225"/>
      <c r="T9" s="219"/>
      <c r="U9" s="219"/>
      <c r="V9" s="251"/>
      <c r="W9" s="251"/>
      <c r="X9" s="251"/>
      <c r="Y9" s="255" t="str">
        <f>Z8&amp;"-"&amp;AB8</f>
        <v>-</v>
      </c>
      <c r="Z9" s="4078"/>
      <c r="AA9" s="3927"/>
      <c r="AB9" s="4078"/>
      <c r="AC9" s="3927"/>
      <c r="AD9" s="251"/>
      <c r="AE9" s="251"/>
      <c r="AF9" s="251"/>
      <c r="AG9" s="255" t="str">
        <f>AH8&amp;"-"&amp;AJ8</f>
        <v>-</v>
      </c>
      <c r="AH9" s="4078"/>
      <c r="AI9" s="3927"/>
      <c r="AJ9" s="4078"/>
      <c r="AK9" s="3927"/>
      <c r="AL9" s="1947"/>
      <c r="AM9" s="1947"/>
      <c r="AN9" s="1947"/>
      <c r="AO9" s="1949" t="str">
        <f>AP8&amp;"-"&amp;AR8</f>
        <v>-</v>
      </c>
      <c r="AP9" s="4078"/>
      <c r="AQ9" s="3927"/>
      <c r="AR9" s="4078"/>
      <c r="AS9" s="3927"/>
      <c r="AT9" s="1947"/>
      <c r="AU9" s="1947"/>
      <c r="AV9" s="1947"/>
      <c r="AW9" s="1949" t="str">
        <f>AX8&amp;"-"&amp;AZ8</f>
        <v>-</v>
      </c>
      <c r="AX9" s="4078"/>
      <c r="AY9" s="3927"/>
      <c r="AZ9" s="4078"/>
      <c r="BA9" s="3927"/>
      <c r="BB9" s="1947"/>
      <c r="BC9" s="1947"/>
      <c r="BD9" s="1947"/>
      <c r="BE9" s="1949" t="str">
        <f>BF8&amp;"-"&amp;BH8</f>
        <v>-</v>
      </c>
      <c r="BF9" s="4078"/>
      <c r="BG9" s="3927"/>
      <c r="BH9" s="4078"/>
      <c r="BI9" s="3927"/>
      <c r="BJ9" s="1947"/>
      <c r="BK9" s="1947"/>
      <c r="BL9" s="1947"/>
      <c r="BM9" s="1949" t="str">
        <f>BN8&amp;"-"&amp;BP8</f>
        <v>-</v>
      </c>
      <c r="BN9" s="4078"/>
      <c r="BO9" s="3927"/>
      <c r="BP9" s="4078"/>
      <c r="BQ9" s="3927"/>
      <c r="BR9" s="1947"/>
      <c r="BS9" s="1947"/>
      <c r="BT9" s="1947"/>
      <c r="BU9" s="1949" t="str">
        <f>BV8&amp;"-"&amp;BX8</f>
        <v>-</v>
      </c>
      <c r="BV9" s="4078"/>
      <c r="BW9" s="3927"/>
      <c r="BX9" s="4078"/>
      <c r="BY9" s="3927"/>
      <c r="BZ9" s="1947"/>
      <c r="CA9" s="1947"/>
      <c r="CB9" s="1947"/>
      <c r="CC9" s="1949" t="str">
        <f>CD8&amp;"-"&amp;CF8</f>
        <v>-</v>
      </c>
      <c r="CD9" s="4078"/>
      <c r="CE9" s="3927"/>
      <c r="CF9" s="4078"/>
      <c r="CG9" s="3927"/>
      <c r="CH9" s="1947"/>
      <c r="CI9" s="1947"/>
      <c r="CJ9" s="1947"/>
      <c r="CK9" s="1949" t="str">
        <f>CL8&amp;"-"&amp;CN8</f>
        <v>-</v>
      </c>
      <c r="CL9" s="4078"/>
      <c r="CM9" s="3927"/>
      <c r="CN9" s="4078"/>
      <c r="CO9" s="3927"/>
      <c r="CP9" s="1947"/>
      <c r="CQ9" s="1947"/>
      <c r="CR9" s="1947"/>
      <c r="CS9" s="1949" t="str">
        <f>CT8&amp;"-"&amp;CV8</f>
        <v>-</v>
      </c>
      <c r="CT9" s="4078"/>
      <c r="CU9" s="3927"/>
      <c r="CV9" s="4078"/>
      <c r="CW9" s="3927"/>
      <c r="CX9" s="1947"/>
      <c r="CY9" s="1947"/>
      <c r="CZ9" s="1947"/>
      <c r="DA9" s="1949" t="str">
        <f>DB8&amp;"-"&amp;DD8</f>
        <v>-</v>
      </c>
      <c r="DB9" s="4078"/>
      <c r="DC9" s="3927"/>
      <c r="DD9" s="4078"/>
      <c r="DE9" s="3927"/>
      <c r="DF9" s="1947"/>
      <c r="DG9" s="1947"/>
      <c r="DH9" s="1947"/>
      <c r="DI9" s="1949" t="str">
        <f>DJ8&amp;"-"&amp;DL8</f>
        <v>-</v>
      </c>
      <c r="DJ9" s="4078"/>
      <c r="DK9" s="3927"/>
      <c r="DL9" s="4078"/>
      <c r="DM9" s="3927"/>
      <c r="DN9" s="1947"/>
      <c r="DO9" s="1947"/>
      <c r="DP9" s="1947"/>
      <c r="DQ9" s="1949" t="str">
        <f>DR8&amp;"-"&amp;DT8</f>
        <v>-</v>
      </c>
      <c r="DR9" s="4078"/>
      <c r="DS9" s="3927"/>
      <c r="DT9" s="4078"/>
      <c r="DU9" s="3927"/>
      <c r="DV9" s="1947"/>
      <c r="DW9" s="1947"/>
      <c r="DX9" s="1947"/>
      <c r="DY9" s="1949" t="str">
        <f>DZ8&amp;"-"&amp;EB8</f>
        <v>-</v>
      </c>
      <c r="DZ9" s="4078"/>
      <c r="EA9" s="3927"/>
      <c r="EB9" s="4078"/>
      <c r="EC9" s="3927"/>
      <c r="ED9" s="1947"/>
      <c r="EE9" s="1947"/>
      <c r="EF9" s="1947"/>
      <c r="EG9" s="1949" t="str">
        <f>EH8&amp;"-"&amp;EJ8</f>
        <v>-</v>
      </c>
      <c r="EH9" s="4078"/>
      <c r="EI9" s="3927"/>
      <c r="EJ9" s="4078"/>
      <c r="EK9" s="3927"/>
      <c r="EL9" s="1947"/>
      <c r="EM9" s="1947"/>
      <c r="EN9" s="1947"/>
      <c r="EO9" s="1949" t="str">
        <f>EP8&amp;"-"&amp;ER8</f>
        <v>-</v>
      </c>
      <c r="EP9" s="4078"/>
      <c r="EQ9" s="3927"/>
      <c r="ER9" s="4078"/>
      <c r="ES9" s="3927"/>
      <c r="ET9" s="1947"/>
      <c r="EU9" s="1947"/>
      <c r="EV9" s="1947"/>
      <c r="EW9" s="1949" t="str">
        <f>EX8&amp;"-"&amp;EZ8</f>
        <v>-</v>
      </c>
      <c r="EX9" s="4078"/>
      <c r="EY9" s="3927"/>
      <c r="EZ9" s="4078"/>
      <c r="FA9" s="3927"/>
      <c r="FB9" s="1947"/>
      <c r="FC9" s="1947"/>
      <c r="FD9" s="1947"/>
      <c r="FE9" s="1949" t="str">
        <f>FF8&amp;"-"&amp;FH8</f>
        <v>-</v>
      </c>
      <c r="FF9" s="4078"/>
      <c r="FG9" s="3927"/>
      <c r="FH9" s="4078"/>
      <c r="FI9" s="3927"/>
      <c r="FJ9" s="1947"/>
      <c r="FK9" s="1947"/>
      <c r="FL9" s="1947"/>
      <c r="FM9" s="1949" t="str">
        <f>FN8&amp;"-"&amp;FP8</f>
        <v>-</v>
      </c>
      <c r="FN9" s="4078"/>
      <c r="FO9" s="3927"/>
      <c r="FP9" s="4078"/>
      <c r="FQ9" s="3927"/>
      <c r="FR9" s="1947"/>
      <c r="FS9" s="1947"/>
      <c r="FT9" s="1947"/>
      <c r="FU9" s="1949" t="str">
        <f>FV8&amp;"-"&amp;FX8</f>
        <v>-</v>
      </c>
      <c r="FV9" s="4078"/>
      <c r="FW9" s="3927"/>
      <c r="FX9" s="4078"/>
      <c r="FY9" s="3927"/>
      <c r="FZ9" s="1947"/>
      <c r="GA9" s="1947"/>
      <c r="GB9" s="1947"/>
      <c r="GC9" s="1949" t="str">
        <f>GD8&amp;"-"&amp;GF8</f>
        <v>-</v>
      </c>
      <c r="GD9" s="4078"/>
      <c r="GE9" s="3927"/>
      <c r="GF9" s="4078"/>
      <c r="GG9" s="3927"/>
      <c r="GH9" s="1947"/>
      <c r="GI9" s="1947"/>
      <c r="GJ9" s="1947"/>
      <c r="GK9" s="1949" t="str">
        <f>GL8&amp;"-"&amp;GN8</f>
        <v>-</v>
      </c>
      <c r="GL9" s="4078"/>
      <c r="GM9" s="3927"/>
      <c r="GN9" s="4078"/>
      <c r="GO9" s="3927"/>
      <c r="GP9" s="1947"/>
      <c r="GQ9" s="1947"/>
      <c r="GR9" s="1947"/>
      <c r="GS9" s="1949" t="str">
        <f>GT8&amp;"-"&amp;GV8</f>
        <v>-</v>
      </c>
      <c r="GT9" s="4078"/>
      <c r="GU9" s="3927"/>
      <c r="GV9" s="4078"/>
      <c r="GW9" s="3927"/>
      <c r="GX9" s="1947"/>
      <c r="GY9" s="1947"/>
      <c r="GZ9" s="1947"/>
      <c r="HA9" s="1949" t="str">
        <f>HB8&amp;"-"&amp;HD8</f>
        <v>-</v>
      </c>
      <c r="HB9" s="4078"/>
      <c r="HC9" s="3927"/>
      <c r="HD9" s="4078"/>
      <c r="HE9" s="3927"/>
      <c r="HF9" s="1947"/>
      <c r="HG9" s="1947"/>
      <c r="HH9" s="1947"/>
      <c r="HI9" s="1949" t="str">
        <f>HJ8&amp;"-"&amp;HL8</f>
        <v>-</v>
      </c>
      <c r="HJ9" s="4078"/>
      <c r="HK9" s="3927"/>
      <c r="HL9" s="4078"/>
      <c r="HM9" s="3927"/>
      <c r="HN9" s="1947"/>
      <c r="HO9" s="1947"/>
      <c r="HP9" s="1947"/>
      <c r="HQ9" s="1949" t="str">
        <f>HR8&amp;"-"&amp;HT8</f>
        <v>-</v>
      </c>
      <c r="HR9" s="4078"/>
      <c r="HS9" s="3927"/>
      <c r="HT9" s="4078"/>
      <c r="HU9" s="3927"/>
      <c r="HV9" s="1947"/>
      <c r="HW9" s="1947"/>
      <c r="HX9" s="1947"/>
      <c r="HY9" s="1949" t="str">
        <f>HZ8&amp;"-"&amp;IB8</f>
        <v>-</v>
      </c>
      <c r="HZ9" s="4078"/>
      <c r="IA9" s="3927"/>
      <c r="IB9" s="4078"/>
      <c r="IC9" s="3927"/>
      <c r="ID9" s="251"/>
      <c r="IE9" s="4070"/>
      <c r="IG9" s="426"/>
      <c r="IH9" s="426" t="str">
        <f t="shared" si="0"/>
        <v/>
      </c>
      <c r="II9" s="426"/>
      <c r="IJ9" s="426"/>
    </row>
    <row r="10" spans="1:244" ht="15" hidden="1" customHeight="1">
      <c r="A10" s="1279"/>
      <c r="B10" s="1279"/>
      <c r="C10" s="1279"/>
      <c r="D10" s="1279"/>
      <c r="E10" s="4075"/>
      <c r="F10" s="4075"/>
      <c r="G10" s="4075"/>
      <c r="H10" s="4075"/>
      <c r="I10" s="4095"/>
      <c r="J10" s="4072"/>
      <c r="K10" s="1279"/>
      <c r="L10" s="1280"/>
      <c r="M10" s="462"/>
      <c r="N10" s="1282"/>
      <c r="P10" s="4073"/>
      <c r="Q10" s="4073"/>
      <c r="R10" s="281"/>
      <c r="S10" s="1198"/>
      <c r="T10" s="207" t="s">
        <v>403</v>
      </c>
      <c r="U10" s="295"/>
      <c r="V10" s="295"/>
      <c r="W10" s="295"/>
      <c r="X10" s="295"/>
      <c r="Y10" s="295"/>
      <c r="Z10" s="295"/>
      <c r="AA10" s="295"/>
      <c r="AB10" s="295"/>
      <c r="AC10" s="295"/>
      <c r="AD10" s="295"/>
      <c r="AE10" s="295"/>
      <c r="AF10" s="295"/>
      <c r="AG10" s="295"/>
      <c r="AH10" s="295"/>
      <c r="AI10" s="295"/>
      <c r="AJ10" s="295"/>
      <c r="AK10" s="295"/>
      <c r="AL10" s="1950"/>
      <c r="AM10" s="1951"/>
      <c r="AN10" s="1952"/>
      <c r="AO10" s="1953"/>
      <c r="AP10" s="1954"/>
      <c r="AQ10" s="1955"/>
      <c r="AR10" s="1956"/>
      <c r="AS10" s="1957"/>
      <c r="AT10" s="1958"/>
      <c r="AU10" s="1959"/>
      <c r="AV10" s="1960"/>
      <c r="AW10" s="1961"/>
      <c r="AX10" s="1962"/>
      <c r="AY10" s="1963"/>
      <c r="AZ10" s="1964"/>
      <c r="BA10" s="1965"/>
      <c r="BB10" s="1966"/>
      <c r="BC10" s="1967"/>
      <c r="BD10" s="1968"/>
      <c r="BE10" s="1969"/>
      <c r="BF10" s="1970"/>
      <c r="BG10" s="1971"/>
      <c r="BH10" s="1972"/>
      <c r="BI10" s="1973"/>
      <c r="BJ10" s="1974"/>
      <c r="BK10" s="1975"/>
      <c r="BL10" s="1976"/>
      <c r="BM10" s="1977"/>
      <c r="BN10" s="1978"/>
      <c r="BO10" s="1979"/>
      <c r="BP10" s="1980"/>
      <c r="BQ10" s="1981"/>
      <c r="BR10" s="1982"/>
      <c r="BS10" s="1983"/>
      <c r="BT10" s="1984"/>
      <c r="BU10" s="1985"/>
      <c r="BV10" s="1986"/>
      <c r="BW10" s="1987"/>
      <c r="BX10" s="1988"/>
      <c r="BY10" s="1989"/>
      <c r="BZ10" s="1990"/>
      <c r="CA10" s="1991"/>
      <c r="CB10" s="1992"/>
      <c r="CC10" s="1993"/>
      <c r="CD10" s="1994"/>
      <c r="CE10" s="1995"/>
      <c r="CF10" s="1996"/>
      <c r="CG10" s="1997"/>
      <c r="CH10" s="1998"/>
      <c r="CI10" s="1999"/>
      <c r="CJ10" s="2000"/>
      <c r="CK10" s="2001"/>
      <c r="CL10" s="2002"/>
      <c r="CM10" s="2003"/>
      <c r="CN10" s="2004"/>
      <c r="CO10" s="2005"/>
      <c r="CP10" s="2006"/>
      <c r="CQ10" s="2007"/>
      <c r="CR10" s="2008"/>
      <c r="CS10" s="2009"/>
      <c r="CT10" s="2010"/>
      <c r="CU10" s="2011"/>
      <c r="CV10" s="2012"/>
      <c r="CW10" s="2013"/>
      <c r="CX10" s="2014"/>
      <c r="CY10" s="2015"/>
      <c r="CZ10" s="2016"/>
      <c r="DA10" s="2017"/>
      <c r="DB10" s="2018"/>
      <c r="DC10" s="2019"/>
      <c r="DD10" s="2020"/>
      <c r="DE10" s="2021"/>
      <c r="DF10" s="2022"/>
      <c r="DG10" s="2023"/>
      <c r="DH10" s="2024"/>
      <c r="DI10" s="2025"/>
      <c r="DJ10" s="2026"/>
      <c r="DK10" s="2027"/>
      <c r="DL10" s="2028"/>
      <c r="DM10" s="2029"/>
      <c r="DN10" s="2030"/>
      <c r="DO10" s="2031"/>
      <c r="DP10" s="2032"/>
      <c r="DQ10" s="2033"/>
      <c r="DR10" s="2034"/>
      <c r="DS10" s="2035"/>
      <c r="DT10" s="2036"/>
      <c r="DU10" s="2037"/>
      <c r="DV10" s="2038"/>
      <c r="DW10" s="2039"/>
      <c r="DX10" s="2040"/>
      <c r="DY10" s="2041"/>
      <c r="DZ10" s="2042"/>
      <c r="EA10" s="2043"/>
      <c r="EB10" s="2044"/>
      <c r="EC10" s="2045"/>
      <c r="ED10" s="2046"/>
      <c r="EE10" s="2047"/>
      <c r="EF10" s="2048"/>
      <c r="EG10" s="2049"/>
      <c r="EH10" s="2050"/>
      <c r="EI10" s="2051"/>
      <c r="EJ10" s="2052"/>
      <c r="EK10" s="2053"/>
      <c r="EL10" s="2054"/>
      <c r="EM10" s="2055"/>
      <c r="EN10" s="2056"/>
      <c r="EO10" s="2057"/>
      <c r="EP10" s="2058"/>
      <c r="EQ10" s="2059"/>
      <c r="ER10" s="2060"/>
      <c r="ES10" s="2061"/>
      <c r="ET10" s="2062"/>
      <c r="EU10" s="2063"/>
      <c r="EV10" s="2064"/>
      <c r="EW10" s="2065"/>
      <c r="EX10" s="2066"/>
      <c r="EY10" s="2067"/>
      <c r="EZ10" s="2068"/>
      <c r="FA10" s="2069"/>
      <c r="FB10" s="2070"/>
      <c r="FC10" s="2071"/>
      <c r="FD10" s="2072"/>
      <c r="FE10" s="2073"/>
      <c r="FF10" s="2074"/>
      <c r="FG10" s="2075"/>
      <c r="FH10" s="2076"/>
      <c r="FI10" s="2077"/>
      <c r="FJ10" s="2078"/>
      <c r="FK10" s="2079"/>
      <c r="FL10" s="2080"/>
      <c r="FM10" s="2081"/>
      <c r="FN10" s="2082"/>
      <c r="FO10" s="2083"/>
      <c r="FP10" s="2084"/>
      <c r="FQ10" s="2085"/>
      <c r="FR10" s="2086"/>
      <c r="FS10" s="2087"/>
      <c r="FT10" s="2088"/>
      <c r="FU10" s="2089"/>
      <c r="FV10" s="2090"/>
      <c r="FW10" s="2091"/>
      <c r="FX10" s="2092"/>
      <c r="FY10" s="2093"/>
      <c r="FZ10" s="2094"/>
      <c r="GA10" s="2095"/>
      <c r="GB10" s="2096"/>
      <c r="GC10" s="2097"/>
      <c r="GD10" s="2098"/>
      <c r="GE10" s="2099"/>
      <c r="GF10" s="2100"/>
      <c r="GG10" s="2101"/>
      <c r="GH10" s="2102"/>
      <c r="GI10" s="2103"/>
      <c r="GJ10" s="2104"/>
      <c r="GK10" s="2105"/>
      <c r="GL10" s="2106"/>
      <c r="GM10" s="2107"/>
      <c r="GN10" s="2108"/>
      <c r="GO10" s="2109"/>
      <c r="GP10" s="2110"/>
      <c r="GQ10" s="2111"/>
      <c r="GR10" s="2112"/>
      <c r="GS10" s="2113"/>
      <c r="GT10" s="2114"/>
      <c r="GU10" s="2115"/>
      <c r="GV10" s="2116"/>
      <c r="GW10" s="2117"/>
      <c r="GX10" s="2118"/>
      <c r="GY10" s="2119"/>
      <c r="GZ10" s="2120"/>
      <c r="HA10" s="2121"/>
      <c r="HB10" s="2122"/>
      <c r="HC10" s="2123"/>
      <c r="HD10" s="2124"/>
      <c r="HE10" s="2125"/>
      <c r="HF10" s="2126"/>
      <c r="HG10" s="2127"/>
      <c r="HH10" s="2128"/>
      <c r="HI10" s="2129"/>
      <c r="HJ10" s="2130"/>
      <c r="HK10" s="2131"/>
      <c r="HL10" s="2132"/>
      <c r="HM10" s="2133"/>
      <c r="HN10" s="2134"/>
      <c r="HO10" s="2135"/>
      <c r="HP10" s="2136"/>
      <c r="HQ10" s="2137"/>
      <c r="HR10" s="2138"/>
      <c r="HS10" s="2139"/>
      <c r="HT10" s="2140"/>
      <c r="HU10" s="2141"/>
      <c r="HV10" s="2142"/>
      <c r="HW10" s="2143"/>
      <c r="HX10" s="2144"/>
      <c r="HY10" s="2145"/>
      <c r="HZ10" s="2146"/>
      <c r="IA10" s="2147"/>
      <c r="IB10" s="2148"/>
      <c r="IC10" s="2149"/>
      <c r="ID10" s="250"/>
      <c r="IE10" s="4071"/>
      <c r="IG10" s="426"/>
      <c r="IH10" s="426" t="str">
        <f t="shared" si="0"/>
        <v>Добавить вид теплоносителя (параметры теплоносителя)</v>
      </c>
      <c r="II10" s="426"/>
      <c r="IJ10" s="426"/>
    </row>
    <row r="11" spans="1:244" ht="15" hidden="1" customHeight="1">
      <c r="A11" s="1279"/>
      <c r="B11" s="1279"/>
      <c r="C11" s="1279"/>
      <c r="D11" s="1279"/>
      <c r="E11" s="4075"/>
      <c r="F11" s="4075"/>
      <c r="G11" s="4075"/>
      <c r="H11" s="4075"/>
      <c r="I11" s="4072"/>
      <c r="J11" s="1279"/>
      <c r="K11" s="1279"/>
      <c r="L11" s="1280"/>
      <c r="M11" s="462"/>
      <c r="P11" s="4073"/>
      <c r="Q11" s="1224"/>
      <c r="R11" s="281"/>
      <c r="S11" s="1198"/>
      <c r="T11" s="206" t="s">
        <v>404</v>
      </c>
      <c r="U11" s="295"/>
      <c r="V11" s="295"/>
      <c r="W11" s="295"/>
      <c r="X11" s="295"/>
      <c r="Y11" s="295"/>
      <c r="Z11" s="295"/>
      <c r="AA11" s="295"/>
      <c r="AB11" s="295"/>
      <c r="AC11" s="294"/>
      <c r="AD11" s="295"/>
      <c r="AE11" s="295"/>
      <c r="AF11" s="295"/>
      <c r="AG11" s="295"/>
      <c r="AH11" s="295"/>
      <c r="AI11" s="295"/>
      <c r="AJ11" s="295"/>
      <c r="AK11" s="294"/>
      <c r="AL11" s="2150"/>
      <c r="AM11" s="2151"/>
      <c r="AN11" s="2152"/>
      <c r="AO11" s="2153"/>
      <c r="AP11" s="2154"/>
      <c r="AQ11" s="2155"/>
      <c r="AR11" s="2156"/>
      <c r="AS11" s="2157"/>
      <c r="AT11" s="2158"/>
      <c r="AU11" s="2159"/>
      <c r="AV11" s="2160"/>
      <c r="AW11" s="2161"/>
      <c r="AX11" s="2162"/>
      <c r="AY11" s="2163"/>
      <c r="AZ11" s="2164"/>
      <c r="BA11" s="2165"/>
      <c r="BB11" s="2166"/>
      <c r="BC11" s="2167"/>
      <c r="BD11" s="2168"/>
      <c r="BE11" s="2169"/>
      <c r="BF11" s="2170"/>
      <c r="BG11" s="2171"/>
      <c r="BH11" s="2172"/>
      <c r="BI11" s="2173"/>
      <c r="BJ11" s="2174"/>
      <c r="BK11" s="2175"/>
      <c r="BL11" s="2176"/>
      <c r="BM11" s="2177"/>
      <c r="BN11" s="2178"/>
      <c r="BO11" s="2179"/>
      <c r="BP11" s="2180"/>
      <c r="BQ11" s="2181"/>
      <c r="BR11" s="2182"/>
      <c r="BS11" s="2183"/>
      <c r="BT11" s="2184"/>
      <c r="BU11" s="2185"/>
      <c r="BV11" s="2186"/>
      <c r="BW11" s="2187"/>
      <c r="BX11" s="2188"/>
      <c r="BY11" s="2189"/>
      <c r="BZ11" s="2190"/>
      <c r="CA11" s="2191"/>
      <c r="CB11" s="2192"/>
      <c r="CC11" s="2193"/>
      <c r="CD11" s="2194"/>
      <c r="CE11" s="2195"/>
      <c r="CF11" s="2196"/>
      <c r="CG11" s="2197"/>
      <c r="CH11" s="2198"/>
      <c r="CI11" s="2199"/>
      <c r="CJ11" s="2200"/>
      <c r="CK11" s="2201"/>
      <c r="CL11" s="2202"/>
      <c r="CM11" s="2203"/>
      <c r="CN11" s="2204"/>
      <c r="CO11" s="2205"/>
      <c r="CP11" s="2206"/>
      <c r="CQ11" s="2207"/>
      <c r="CR11" s="2208"/>
      <c r="CS11" s="2209"/>
      <c r="CT11" s="2210"/>
      <c r="CU11" s="2211"/>
      <c r="CV11" s="2212"/>
      <c r="CW11" s="2213"/>
      <c r="CX11" s="2214"/>
      <c r="CY11" s="2215"/>
      <c r="CZ11" s="2216"/>
      <c r="DA11" s="2217"/>
      <c r="DB11" s="2218"/>
      <c r="DC11" s="2219"/>
      <c r="DD11" s="2220"/>
      <c r="DE11" s="2221"/>
      <c r="DF11" s="2222"/>
      <c r="DG11" s="2223"/>
      <c r="DH11" s="2224"/>
      <c r="DI11" s="2225"/>
      <c r="DJ11" s="2226"/>
      <c r="DK11" s="2227"/>
      <c r="DL11" s="2228"/>
      <c r="DM11" s="2229"/>
      <c r="DN11" s="2230"/>
      <c r="DO11" s="2231"/>
      <c r="DP11" s="2232"/>
      <c r="DQ11" s="2233"/>
      <c r="DR11" s="2234"/>
      <c r="DS11" s="2235"/>
      <c r="DT11" s="2236"/>
      <c r="DU11" s="2237"/>
      <c r="DV11" s="2238"/>
      <c r="DW11" s="2239"/>
      <c r="DX11" s="2240"/>
      <c r="DY11" s="2241"/>
      <c r="DZ11" s="2242"/>
      <c r="EA11" s="2243"/>
      <c r="EB11" s="2244"/>
      <c r="EC11" s="2245"/>
      <c r="ED11" s="2246"/>
      <c r="EE11" s="2247"/>
      <c r="EF11" s="2248"/>
      <c r="EG11" s="2249"/>
      <c r="EH11" s="2250"/>
      <c r="EI11" s="2251"/>
      <c r="EJ11" s="2252"/>
      <c r="EK11" s="2253"/>
      <c r="EL11" s="2254"/>
      <c r="EM11" s="2255"/>
      <c r="EN11" s="2256"/>
      <c r="EO11" s="2257"/>
      <c r="EP11" s="2258"/>
      <c r="EQ11" s="2259"/>
      <c r="ER11" s="2260"/>
      <c r="ES11" s="2261"/>
      <c r="ET11" s="2262"/>
      <c r="EU11" s="2263"/>
      <c r="EV11" s="2264"/>
      <c r="EW11" s="2265"/>
      <c r="EX11" s="2266"/>
      <c r="EY11" s="2267"/>
      <c r="EZ11" s="2268"/>
      <c r="FA11" s="2269"/>
      <c r="FB11" s="2270"/>
      <c r="FC11" s="2271"/>
      <c r="FD11" s="2272"/>
      <c r="FE11" s="2273"/>
      <c r="FF11" s="2274"/>
      <c r="FG11" s="2275"/>
      <c r="FH11" s="2276"/>
      <c r="FI11" s="2277"/>
      <c r="FJ11" s="2278"/>
      <c r="FK11" s="2279"/>
      <c r="FL11" s="2280"/>
      <c r="FM11" s="2281"/>
      <c r="FN11" s="2282"/>
      <c r="FO11" s="2283"/>
      <c r="FP11" s="2284"/>
      <c r="FQ11" s="2285"/>
      <c r="FR11" s="2286"/>
      <c r="FS11" s="2287"/>
      <c r="FT11" s="2288"/>
      <c r="FU11" s="2289"/>
      <c r="FV11" s="2290"/>
      <c r="FW11" s="2291"/>
      <c r="FX11" s="2292"/>
      <c r="FY11" s="2293"/>
      <c r="FZ11" s="2294"/>
      <c r="GA11" s="2295"/>
      <c r="GB11" s="2296"/>
      <c r="GC11" s="2297"/>
      <c r="GD11" s="2298"/>
      <c r="GE11" s="2299"/>
      <c r="GF11" s="2300"/>
      <c r="GG11" s="2301"/>
      <c r="GH11" s="2302"/>
      <c r="GI11" s="2303"/>
      <c r="GJ11" s="2304"/>
      <c r="GK11" s="2305"/>
      <c r="GL11" s="2306"/>
      <c r="GM11" s="2307"/>
      <c r="GN11" s="2308"/>
      <c r="GO11" s="2309"/>
      <c r="GP11" s="2310"/>
      <c r="GQ11" s="2311"/>
      <c r="GR11" s="2312"/>
      <c r="GS11" s="2313"/>
      <c r="GT11" s="2314"/>
      <c r="GU11" s="2315"/>
      <c r="GV11" s="2316"/>
      <c r="GW11" s="2317"/>
      <c r="GX11" s="2318"/>
      <c r="GY11" s="2319"/>
      <c r="GZ11" s="2320"/>
      <c r="HA11" s="2321"/>
      <c r="HB11" s="2322"/>
      <c r="HC11" s="2323"/>
      <c r="HD11" s="2324"/>
      <c r="HE11" s="2325"/>
      <c r="HF11" s="2326"/>
      <c r="HG11" s="2327"/>
      <c r="HH11" s="2328"/>
      <c r="HI11" s="2329"/>
      <c r="HJ11" s="2330"/>
      <c r="HK11" s="2331"/>
      <c r="HL11" s="2332"/>
      <c r="HM11" s="2333"/>
      <c r="HN11" s="2334"/>
      <c r="HO11" s="2335"/>
      <c r="HP11" s="2336"/>
      <c r="HQ11" s="2337"/>
      <c r="HR11" s="2338"/>
      <c r="HS11" s="2339"/>
      <c r="HT11" s="2340"/>
      <c r="HU11" s="2341"/>
      <c r="HV11" s="2342"/>
      <c r="HW11" s="2343"/>
      <c r="HX11" s="2344"/>
      <c r="HY11" s="2345"/>
      <c r="HZ11" s="2346"/>
      <c r="IA11" s="2347"/>
      <c r="IB11" s="2348"/>
      <c r="IC11" s="2349"/>
      <c r="ID11" s="295"/>
      <c r="IE11" s="222"/>
      <c r="IG11" s="426"/>
      <c r="IH11" s="426" t="str">
        <f t="shared" si="0"/>
        <v>Добавить группу потребителей</v>
      </c>
      <c r="II11" s="426"/>
      <c r="IJ11" s="426"/>
    </row>
    <row r="12" spans="1:244" ht="14.25" hidden="1" customHeight="1">
      <c r="A12" s="1279"/>
      <c r="B12" s="1279"/>
      <c r="C12" s="1279"/>
      <c r="D12" s="1279"/>
      <c r="E12" s="4075"/>
      <c r="F12" s="4075"/>
      <c r="G12" s="4075"/>
      <c r="H12" s="4074"/>
      <c r="I12" s="1279"/>
      <c r="J12" s="1279"/>
      <c r="K12" s="1279"/>
      <c r="L12" s="1280"/>
      <c r="M12" s="1281"/>
      <c r="N12" s="1281"/>
      <c r="O12" s="462"/>
      <c r="P12" s="285"/>
      <c r="Q12" s="304"/>
      <c r="R12" s="280"/>
      <c r="S12" s="1198"/>
      <c r="T12" s="292" t="s">
        <v>405</v>
      </c>
      <c r="U12" s="295"/>
      <c r="V12" s="295"/>
      <c r="W12" s="295"/>
      <c r="X12" s="295"/>
      <c r="Y12" s="295"/>
      <c r="Z12" s="295"/>
      <c r="AA12" s="295"/>
      <c r="AB12" s="295"/>
      <c r="AC12" s="294"/>
      <c r="AD12" s="295"/>
      <c r="AE12" s="295"/>
      <c r="AF12" s="295"/>
      <c r="AG12" s="295"/>
      <c r="AH12" s="295"/>
      <c r="AI12" s="295"/>
      <c r="AJ12" s="295"/>
      <c r="AK12" s="294"/>
      <c r="AL12" s="2350"/>
      <c r="AM12" s="2351"/>
      <c r="AN12" s="2352"/>
      <c r="AO12" s="2353"/>
      <c r="AP12" s="2354"/>
      <c r="AQ12" s="2355"/>
      <c r="AR12" s="2356"/>
      <c r="AS12" s="2357"/>
      <c r="AT12" s="2358"/>
      <c r="AU12" s="2359"/>
      <c r="AV12" s="2360"/>
      <c r="AW12" s="2361"/>
      <c r="AX12" s="2362"/>
      <c r="AY12" s="2363"/>
      <c r="AZ12" s="2364"/>
      <c r="BA12" s="2365"/>
      <c r="BB12" s="2366"/>
      <c r="BC12" s="2367"/>
      <c r="BD12" s="2368"/>
      <c r="BE12" s="2369"/>
      <c r="BF12" s="2370"/>
      <c r="BG12" s="2371"/>
      <c r="BH12" s="2372"/>
      <c r="BI12" s="2373"/>
      <c r="BJ12" s="2374"/>
      <c r="BK12" s="2375"/>
      <c r="BL12" s="2376"/>
      <c r="BM12" s="2377"/>
      <c r="BN12" s="2378"/>
      <c r="BO12" s="2379"/>
      <c r="BP12" s="2380"/>
      <c r="BQ12" s="2381"/>
      <c r="BR12" s="2382"/>
      <c r="BS12" s="2383"/>
      <c r="BT12" s="2384"/>
      <c r="BU12" s="2385"/>
      <c r="BV12" s="2386"/>
      <c r="BW12" s="2387"/>
      <c r="BX12" s="2388"/>
      <c r="BY12" s="2389"/>
      <c r="BZ12" s="2390"/>
      <c r="CA12" s="2391"/>
      <c r="CB12" s="2392"/>
      <c r="CC12" s="2393"/>
      <c r="CD12" s="2394"/>
      <c r="CE12" s="2395"/>
      <c r="CF12" s="2396"/>
      <c r="CG12" s="2397"/>
      <c r="CH12" s="2398"/>
      <c r="CI12" s="2399"/>
      <c r="CJ12" s="2400"/>
      <c r="CK12" s="2401"/>
      <c r="CL12" s="2402"/>
      <c r="CM12" s="2403"/>
      <c r="CN12" s="2404"/>
      <c r="CO12" s="2405"/>
      <c r="CP12" s="2406"/>
      <c r="CQ12" s="2407"/>
      <c r="CR12" s="2408"/>
      <c r="CS12" s="2409"/>
      <c r="CT12" s="2410"/>
      <c r="CU12" s="2411"/>
      <c r="CV12" s="2412"/>
      <c r="CW12" s="2413"/>
      <c r="CX12" s="2414"/>
      <c r="CY12" s="2415"/>
      <c r="CZ12" s="2416"/>
      <c r="DA12" s="2417"/>
      <c r="DB12" s="2418"/>
      <c r="DC12" s="2419"/>
      <c r="DD12" s="2420"/>
      <c r="DE12" s="2421"/>
      <c r="DF12" s="2422"/>
      <c r="DG12" s="2423"/>
      <c r="DH12" s="2424"/>
      <c r="DI12" s="2425"/>
      <c r="DJ12" s="2426"/>
      <c r="DK12" s="2427"/>
      <c r="DL12" s="2428"/>
      <c r="DM12" s="2429"/>
      <c r="DN12" s="2430"/>
      <c r="DO12" s="2431"/>
      <c r="DP12" s="2432"/>
      <c r="DQ12" s="2433"/>
      <c r="DR12" s="2434"/>
      <c r="DS12" s="2435"/>
      <c r="DT12" s="2436"/>
      <c r="DU12" s="2437"/>
      <c r="DV12" s="2438"/>
      <c r="DW12" s="2439"/>
      <c r="DX12" s="2440"/>
      <c r="DY12" s="2441"/>
      <c r="DZ12" s="2442"/>
      <c r="EA12" s="2443"/>
      <c r="EB12" s="2444"/>
      <c r="EC12" s="2445"/>
      <c r="ED12" s="2446"/>
      <c r="EE12" s="2447"/>
      <c r="EF12" s="2448"/>
      <c r="EG12" s="2449"/>
      <c r="EH12" s="2450"/>
      <c r="EI12" s="2451"/>
      <c r="EJ12" s="2452"/>
      <c r="EK12" s="2453"/>
      <c r="EL12" s="2454"/>
      <c r="EM12" s="2455"/>
      <c r="EN12" s="2456"/>
      <c r="EO12" s="2457"/>
      <c r="EP12" s="2458"/>
      <c r="EQ12" s="2459"/>
      <c r="ER12" s="2460"/>
      <c r="ES12" s="2461"/>
      <c r="ET12" s="2462"/>
      <c r="EU12" s="2463"/>
      <c r="EV12" s="2464"/>
      <c r="EW12" s="2465"/>
      <c r="EX12" s="2466"/>
      <c r="EY12" s="2467"/>
      <c r="EZ12" s="2468"/>
      <c r="FA12" s="2469"/>
      <c r="FB12" s="2470"/>
      <c r="FC12" s="2471"/>
      <c r="FD12" s="2472"/>
      <c r="FE12" s="2473"/>
      <c r="FF12" s="2474"/>
      <c r="FG12" s="2475"/>
      <c r="FH12" s="2476"/>
      <c r="FI12" s="2477"/>
      <c r="FJ12" s="2478"/>
      <c r="FK12" s="2479"/>
      <c r="FL12" s="2480"/>
      <c r="FM12" s="2481"/>
      <c r="FN12" s="2482"/>
      <c r="FO12" s="2483"/>
      <c r="FP12" s="2484"/>
      <c r="FQ12" s="2485"/>
      <c r="FR12" s="2486"/>
      <c r="FS12" s="2487"/>
      <c r="FT12" s="2488"/>
      <c r="FU12" s="2489"/>
      <c r="FV12" s="2490"/>
      <c r="FW12" s="2491"/>
      <c r="FX12" s="2492"/>
      <c r="FY12" s="2493"/>
      <c r="FZ12" s="2494"/>
      <c r="GA12" s="2495"/>
      <c r="GB12" s="2496"/>
      <c r="GC12" s="2497"/>
      <c r="GD12" s="2498"/>
      <c r="GE12" s="2499"/>
      <c r="GF12" s="2500"/>
      <c r="GG12" s="2501"/>
      <c r="GH12" s="2502"/>
      <c r="GI12" s="2503"/>
      <c r="GJ12" s="2504"/>
      <c r="GK12" s="2505"/>
      <c r="GL12" s="2506"/>
      <c r="GM12" s="2507"/>
      <c r="GN12" s="2508"/>
      <c r="GO12" s="2509"/>
      <c r="GP12" s="2510"/>
      <c r="GQ12" s="2511"/>
      <c r="GR12" s="2512"/>
      <c r="GS12" s="2513"/>
      <c r="GT12" s="2514"/>
      <c r="GU12" s="2515"/>
      <c r="GV12" s="2516"/>
      <c r="GW12" s="2517"/>
      <c r="GX12" s="2518"/>
      <c r="GY12" s="2519"/>
      <c r="GZ12" s="2520"/>
      <c r="HA12" s="2521"/>
      <c r="HB12" s="2522"/>
      <c r="HC12" s="2523"/>
      <c r="HD12" s="2524"/>
      <c r="HE12" s="2525"/>
      <c r="HF12" s="2526"/>
      <c r="HG12" s="2527"/>
      <c r="HH12" s="2528"/>
      <c r="HI12" s="2529"/>
      <c r="HJ12" s="2530"/>
      <c r="HK12" s="2531"/>
      <c r="HL12" s="2532"/>
      <c r="HM12" s="2533"/>
      <c r="HN12" s="2534"/>
      <c r="HO12" s="2535"/>
      <c r="HP12" s="2536"/>
      <c r="HQ12" s="2537"/>
      <c r="HR12" s="2538"/>
      <c r="HS12" s="2539"/>
      <c r="HT12" s="2540"/>
      <c r="HU12" s="2541"/>
      <c r="HV12" s="2542"/>
      <c r="HW12" s="2543"/>
      <c r="HX12" s="2544"/>
      <c r="HY12" s="2545"/>
      <c r="HZ12" s="2546"/>
      <c r="IA12" s="2547"/>
      <c r="IB12" s="2548"/>
      <c r="IC12" s="2549"/>
      <c r="ID12" s="295"/>
      <c r="IE12" s="222"/>
      <c r="IG12" s="426"/>
      <c r="IH12" s="426" t="str">
        <f t="shared" si="0"/>
        <v>Добавить схему подключения</v>
      </c>
      <c r="II12" s="426"/>
      <c r="IJ12" s="426"/>
    </row>
    <row r="13" spans="1:244" s="2550" customFormat="1" ht="0.75" hidden="1" customHeight="1">
      <c r="A13" s="1232"/>
      <c r="B13" s="1232"/>
      <c r="C13" s="1232"/>
      <c r="D13" s="1232"/>
      <c r="E13" s="4075"/>
      <c r="F13" s="4075"/>
      <c r="G13" s="4074"/>
      <c r="H13" s="1232"/>
      <c r="I13" s="1232"/>
      <c r="J13" s="1232"/>
      <c r="K13" s="1232"/>
      <c r="L13" s="1256"/>
      <c r="M13" s="1233"/>
      <c r="N13" s="1233"/>
      <c r="P13" s="1234"/>
      <c r="Q13" s="1235"/>
      <c r="R13" s="1234"/>
      <c r="S13" s="1236"/>
      <c r="T13" s="1237" t="s">
        <v>166</v>
      </c>
      <c r="U13" s="1238"/>
      <c r="V13" s="1238"/>
      <c r="W13" s="1238"/>
      <c r="X13" s="1238"/>
      <c r="Y13" s="1238"/>
      <c r="Z13" s="1238"/>
      <c r="AA13" s="1238"/>
      <c r="AB13" s="1238"/>
      <c r="AC13" s="1238"/>
      <c r="AD13" s="1238"/>
      <c r="AE13" s="1238"/>
      <c r="AF13" s="1238"/>
      <c r="AG13" s="1238"/>
      <c r="AH13" s="1238"/>
      <c r="AI13" s="1238"/>
      <c r="AJ13" s="1238"/>
      <c r="AK13" s="1238"/>
      <c r="AL13" s="2551"/>
      <c r="AM13" s="2551"/>
      <c r="AN13" s="2551"/>
      <c r="AO13" s="2551"/>
      <c r="AP13" s="2551"/>
      <c r="AQ13" s="2551"/>
      <c r="AR13" s="2551"/>
      <c r="AS13" s="2551"/>
      <c r="AT13" s="2551"/>
      <c r="AU13" s="2551"/>
      <c r="AV13" s="2551"/>
      <c r="AW13" s="2551"/>
      <c r="AX13" s="2551"/>
      <c r="AY13" s="2551"/>
      <c r="AZ13" s="2551"/>
      <c r="BA13" s="2551"/>
      <c r="BB13" s="2551"/>
      <c r="BC13" s="2551"/>
      <c r="BD13" s="2551"/>
      <c r="BE13" s="2551"/>
      <c r="BF13" s="2551"/>
      <c r="BG13" s="2551"/>
      <c r="BH13" s="2551"/>
      <c r="BI13" s="2551"/>
      <c r="BJ13" s="2551"/>
      <c r="BK13" s="2551"/>
      <c r="BL13" s="2551"/>
      <c r="BM13" s="2551"/>
      <c r="BN13" s="2551"/>
      <c r="BO13" s="2551"/>
      <c r="BP13" s="2551"/>
      <c r="BQ13" s="2551"/>
      <c r="BR13" s="2551"/>
      <c r="BS13" s="2551"/>
      <c r="BT13" s="2551"/>
      <c r="BU13" s="2551"/>
      <c r="BV13" s="2551"/>
      <c r="BW13" s="2551"/>
      <c r="BX13" s="2551"/>
      <c r="BY13" s="2551"/>
      <c r="BZ13" s="2551"/>
      <c r="CA13" s="2551"/>
      <c r="CB13" s="2551"/>
      <c r="CC13" s="2551"/>
      <c r="CD13" s="2551"/>
      <c r="CE13" s="2551"/>
      <c r="CF13" s="2551"/>
      <c r="CG13" s="2551"/>
      <c r="CH13" s="2551"/>
      <c r="CI13" s="2551"/>
      <c r="CJ13" s="2551"/>
      <c r="CK13" s="2551"/>
      <c r="CL13" s="2551"/>
      <c r="CM13" s="2551"/>
      <c r="CN13" s="2551"/>
      <c r="CO13" s="2551"/>
      <c r="CP13" s="2551"/>
      <c r="CQ13" s="2551"/>
      <c r="CR13" s="2551"/>
      <c r="CS13" s="2551"/>
      <c r="CT13" s="2551"/>
      <c r="CU13" s="2551"/>
      <c r="CV13" s="2551"/>
      <c r="CW13" s="2551"/>
      <c r="CX13" s="2551"/>
      <c r="CY13" s="2551"/>
      <c r="CZ13" s="2551"/>
      <c r="DA13" s="2551"/>
      <c r="DB13" s="2551"/>
      <c r="DC13" s="2551"/>
      <c r="DD13" s="2551"/>
      <c r="DE13" s="2551"/>
      <c r="DF13" s="2551"/>
      <c r="DG13" s="2551"/>
      <c r="DH13" s="2551"/>
      <c r="DI13" s="2551"/>
      <c r="DJ13" s="2551"/>
      <c r="DK13" s="2551"/>
      <c r="DL13" s="2551"/>
      <c r="DM13" s="2551"/>
      <c r="DN13" s="2551"/>
      <c r="DO13" s="2551"/>
      <c r="DP13" s="2551"/>
      <c r="DQ13" s="2551"/>
      <c r="DR13" s="2551"/>
      <c r="DS13" s="2551"/>
      <c r="DT13" s="2551"/>
      <c r="DU13" s="2551"/>
      <c r="DV13" s="2551"/>
      <c r="DW13" s="2551"/>
      <c r="DX13" s="2551"/>
      <c r="DY13" s="2551"/>
      <c r="DZ13" s="2551"/>
      <c r="EA13" s="2551"/>
      <c r="EB13" s="2551"/>
      <c r="EC13" s="2551"/>
      <c r="ED13" s="2551"/>
      <c r="EE13" s="2551"/>
      <c r="EF13" s="2551"/>
      <c r="EG13" s="2551"/>
      <c r="EH13" s="2551"/>
      <c r="EI13" s="2551"/>
      <c r="EJ13" s="2551"/>
      <c r="EK13" s="2551"/>
      <c r="EL13" s="2551"/>
      <c r="EM13" s="2551"/>
      <c r="EN13" s="2551"/>
      <c r="EO13" s="2551"/>
      <c r="EP13" s="2551"/>
      <c r="EQ13" s="2551"/>
      <c r="ER13" s="2551"/>
      <c r="ES13" s="2551"/>
      <c r="ET13" s="2551"/>
      <c r="EU13" s="2551"/>
      <c r="EV13" s="2551"/>
      <c r="EW13" s="2551"/>
      <c r="EX13" s="2551"/>
      <c r="EY13" s="2551"/>
      <c r="EZ13" s="2551"/>
      <c r="FA13" s="2551"/>
      <c r="FB13" s="2551"/>
      <c r="FC13" s="2551"/>
      <c r="FD13" s="2551"/>
      <c r="FE13" s="2551"/>
      <c r="FF13" s="2551"/>
      <c r="FG13" s="2551"/>
      <c r="FH13" s="2551"/>
      <c r="FI13" s="2551"/>
      <c r="FJ13" s="2551"/>
      <c r="FK13" s="2551"/>
      <c r="FL13" s="2551"/>
      <c r="FM13" s="2551"/>
      <c r="FN13" s="2551"/>
      <c r="FO13" s="2551"/>
      <c r="FP13" s="2551"/>
      <c r="FQ13" s="2551"/>
      <c r="FR13" s="2551"/>
      <c r="FS13" s="2551"/>
      <c r="FT13" s="2551"/>
      <c r="FU13" s="2551"/>
      <c r="FV13" s="2551"/>
      <c r="FW13" s="2551"/>
      <c r="FX13" s="2551"/>
      <c r="FY13" s="2551"/>
      <c r="FZ13" s="2551"/>
      <c r="GA13" s="2551"/>
      <c r="GB13" s="2551"/>
      <c r="GC13" s="2551"/>
      <c r="GD13" s="2551"/>
      <c r="GE13" s="2551"/>
      <c r="GF13" s="2551"/>
      <c r="GG13" s="2551"/>
      <c r="GH13" s="2551"/>
      <c r="GI13" s="2551"/>
      <c r="GJ13" s="2551"/>
      <c r="GK13" s="2551"/>
      <c r="GL13" s="2551"/>
      <c r="GM13" s="2551"/>
      <c r="GN13" s="2551"/>
      <c r="GO13" s="2551"/>
      <c r="GP13" s="2551"/>
      <c r="GQ13" s="2551"/>
      <c r="GR13" s="2551"/>
      <c r="GS13" s="2551"/>
      <c r="GT13" s="2551"/>
      <c r="GU13" s="2551"/>
      <c r="GV13" s="2551"/>
      <c r="GW13" s="2551"/>
      <c r="GX13" s="2551"/>
      <c r="GY13" s="2551"/>
      <c r="GZ13" s="2551"/>
      <c r="HA13" s="2551"/>
      <c r="HB13" s="2551"/>
      <c r="HC13" s="2551"/>
      <c r="HD13" s="2551"/>
      <c r="HE13" s="2551"/>
      <c r="HF13" s="2551"/>
      <c r="HG13" s="2551"/>
      <c r="HH13" s="2551"/>
      <c r="HI13" s="2551"/>
      <c r="HJ13" s="2551"/>
      <c r="HK13" s="2551"/>
      <c r="HL13" s="2551"/>
      <c r="HM13" s="2551"/>
      <c r="HN13" s="2551"/>
      <c r="HO13" s="2551"/>
      <c r="HP13" s="2551"/>
      <c r="HQ13" s="2551"/>
      <c r="HR13" s="2551"/>
      <c r="HS13" s="2551"/>
      <c r="HT13" s="2551"/>
      <c r="HU13" s="2551"/>
      <c r="HV13" s="2551"/>
      <c r="HW13" s="2551"/>
      <c r="HX13" s="2551"/>
      <c r="HY13" s="2551"/>
      <c r="HZ13" s="2551"/>
      <c r="IA13" s="2551"/>
      <c r="IB13" s="2551"/>
      <c r="IC13" s="2551"/>
      <c r="ID13" s="1238"/>
      <c r="IE13" s="1238"/>
      <c r="IG13" s="706"/>
      <c r="IH13" s="706" t="str">
        <f t="shared" si="0"/>
        <v>Добавить источник для дифференциации</v>
      </c>
      <c r="II13" s="706"/>
      <c r="IJ13" s="706"/>
    </row>
    <row r="14" spans="1:244" s="2550" customFormat="1" ht="0.75" hidden="1" customHeight="1">
      <c r="A14" s="1232"/>
      <c r="B14" s="1232"/>
      <c r="C14" s="1232"/>
      <c r="D14" s="1232"/>
      <c r="E14" s="4075"/>
      <c r="F14" s="4074"/>
      <c r="G14" s="1232"/>
      <c r="H14" s="1232"/>
      <c r="I14" s="1232"/>
      <c r="J14" s="1232"/>
      <c r="K14" s="1232"/>
      <c r="L14" s="1256"/>
      <c r="M14" s="1239"/>
      <c r="N14" s="1239"/>
      <c r="P14" s="1234"/>
      <c r="Q14" s="1235"/>
      <c r="R14" s="1234"/>
      <c r="S14" s="1240"/>
      <c r="T14" s="1241" t="s">
        <v>167</v>
      </c>
      <c r="U14" s="1242"/>
      <c r="V14" s="1242"/>
      <c r="W14" s="1242"/>
      <c r="X14" s="1242"/>
      <c r="Y14" s="1242"/>
      <c r="Z14" s="1242"/>
      <c r="AA14" s="1242"/>
      <c r="AB14" s="1242"/>
      <c r="AC14" s="1242"/>
      <c r="AD14" s="1242"/>
      <c r="AE14" s="1242"/>
      <c r="AF14" s="1242"/>
      <c r="AG14" s="1242"/>
      <c r="AH14" s="1242"/>
      <c r="AI14" s="1242"/>
      <c r="AJ14" s="1242"/>
      <c r="AK14" s="1242"/>
      <c r="AL14" s="2552"/>
      <c r="AM14" s="2552"/>
      <c r="AN14" s="2552"/>
      <c r="AO14" s="2552"/>
      <c r="AP14" s="2552"/>
      <c r="AQ14" s="2552"/>
      <c r="AR14" s="2552"/>
      <c r="AS14" s="2552"/>
      <c r="AT14" s="2552"/>
      <c r="AU14" s="2552"/>
      <c r="AV14" s="2552"/>
      <c r="AW14" s="2552"/>
      <c r="AX14" s="2552"/>
      <c r="AY14" s="2552"/>
      <c r="AZ14" s="2552"/>
      <c r="BA14" s="2552"/>
      <c r="BB14" s="2552"/>
      <c r="BC14" s="2552"/>
      <c r="BD14" s="2552"/>
      <c r="BE14" s="2552"/>
      <c r="BF14" s="2552"/>
      <c r="BG14" s="2552"/>
      <c r="BH14" s="2552"/>
      <c r="BI14" s="2552"/>
      <c r="BJ14" s="2552"/>
      <c r="BK14" s="2552"/>
      <c r="BL14" s="2552"/>
      <c r="BM14" s="2552"/>
      <c r="BN14" s="2552"/>
      <c r="BO14" s="2552"/>
      <c r="BP14" s="2552"/>
      <c r="BQ14" s="2552"/>
      <c r="BR14" s="2552"/>
      <c r="BS14" s="2552"/>
      <c r="BT14" s="2552"/>
      <c r="BU14" s="2552"/>
      <c r="BV14" s="2552"/>
      <c r="BW14" s="2552"/>
      <c r="BX14" s="2552"/>
      <c r="BY14" s="2552"/>
      <c r="BZ14" s="2552"/>
      <c r="CA14" s="2552"/>
      <c r="CB14" s="2552"/>
      <c r="CC14" s="2552"/>
      <c r="CD14" s="2552"/>
      <c r="CE14" s="2552"/>
      <c r="CF14" s="2552"/>
      <c r="CG14" s="2552"/>
      <c r="CH14" s="2552"/>
      <c r="CI14" s="2552"/>
      <c r="CJ14" s="2552"/>
      <c r="CK14" s="2552"/>
      <c r="CL14" s="2552"/>
      <c r="CM14" s="2552"/>
      <c r="CN14" s="2552"/>
      <c r="CO14" s="2552"/>
      <c r="CP14" s="2552"/>
      <c r="CQ14" s="2552"/>
      <c r="CR14" s="2552"/>
      <c r="CS14" s="2552"/>
      <c r="CT14" s="2552"/>
      <c r="CU14" s="2552"/>
      <c r="CV14" s="2552"/>
      <c r="CW14" s="2552"/>
      <c r="CX14" s="2552"/>
      <c r="CY14" s="2552"/>
      <c r="CZ14" s="2552"/>
      <c r="DA14" s="2552"/>
      <c r="DB14" s="2552"/>
      <c r="DC14" s="2552"/>
      <c r="DD14" s="2552"/>
      <c r="DE14" s="2552"/>
      <c r="DF14" s="2552"/>
      <c r="DG14" s="2552"/>
      <c r="DH14" s="2552"/>
      <c r="DI14" s="2552"/>
      <c r="DJ14" s="2552"/>
      <c r="DK14" s="2552"/>
      <c r="DL14" s="2552"/>
      <c r="DM14" s="2552"/>
      <c r="DN14" s="2552"/>
      <c r="DO14" s="2552"/>
      <c r="DP14" s="2552"/>
      <c r="DQ14" s="2552"/>
      <c r="DR14" s="2552"/>
      <c r="DS14" s="2552"/>
      <c r="DT14" s="2552"/>
      <c r="DU14" s="2552"/>
      <c r="DV14" s="2552"/>
      <c r="DW14" s="2552"/>
      <c r="DX14" s="2552"/>
      <c r="DY14" s="2552"/>
      <c r="DZ14" s="2552"/>
      <c r="EA14" s="2552"/>
      <c r="EB14" s="2552"/>
      <c r="EC14" s="2552"/>
      <c r="ED14" s="2552"/>
      <c r="EE14" s="2552"/>
      <c r="EF14" s="2552"/>
      <c r="EG14" s="2552"/>
      <c r="EH14" s="2552"/>
      <c r="EI14" s="2552"/>
      <c r="EJ14" s="2552"/>
      <c r="EK14" s="2552"/>
      <c r="EL14" s="2552"/>
      <c r="EM14" s="2552"/>
      <c r="EN14" s="2552"/>
      <c r="EO14" s="2552"/>
      <c r="EP14" s="2552"/>
      <c r="EQ14" s="2552"/>
      <c r="ER14" s="2552"/>
      <c r="ES14" s="2552"/>
      <c r="ET14" s="2552"/>
      <c r="EU14" s="2552"/>
      <c r="EV14" s="2552"/>
      <c r="EW14" s="2552"/>
      <c r="EX14" s="2552"/>
      <c r="EY14" s="2552"/>
      <c r="EZ14" s="2552"/>
      <c r="FA14" s="2552"/>
      <c r="FB14" s="2552"/>
      <c r="FC14" s="2552"/>
      <c r="FD14" s="2552"/>
      <c r="FE14" s="2552"/>
      <c r="FF14" s="2552"/>
      <c r="FG14" s="2552"/>
      <c r="FH14" s="2552"/>
      <c r="FI14" s="2552"/>
      <c r="FJ14" s="2552"/>
      <c r="FK14" s="2552"/>
      <c r="FL14" s="2552"/>
      <c r="FM14" s="2552"/>
      <c r="FN14" s="2552"/>
      <c r="FO14" s="2552"/>
      <c r="FP14" s="2552"/>
      <c r="FQ14" s="2552"/>
      <c r="FR14" s="2552"/>
      <c r="FS14" s="2552"/>
      <c r="FT14" s="2552"/>
      <c r="FU14" s="2552"/>
      <c r="FV14" s="2552"/>
      <c r="FW14" s="2552"/>
      <c r="FX14" s="2552"/>
      <c r="FY14" s="2552"/>
      <c r="FZ14" s="2552"/>
      <c r="GA14" s="2552"/>
      <c r="GB14" s="2552"/>
      <c r="GC14" s="2552"/>
      <c r="GD14" s="2552"/>
      <c r="GE14" s="2552"/>
      <c r="GF14" s="2552"/>
      <c r="GG14" s="2552"/>
      <c r="GH14" s="2552"/>
      <c r="GI14" s="2552"/>
      <c r="GJ14" s="2552"/>
      <c r="GK14" s="2552"/>
      <c r="GL14" s="2552"/>
      <c r="GM14" s="2552"/>
      <c r="GN14" s="2552"/>
      <c r="GO14" s="2552"/>
      <c r="GP14" s="2552"/>
      <c r="GQ14" s="2552"/>
      <c r="GR14" s="2552"/>
      <c r="GS14" s="2552"/>
      <c r="GT14" s="2552"/>
      <c r="GU14" s="2552"/>
      <c r="GV14" s="2552"/>
      <c r="GW14" s="2552"/>
      <c r="GX14" s="2552"/>
      <c r="GY14" s="2552"/>
      <c r="GZ14" s="2552"/>
      <c r="HA14" s="2552"/>
      <c r="HB14" s="2552"/>
      <c r="HC14" s="2552"/>
      <c r="HD14" s="2552"/>
      <c r="HE14" s="2552"/>
      <c r="HF14" s="2552"/>
      <c r="HG14" s="2552"/>
      <c r="HH14" s="2552"/>
      <c r="HI14" s="2552"/>
      <c r="HJ14" s="2552"/>
      <c r="HK14" s="2552"/>
      <c r="HL14" s="2552"/>
      <c r="HM14" s="2552"/>
      <c r="HN14" s="2552"/>
      <c r="HO14" s="2552"/>
      <c r="HP14" s="2552"/>
      <c r="HQ14" s="2552"/>
      <c r="HR14" s="2552"/>
      <c r="HS14" s="2552"/>
      <c r="HT14" s="2552"/>
      <c r="HU14" s="2552"/>
      <c r="HV14" s="2552"/>
      <c r="HW14" s="2552"/>
      <c r="HX14" s="2552"/>
      <c r="HY14" s="2552"/>
      <c r="HZ14" s="2552"/>
      <c r="IA14" s="2552"/>
      <c r="IB14" s="2552"/>
      <c r="IC14" s="2552"/>
      <c r="ID14" s="1242"/>
      <c r="IE14" s="1242"/>
      <c r="IG14" s="706"/>
      <c r="IH14" s="706" t="str">
        <f t="shared" si="0"/>
        <v>Добавить централизованную систему для дифференциации</v>
      </c>
      <c r="II14" s="706"/>
      <c r="IJ14" s="706"/>
    </row>
    <row r="15" spans="1:244" s="2550" customFormat="1" ht="0.75" hidden="1" customHeight="1">
      <c r="A15" s="1232"/>
      <c r="B15" s="1232"/>
      <c r="C15" s="1232"/>
      <c r="D15" s="1232"/>
      <c r="E15" s="4074"/>
      <c r="F15" s="1232"/>
      <c r="G15" s="1232"/>
      <c r="H15" s="1232"/>
      <c r="I15" s="1232"/>
      <c r="J15" s="1232"/>
      <c r="K15" s="1232"/>
      <c r="L15" s="1256"/>
      <c r="M15" s="1239"/>
      <c r="N15" s="1239"/>
      <c r="P15" s="1234"/>
      <c r="Q15" s="1235"/>
      <c r="R15" s="1234"/>
      <c r="S15" s="1240"/>
      <c r="T15" s="1243" t="s">
        <v>168</v>
      </c>
      <c r="U15" s="1242"/>
      <c r="V15" s="1242"/>
      <c r="W15" s="1242"/>
      <c r="X15" s="1242"/>
      <c r="Y15" s="1242"/>
      <c r="Z15" s="1242"/>
      <c r="AA15" s="1242"/>
      <c r="AB15" s="1242"/>
      <c r="AC15" s="1242"/>
      <c r="AD15" s="1242"/>
      <c r="AE15" s="1242"/>
      <c r="AF15" s="1242"/>
      <c r="AG15" s="1242"/>
      <c r="AH15" s="1242"/>
      <c r="AI15" s="1242"/>
      <c r="AJ15" s="1242"/>
      <c r="AK15" s="1242"/>
      <c r="AL15" s="2552"/>
      <c r="AM15" s="2552"/>
      <c r="AN15" s="2552"/>
      <c r="AO15" s="2552"/>
      <c r="AP15" s="2552"/>
      <c r="AQ15" s="2552"/>
      <c r="AR15" s="2552"/>
      <c r="AS15" s="2552"/>
      <c r="AT15" s="2552"/>
      <c r="AU15" s="2552"/>
      <c r="AV15" s="2552"/>
      <c r="AW15" s="2552"/>
      <c r="AX15" s="2552"/>
      <c r="AY15" s="2552"/>
      <c r="AZ15" s="2552"/>
      <c r="BA15" s="2552"/>
      <c r="BB15" s="2552"/>
      <c r="BC15" s="2552"/>
      <c r="BD15" s="2552"/>
      <c r="BE15" s="2552"/>
      <c r="BF15" s="2552"/>
      <c r="BG15" s="2552"/>
      <c r="BH15" s="2552"/>
      <c r="BI15" s="2552"/>
      <c r="BJ15" s="2552"/>
      <c r="BK15" s="2552"/>
      <c r="BL15" s="2552"/>
      <c r="BM15" s="2552"/>
      <c r="BN15" s="2552"/>
      <c r="BO15" s="2552"/>
      <c r="BP15" s="2552"/>
      <c r="BQ15" s="2552"/>
      <c r="BR15" s="2552"/>
      <c r="BS15" s="2552"/>
      <c r="BT15" s="2552"/>
      <c r="BU15" s="2552"/>
      <c r="BV15" s="2552"/>
      <c r="BW15" s="2552"/>
      <c r="BX15" s="2552"/>
      <c r="BY15" s="2552"/>
      <c r="BZ15" s="2552"/>
      <c r="CA15" s="2552"/>
      <c r="CB15" s="2552"/>
      <c r="CC15" s="2552"/>
      <c r="CD15" s="2552"/>
      <c r="CE15" s="2552"/>
      <c r="CF15" s="2552"/>
      <c r="CG15" s="2552"/>
      <c r="CH15" s="2552"/>
      <c r="CI15" s="2552"/>
      <c r="CJ15" s="2552"/>
      <c r="CK15" s="2552"/>
      <c r="CL15" s="2552"/>
      <c r="CM15" s="2552"/>
      <c r="CN15" s="2552"/>
      <c r="CO15" s="2552"/>
      <c r="CP15" s="2552"/>
      <c r="CQ15" s="2552"/>
      <c r="CR15" s="2552"/>
      <c r="CS15" s="2552"/>
      <c r="CT15" s="2552"/>
      <c r="CU15" s="2552"/>
      <c r="CV15" s="2552"/>
      <c r="CW15" s="2552"/>
      <c r="CX15" s="2552"/>
      <c r="CY15" s="2552"/>
      <c r="CZ15" s="2552"/>
      <c r="DA15" s="2552"/>
      <c r="DB15" s="2552"/>
      <c r="DC15" s="2552"/>
      <c r="DD15" s="2552"/>
      <c r="DE15" s="2552"/>
      <c r="DF15" s="2552"/>
      <c r="DG15" s="2552"/>
      <c r="DH15" s="2552"/>
      <c r="DI15" s="2552"/>
      <c r="DJ15" s="2552"/>
      <c r="DK15" s="2552"/>
      <c r="DL15" s="2552"/>
      <c r="DM15" s="2552"/>
      <c r="DN15" s="2552"/>
      <c r="DO15" s="2552"/>
      <c r="DP15" s="2552"/>
      <c r="DQ15" s="2552"/>
      <c r="DR15" s="2552"/>
      <c r="DS15" s="2552"/>
      <c r="DT15" s="2552"/>
      <c r="DU15" s="2552"/>
      <c r="DV15" s="2552"/>
      <c r="DW15" s="2552"/>
      <c r="DX15" s="2552"/>
      <c r="DY15" s="2552"/>
      <c r="DZ15" s="2552"/>
      <c r="EA15" s="2552"/>
      <c r="EB15" s="2552"/>
      <c r="EC15" s="2552"/>
      <c r="ED15" s="2552"/>
      <c r="EE15" s="2552"/>
      <c r="EF15" s="2552"/>
      <c r="EG15" s="2552"/>
      <c r="EH15" s="2552"/>
      <c r="EI15" s="2552"/>
      <c r="EJ15" s="2552"/>
      <c r="EK15" s="2552"/>
      <c r="EL15" s="2552"/>
      <c r="EM15" s="2552"/>
      <c r="EN15" s="2552"/>
      <c r="EO15" s="2552"/>
      <c r="EP15" s="2552"/>
      <c r="EQ15" s="2552"/>
      <c r="ER15" s="2552"/>
      <c r="ES15" s="2552"/>
      <c r="ET15" s="2552"/>
      <c r="EU15" s="2552"/>
      <c r="EV15" s="2552"/>
      <c r="EW15" s="2552"/>
      <c r="EX15" s="2552"/>
      <c r="EY15" s="2552"/>
      <c r="EZ15" s="2552"/>
      <c r="FA15" s="2552"/>
      <c r="FB15" s="2552"/>
      <c r="FC15" s="2552"/>
      <c r="FD15" s="2552"/>
      <c r="FE15" s="2552"/>
      <c r="FF15" s="2552"/>
      <c r="FG15" s="2552"/>
      <c r="FH15" s="2552"/>
      <c r="FI15" s="2552"/>
      <c r="FJ15" s="2552"/>
      <c r="FK15" s="2552"/>
      <c r="FL15" s="2552"/>
      <c r="FM15" s="2552"/>
      <c r="FN15" s="2552"/>
      <c r="FO15" s="2552"/>
      <c r="FP15" s="2552"/>
      <c r="FQ15" s="2552"/>
      <c r="FR15" s="2552"/>
      <c r="FS15" s="2552"/>
      <c r="FT15" s="2552"/>
      <c r="FU15" s="2552"/>
      <c r="FV15" s="2552"/>
      <c r="FW15" s="2552"/>
      <c r="FX15" s="2552"/>
      <c r="FY15" s="2552"/>
      <c r="FZ15" s="2552"/>
      <c r="GA15" s="2552"/>
      <c r="GB15" s="2552"/>
      <c r="GC15" s="2552"/>
      <c r="GD15" s="2552"/>
      <c r="GE15" s="2552"/>
      <c r="GF15" s="2552"/>
      <c r="GG15" s="2552"/>
      <c r="GH15" s="2552"/>
      <c r="GI15" s="2552"/>
      <c r="GJ15" s="2552"/>
      <c r="GK15" s="2552"/>
      <c r="GL15" s="2552"/>
      <c r="GM15" s="2552"/>
      <c r="GN15" s="2552"/>
      <c r="GO15" s="2552"/>
      <c r="GP15" s="2552"/>
      <c r="GQ15" s="2552"/>
      <c r="GR15" s="2552"/>
      <c r="GS15" s="2552"/>
      <c r="GT15" s="2552"/>
      <c r="GU15" s="2552"/>
      <c r="GV15" s="2552"/>
      <c r="GW15" s="2552"/>
      <c r="GX15" s="2552"/>
      <c r="GY15" s="2552"/>
      <c r="GZ15" s="2552"/>
      <c r="HA15" s="2552"/>
      <c r="HB15" s="2552"/>
      <c r="HC15" s="2552"/>
      <c r="HD15" s="2552"/>
      <c r="HE15" s="2552"/>
      <c r="HF15" s="2552"/>
      <c r="HG15" s="2552"/>
      <c r="HH15" s="2552"/>
      <c r="HI15" s="2552"/>
      <c r="HJ15" s="2552"/>
      <c r="HK15" s="2552"/>
      <c r="HL15" s="2552"/>
      <c r="HM15" s="2552"/>
      <c r="HN15" s="2552"/>
      <c r="HO15" s="2552"/>
      <c r="HP15" s="2552"/>
      <c r="HQ15" s="2552"/>
      <c r="HR15" s="2552"/>
      <c r="HS15" s="2552"/>
      <c r="HT15" s="2552"/>
      <c r="HU15" s="2552"/>
      <c r="HV15" s="2552"/>
      <c r="HW15" s="2552"/>
      <c r="HX15" s="2552"/>
      <c r="HY15" s="2552"/>
      <c r="HZ15" s="2552"/>
      <c r="IA15" s="2552"/>
      <c r="IB15" s="2552"/>
      <c r="IC15" s="2552"/>
      <c r="ID15" s="1242"/>
      <c r="IE15" s="1242"/>
      <c r="IG15" s="706"/>
      <c r="IH15" s="706" t="str">
        <f t="shared" si="0"/>
        <v>Добавить территорию для дифференциации</v>
      </c>
      <c r="II15" s="706"/>
      <c r="IJ15" s="706"/>
    </row>
    <row r="16" spans="1:244" ht="14.25" hidden="1" customHeight="1">
      <c r="AC16" s="254"/>
      <c r="AK16" s="254"/>
      <c r="AL16" s="1945"/>
      <c r="AM16" s="1945"/>
      <c r="AN16" s="1945"/>
      <c r="AO16" s="1945"/>
      <c r="AP16" s="1945"/>
      <c r="AQ16" s="1945"/>
      <c r="AR16" s="1945"/>
      <c r="AS16" s="1945"/>
      <c r="AT16" s="1945"/>
      <c r="AU16" s="1945"/>
      <c r="AV16" s="1945"/>
      <c r="AW16" s="1945"/>
      <c r="AX16" s="1945"/>
      <c r="AY16" s="1945"/>
      <c r="AZ16" s="1945"/>
      <c r="BA16" s="1945"/>
      <c r="BB16" s="1945"/>
      <c r="BC16" s="1945"/>
      <c r="BD16" s="1945"/>
      <c r="BE16" s="1945"/>
      <c r="BF16" s="1945"/>
      <c r="BG16" s="1945"/>
      <c r="BH16" s="1945"/>
      <c r="BI16" s="1945"/>
      <c r="BJ16" s="1945"/>
      <c r="BK16" s="1945"/>
      <c r="BL16" s="1945"/>
      <c r="BM16" s="1945"/>
      <c r="BN16" s="1945"/>
      <c r="BO16" s="1945"/>
      <c r="BP16" s="1945"/>
      <c r="BQ16" s="1945"/>
      <c r="BR16" s="1945"/>
      <c r="BS16" s="1945"/>
      <c r="BT16" s="1945"/>
      <c r="BU16" s="1945"/>
      <c r="BV16" s="1945"/>
      <c r="BW16" s="1945"/>
      <c r="BX16" s="1945"/>
      <c r="BY16" s="1945"/>
      <c r="BZ16" s="1945"/>
      <c r="CA16" s="1945"/>
      <c r="CB16" s="1945"/>
      <c r="CC16" s="1945"/>
      <c r="CD16" s="1945"/>
      <c r="CE16" s="1945"/>
      <c r="CF16" s="1945"/>
      <c r="CG16" s="1945"/>
      <c r="CH16" s="1945"/>
      <c r="CI16" s="1945"/>
      <c r="CJ16" s="1945"/>
      <c r="CK16" s="1945"/>
      <c r="CL16" s="1945"/>
      <c r="CM16" s="1945"/>
      <c r="CN16" s="1945"/>
      <c r="CO16" s="1945"/>
      <c r="CP16" s="1945"/>
      <c r="CQ16" s="1945"/>
      <c r="CR16" s="1945"/>
      <c r="CS16" s="1945"/>
      <c r="CT16" s="1945"/>
      <c r="CU16" s="1945"/>
      <c r="CV16" s="1945"/>
      <c r="CW16" s="1945"/>
      <c r="CX16" s="1945"/>
      <c r="CY16" s="1945"/>
      <c r="CZ16" s="1945"/>
      <c r="DA16" s="1945"/>
      <c r="DB16" s="1945"/>
      <c r="DC16" s="1945"/>
      <c r="DD16" s="1945"/>
      <c r="DE16" s="1945"/>
      <c r="DF16" s="1945"/>
      <c r="DG16" s="1945"/>
      <c r="DH16" s="1945"/>
      <c r="DI16" s="1945"/>
      <c r="DJ16" s="1945"/>
      <c r="DK16" s="1945"/>
      <c r="DL16" s="1945"/>
      <c r="DM16" s="1945"/>
      <c r="DN16" s="1945"/>
      <c r="DO16" s="1945"/>
      <c r="DP16" s="1945"/>
      <c r="DQ16" s="1945"/>
      <c r="DR16" s="1945"/>
      <c r="DS16" s="1945"/>
      <c r="DT16" s="1945"/>
      <c r="DU16" s="1945"/>
      <c r="DV16" s="1945"/>
      <c r="DW16" s="1945"/>
      <c r="DX16" s="1945"/>
      <c r="DY16" s="1945"/>
      <c r="DZ16" s="1945"/>
      <c r="EA16" s="1945"/>
      <c r="EB16" s="1945"/>
      <c r="EC16" s="1945"/>
      <c r="ED16" s="1945"/>
      <c r="EE16" s="1945"/>
      <c r="EF16" s="1945"/>
      <c r="EG16" s="1945"/>
      <c r="EH16" s="1945"/>
      <c r="EI16" s="1945"/>
      <c r="EJ16" s="1945"/>
      <c r="EK16" s="1945"/>
      <c r="EL16" s="1945"/>
      <c r="EM16" s="1945"/>
      <c r="EN16" s="1945"/>
      <c r="EO16" s="1945"/>
      <c r="EP16" s="1945"/>
      <c r="EQ16" s="1945"/>
      <c r="ER16" s="1945"/>
      <c r="ES16" s="1945"/>
      <c r="ET16" s="1945"/>
      <c r="EU16" s="1945"/>
      <c r="EV16" s="1945"/>
      <c r="EW16" s="1945"/>
      <c r="EX16" s="1945"/>
      <c r="EY16" s="1945"/>
      <c r="EZ16" s="1945"/>
      <c r="FA16" s="1945"/>
      <c r="FB16" s="1945"/>
      <c r="FC16" s="1945"/>
      <c r="FD16" s="1945"/>
      <c r="FE16" s="1945"/>
      <c r="FF16" s="1945"/>
      <c r="FG16" s="1945"/>
      <c r="FH16" s="1945"/>
      <c r="FI16" s="1945"/>
      <c r="FJ16" s="1945"/>
      <c r="FK16" s="1945"/>
      <c r="FL16" s="1945"/>
      <c r="FM16" s="1945"/>
      <c r="FN16" s="1945"/>
      <c r="FO16" s="1945"/>
      <c r="FP16" s="1945"/>
      <c r="FQ16" s="1945"/>
      <c r="FR16" s="1945"/>
      <c r="FS16" s="1945"/>
      <c r="FT16" s="1945"/>
      <c r="FU16" s="1945"/>
      <c r="FV16" s="1945"/>
      <c r="FW16" s="1945"/>
      <c r="FX16" s="1945"/>
      <c r="FY16" s="1945"/>
      <c r="FZ16" s="1945"/>
      <c r="GA16" s="1945"/>
      <c r="GB16" s="1945"/>
      <c r="GC16" s="1945"/>
      <c r="GD16" s="1945"/>
      <c r="GE16" s="1945"/>
      <c r="GF16" s="1945"/>
      <c r="GG16" s="1945"/>
      <c r="GH16" s="1945"/>
      <c r="GI16" s="1945"/>
      <c r="GJ16" s="1945"/>
      <c r="GK16" s="1945"/>
      <c r="GL16" s="1945"/>
      <c r="GM16" s="1945"/>
      <c r="GN16" s="1945"/>
      <c r="GO16" s="1945"/>
      <c r="GP16" s="1945"/>
      <c r="GQ16" s="1945"/>
      <c r="GR16" s="1945"/>
      <c r="GS16" s="1945"/>
      <c r="GT16" s="1945"/>
      <c r="GU16" s="1945"/>
      <c r="GV16" s="1945"/>
      <c r="GW16" s="1945"/>
      <c r="GX16" s="1945"/>
      <c r="GY16" s="1945"/>
      <c r="GZ16" s="1945"/>
      <c r="HA16" s="1945"/>
      <c r="HB16" s="1945"/>
      <c r="HC16" s="1945"/>
      <c r="HD16" s="1945"/>
      <c r="HE16" s="1945"/>
      <c r="HF16" s="1945"/>
      <c r="HG16" s="1945"/>
      <c r="HH16" s="1945"/>
      <c r="HI16" s="1945"/>
      <c r="HJ16" s="1945"/>
      <c r="HK16" s="1945"/>
      <c r="HL16" s="1945"/>
      <c r="HM16" s="1945"/>
      <c r="HN16" s="1945"/>
      <c r="HO16" s="1945"/>
      <c r="HP16" s="1945"/>
      <c r="HQ16" s="1945"/>
      <c r="HR16" s="1945"/>
      <c r="HS16" s="1945"/>
      <c r="HT16" s="1945"/>
      <c r="HU16" s="1945"/>
      <c r="HV16" s="1945"/>
      <c r="HW16" s="1945"/>
      <c r="HX16" s="1945"/>
      <c r="HY16" s="1945"/>
      <c r="HZ16" s="1945"/>
      <c r="IA16" s="1945"/>
      <c r="IB16" s="1945"/>
      <c r="IC16" s="1945"/>
    </row>
    <row r="17" spans="1:244" ht="14.25" hidden="1" customHeight="1">
      <c r="P17" s="1229"/>
      <c r="AD17" s="1276"/>
      <c r="AE17" s="1276"/>
      <c r="AF17" s="1276"/>
      <c r="AG17" s="1277"/>
      <c r="AH17" s="4079"/>
      <c r="AI17" s="4080" t="s">
        <v>65</v>
      </c>
      <c r="AJ17" s="4079"/>
      <c r="AK17" s="4080" t="s">
        <v>65</v>
      </c>
      <c r="AL17" s="1945"/>
      <c r="AM17" s="1945"/>
      <c r="AN17" s="1945"/>
      <c r="AO17" s="1945"/>
      <c r="AP17" s="1945"/>
      <c r="AQ17" s="1945"/>
      <c r="AR17" s="1945"/>
      <c r="AS17" s="1945"/>
      <c r="AT17" s="1945"/>
      <c r="AU17" s="1945"/>
      <c r="AV17" s="1945"/>
      <c r="AW17" s="1945"/>
      <c r="AX17" s="1945"/>
      <c r="AY17" s="1945"/>
      <c r="AZ17" s="1945"/>
      <c r="BA17" s="1945"/>
      <c r="BB17" s="1945"/>
      <c r="BC17" s="1945"/>
      <c r="BD17" s="1945"/>
      <c r="BE17" s="1945"/>
      <c r="BF17" s="1945"/>
      <c r="BG17" s="1945"/>
      <c r="BH17" s="1945"/>
      <c r="BI17" s="1945"/>
      <c r="BJ17" s="1945"/>
      <c r="BK17" s="1945"/>
      <c r="BL17" s="1945"/>
      <c r="BM17" s="1945"/>
      <c r="BN17" s="1945"/>
      <c r="BO17" s="1945"/>
      <c r="BP17" s="1945"/>
      <c r="BQ17" s="1945"/>
      <c r="BR17" s="1945"/>
      <c r="BS17" s="1945"/>
      <c r="BT17" s="1945"/>
      <c r="BU17" s="1945"/>
      <c r="BV17" s="1945"/>
      <c r="BW17" s="1945"/>
      <c r="BX17" s="1945"/>
      <c r="BY17" s="1945"/>
      <c r="BZ17" s="1945"/>
      <c r="CA17" s="1945"/>
      <c r="CB17" s="1945"/>
      <c r="CC17" s="1945"/>
      <c r="CD17" s="1945"/>
      <c r="CE17" s="1945"/>
      <c r="CF17" s="1945"/>
      <c r="CG17" s="1945"/>
      <c r="CH17" s="1945"/>
      <c r="CI17" s="1945"/>
      <c r="CJ17" s="1945"/>
      <c r="CK17" s="1945"/>
      <c r="CL17" s="1945"/>
      <c r="CM17" s="1945"/>
      <c r="CN17" s="1945"/>
      <c r="CO17" s="1945"/>
      <c r="CP17" s="1945"/>
      <c r="CQ17" s="1945"/>
      <c r="CR17" s="1945"/>
      <c r="CS17" s="1945"/>
      <c r="CT17" s="1945"/>
      <c r="CU17" s="1945"/>
      <c r="CV17" s="1945"/>
      <c r="CW17" s="1945"/>
      <c r="CX17" s="1945"/>
      <c r="CY17" s="1945"/>
      <c r="CZ17" s="1945"/>
      <c r="DA17" s="1945"/>
      <c r="DB17" s="1945"/>
      <c r="DC17" s="1945"/>
      <c r="DD17" s="1945"/>
      <c r="DE17" s="1945"/>
      <c r="DF17" s="1945"/>
      <c r="DG17" s="1945"/>
      <c r="DH17" s="1945"/>
      <c r="DI17" s="1945"/>
      <c r="DJ17" s="1945"/>
      <c r="DK17" s="1945"/>
      <c r="DL17" s="1945"/>
      <c r="DM17" s="1945"/>
      <c r="DN17" s="1945"/>
      <c r="DO17" s="1945"/>
      <c r="DP17" s="1945"/>
      <c r="DQ17" s="1945"/>
      <c r="DR17" s="1945"/>
      <c r="DS17" s="1945"/>
      <c r="DT17" s="1945"/>
      <c r="DU17" s="1945"/>
      <c r="DV17" s="1945"/>
      <c r="DW17" s="1945"/>
      <c r="DX17" s="1945"/>
      <c r="DY17" s="1945"/>
      <c r="DZ17" s="1945"/>
      <c r="EA17" s="1945"/>
      <c r="EB17" s="1945"/>
      <c r="EC17" s="1945"/>
      <c r="ED17" s="1945"/>
      <c r="EE17" s="1945"/>
      <c r="EF17" s="1945"/>
      <c r="EG17" s="1945"/>
      <c r="EH17" s="1945"/>
      <c r="EI17" s="1945"/>
      <c r="EJ17" s="1945"/>
      <c r="EK17" s="1945"/>
      <c r="EL17" s="1945"/>
      <c r="EM17" s="1945"/>
      <c r="EN17" s="1945"/>
      <c r="EO17" s="1945"/>
      <c r="EP17" s="1945"/>
      <c r="EQ17" s="1945"/>
      <c r="ER17" s="1945"/>
      <c r="ES17" s="1945"/>
      <c r="ET17" s="1945"/>
      <c r="EU17" s="1945"/>
      <c r="EV17" s="1945"/>
      <c r="EW17" s="1945"/>
      <c r="EX17" s="1945"/>
      <c r="EY17" s="1945"/>
      <c r="EZ17" s="1945"/>
      <c r="FA17" s="1945"/>
      <c r="FB17" s="1945"/>
      <c r="FC17" s="1945"/>
      <c r="FD17" s="1945"/>
      <c r="FE17" s="1945"/>
      <c r="FF17" s="1945"/>
      <c r="FG17" s="1945"/>
      <c r="FH17" s="1945"/>
      <c r="FI17" s="1945"/>
      <c r="FJ17" s="1945"/>
      <c r="FK17" s="1945"/>
      <c r="FL17" s="1945"/>
      <c r="FM17" s="1945"/>
      <c r="FN17" s="1945"/>
      <c r="FO17" s="1945"/>
      <c r="FP17" s="1945"/>
      <c r="FQ17" s="1945"/>
      <c r="FR17" s="1945"/>
      <c r="FS17" s="1945"/>
      <c r="FT17" s="1945"/>
      <c r="FU17" s="1945"/>
      <c r="FV17" s="1945"/>
      <c r="FW17" s="1945"/>
      <c r="FX17" s="1945"/>
      <c r="FY17" s="1945"/>
      <c r="FZ17" s="1945"/>
      <c r="GA17" s="1945"/>
      <c r="GB17" s="1945"/>
      <c r="GC17" s="1945"/>
      <c r="GD17" s="1945"/>
      <c r="GE17" s="1945"/>
      <c r="GF17" s="1945"/>
      <c r="GG17" s="1945"/>
      <c r="GH17" s="1945"/>
      <c r="GI17" s="1945"/>
      <c r="GJ17" s="1945"/>
      <c r="GK17" s="1945"/>
      <c r="GL17" s="1945"/>
      <c r="GM17" s="1945"/>
      <c r="GN17" s="1945"/>
      <c r="GO17" s="1945"/>
      <c r="GP17" s="1945"/>
      <c r="GQ17" s="1945"/>
      <c r="GR17" s="1945"/>
      <c r="GS17" s="1945"/>
      <c r="GT17" s="1945"/>
      <c r="GU17" s="1945"/>
      <c r="GV17" s="1945"/>
      <c r="GW17" s="1945"/>
      <c r="GX17" s="1945"/>
      <c r="GY17" s="1945"/>
      <c r="GZ17" s="1945"/>
      <c r="HA17" s="1945"/>
      <c r="HB17" s="1945"/>
      <c r="HC17" s="1945"/>
      <c r="HD17" s="1945"/>
      <c r="HE17" s="1945"/>
      <c r="HF17" s="1945"/>
      <c r="HG17" s="1945"/>
      <c r="HH17" s="1945"/>
      <c r="HI17" s="1945"/>
      <c r="HJ17" s="1945"/>
      <c r="HK17" s="1945"/>
      <c r="HL17" s="1945"/>
      <c r="HM17" s="1945"/>
      <c r="HN17" s="1945"/>
      <c r="HO17" s="1945"/>
      <c r="HP17" s="1945"/>
      <c r="HQ17" s="1945"/>
      <c r="HR17" s="1945"/>
      <c r="HS17" s="1945"/>
      <c r="HT17" s="1945"/>
      <c r="HU17" s="1945"/>
      <c r="HV17" s="1945"/>
      <c r="HW17" s="1945"/>
      <c r="HX17" s="1945"/>
      <c r="HY17" s="1945"/>
      <c r="HZ17" s="1945"/>
      <c r="IA17" s="1945"/>
      <c r="IB17" s="1945"/>
      <c r="IC17" s="1945"/>
    </row>
    <row r="18" spans="1:244" ht="14.25" hidden="1" customHeight="1">
      <c r="P18" s="1229"/>
      <c r="AD18" s="1276"/>
      <c r="AE18" s="1276"/>
      <c r="AF18" s="1276"/>
      <c r="AG18" s="255" t="str">
        <f>AH17&amp;"-"&amp;AJ17</f>
        <v>-</v>
      </c>
      <c r="AH18" s="4080"/>
      <c r="AI18" s="4080"/>
      <c r="AJ18" s="4080"/>
      <c r="AK18" s="4080"/>
      <c r="AL18" s="1945"/>
      <c r="AM18" s="1945"/>
      <c r="AN18" s="1945"/>
      <c r="AO18" s="1945"/>
      <c r="AP18" s="1945"/>
      <c r="AQ18" s="1945"/>
      <c r="AR18" s="1945"/>
      <c r="AS18" s="1945"/>
      <c r="AT18" s="1945"/>
      <c r="AU18" s="1945"/>
      <c r="AV18" s="1945"/>
      <c r="AW18" s="1945"/>
      <c r="AX18" s="1945"/>
      <c r="AY18" s="1945"/>
      <c r="AZ18" s="1945"/>
      <c r="BA18" s="1945"/>
      <c r="BB18" s="1945"/>
      <c r="BC18" s="1945"/>
      <c r="BD18" s="1945"/>
      <c r="BE18" s="1945"/>
      <c r="BF18" s="1945"/>
      <c r="BG18" s="1945"/>
      <c r="BH18" s="1945"/>
      <c r="BI18" s="1945"/>
      <c r="BJ18" s="1945"/>
      <c r="BK18" s="1945"/>
      <c r="BL18" s="1945"/>
      <c r="BM18" s="1945"/>
      <c r="BN18" s="1945"/>
      <c r="BO18" s="1945"/>
      <c r="BP18" s="1945"/>
      <c r="BQ18" s="1945"/>
      <c r="BR18" s="1945"/>
      <c r="BS18" s="1945"/>
      <c r="BT18" s="1945"/>
      <c r="BU18" s="1945"/>
      <c r="BV18" s="1945"/>
      <c r="BW18" s="1945"/>
      <c r="BX18" s="1945"/>
      <c r="BY18" s="1945"/>
      <c r="BZ18" s="1945"/>
      <c r="CA18" s="1945"/>
      <c r="CB18" s="1945"/>
      <c r="CC18" s="1945"/>
      <c r="CD18" s="1945"/>
      <c r="CE18" s="1945"/>
      <c r="CF18" s="1945"/>
      <c r="CG18" s="1945"/>
      <c r="CH18" s="1945"/>
      <c r="CI18" s="1945"/>
      <c r="CJ18" s="1945"/>
      <c r="CK18" s="1945"/>
      <c r="CL18" s="1945"/>
      <c r="CM18" s="1945"/>
      <c r="CN18" s="1945"/>
      <c r="CO18" s="1945"/>
      <c r="CP18" s="1945"/>
      <c r="CQ18" s="1945"/>
      <c r="CR18" s="1945"/>
      <c r="CS18" s="1945"/>
      <c r="CT18" s="1945"/>
      <c r="CU18" s="1945"/>
      <c r="CV18" s="1945"/>
      <c r="CW18" s="1945"/>
      <c r="CX18" s="1945"/>
      <c r="CY18" s="1945"/>
      <c r="CZ18" s="1945"/>
      <c r="DA18" s="1945"/>
      <c r="DB18" s="1945"/>
      <c r="DC18" s="1945"/>
      <c r="DD18" s="1945"/>
      <c r="DE18" s="1945"/>
      <c r="DF18" s="1945"/>
      <c r="DG18" s="1945"/>
      <c r="DH18" s="1945"/>
      <c r="DI18" s="1945"/>
      <c r="DJ18" s="1945"/>
      <c r="DK18" s="1945"/>
      <c r="DL18" s="1945"/>
      <c r="DM18" s="1945"/>
      <c r="DN18" s="1945"/>
      <c r="DO18" s="1945"/>
      <c r="DP18" s="1945"/>
      <c r="DQ18" s="1945"/>
      <c r="DR18" s="1945"/>
      <c r="DS18" s="1945"/>
      <c r="DT18" s="1945"/>
      <c r="DU18" s="1945"/>
      <c r="DV18" s="1945"/>
      <c r="DW18" s="1945"/>
      <c r="DX18" s="1945"/>
      <c r="DY18" s="1945"/>
      <c r="DZ18" s="1945"/>
      <c r="EA18" s="1945"/>
      <c r="EB18" s="1945"/>
      <c r="EC18" s="1945"/>
      <c r="ED18" s="1945"/>
      <c r="EE18" s="1945"/>
      <c r="EF18" s="1945"/>
      <c r="EG18" s="1945"/>
      <c r="EH18" s="1945"/>
      <c r="EI18" s="1945"/>
      <c r="EJ18" s="1945"/>
      <c r="EK18" s="1945"/>
      <c r="EL18" s="1945"/>
      <c r="EM18" s="1945"/>
      <c r="EN18" s="1945"/>
      <c r="EO18" s="1945"/>
      <c r="EP18" s="1945"/>
      <c r="EQ18" s="1945"/>
      <c r="ER18" s="1945"/>
      <c r="ES18" s="1945"/>
      <c r="ET18" s="1945"/>
      <c r="EU18" s="1945"/>
      <c r="EV18" s="1945"/>
      <c r="EW18" s="1945"/>
      <c r="EX18" s="1945"/>
      <c r="EY18" s="1945"/>
      <c r="EZ18" s="1945"/>
      <c r="FA18" s="1945"/>
      <c r="FB18" s="1945"/>
      <c r="FC18" s="1945"/>
      <c r="FD18" s="1945"/>
      <c r="FE18" s="1945"/>
      <c r="FF18" s="1945"/>
      <c r="FG18" s="1945"/>
      <c r="FH18" s="1945"/>
      <c r="FI18" s="1945"/>
      <c r="FJ18" s="1945"/>
      <c r="FK18" s="1945"/>
      <c r="FL18" s="1945"/>
      <c r="FM18" s="1945"/>
      <c r="FN18" s="1945"/>
      <c r="FO18" s="1945"/>
      <c r="FP18" s="1945"/>
      <c r="FQ18" s="1945"/>
      <c r="FR18" s="1945"/>
      <c r="FS18" s="1945"/>
      <c r="FT18" s="1945"/>
      <c r="FU18" s="1945"/>
      <c r="FV18" s="1945"/>
      <c r="FW18" s="1945"/>
      <c r="FX18" s="1945"/>
      <c r="FY18" s="1945"/>
      <c r="FZ18" s="1945"/>
      <c r="GA18" s="1945"/>
      <c r="GB18" s="1945"/>
      <c r="GC18" s="1945"/>
      <c r="GD18" s="1945"/>
      <c r="GE18" s="1945"/>
      <c r="GF18" s="1945"/>
      <c r="GG18" s="1945"/>
      <c r="GH18" s="1945"/>
      <c r="GI18" s="1945"/>
      <c r="GJ18" s="1945"/>
      <c r="GK18" s="1945"/>
      <c r="GL18" s="1945"/>
      <c r="GM18" s="1945"/>
      <c r="GN18" s="1945"/>
      <c r="GO18" s="1945"/>
      <c r="GP18" s="1945"/>
      <c r="GQ18" s="1945"/>
      <c r="GR18" s="1945"/>
      <c r="GS18" s="1945"/>
      <c r="GT18" s="1945"/>
      <c r="GU18" s="1945"/>
      <c r="GV18" s="1945"/>
      <c r="GW18" s="1945"/>
      <c r="GX18" s="1945"/>
      <c r="GY18" s="1945"/>
      <c r="GZ18" s="1945"/>
      <c r="HA18" s="1945"/>
      <c r="HB18" s="1945"/>
      <c r="HC18" s="1945"/>
      <c r="HD18" s="1945"/>
      <c r="HE18" s="1945"/>
      <c r="HF18" s="1945"/>
      <c r="HG18" s="1945"/>
      <c r="HH18" s="1945"/>
      <c r="HI18" s="1945"/>
      <c r="HJ18" s="1945"/>
      <c r="HK18" s="1945"/>
      <c r="HL18" s="1945"/>
      <c r="HM18" s="1945"/>
      <c r="HN18" s="1945"/>
      <c r="HO18" s="1945"/>
      <c r="HP18" s="1945"/>
      <c r="HQ18" s="1945"/>
      <c r="HR18" s="1945"/>
      <c r="HS18" s="1945"/>
      <c r="HT18" s="1945"/>
      <c r="HU18" s="1945"/>
      <c r="HV18" s="1945"/>
      <c r="HW18" s="1945"/>
      <c r="HX18" s="1945"/>
      <c r="HY18" s="1945"/>
      <c r="HZ18" s="1945"/>
      <c r="IA18" s="1945"/>
      <c r="IB18" s="1945"/>
      <c r="IC18" s="1945"/>
    </row>
    <row r="19" spans="1:244" ht="14.25" hidden="1" customHeight="1">
      <c r="P19" s="1229"/>
      <c r="AK19" s="254"/>
      <c r="AL19" s="1945"/>
      <c r="AM19" s="1945"/>
      <c r="AN19" s="1945"/>
      <c r="AO19" s="1945"/>
      <c r="AP19" s="1945"/>
      <c r="AQ19" s="1945"/>
      <c r="AR19" s="1945"/>
      <c r="AS19" s="1945"/>
      <c r="AT19" s="1945"/>
      <c r="AU19" s="1945"/>
      <c r="AV19" s="1945"/>
      <c r="AW19" s="1945"/>
      <c r="AX19" s="1945"/>
      <c r="AY19" s="1945"/>
      <c r="AZ19" s="1945"/>
      <c r="BA19" s="1945"/>
      <c r="BB19" s="1945"/>
      <c r="BC19" s="1945"/>
      <c r="BD19" s="1945"/>
      <c r="BE19" s="1945"/>
      <c r="BF19" s="1945"/>
      <c r="BG19" s="1945"/>
      <c r="BH19" s="1945"/>
      <c r="BI19" s="1945"/>
      <c r="BJ19" s="1945"/>
      <c r="BK19" s="1945"/>
      <c r="BL19" s="1945"/>
      <c r="BM19" s="1945"/>
      <c r="BN19" s="1945"/>
      <c r="BO19" s="1945"/>
      <c r="BP19" s="1945"/>
      <c r="BQ19" s="1945"/>
      <c r="BR19" s="1945"/>
      <c r="BS19" s="1945"/>
      <c r="BT19" s="1945"/>
      <c r="BU19" s="1945"/>
      <c r="BV19" s="1945"/>
      <c r="BW19" s="1945"/>
      <c r="BX19" s="1945"/>
      <c r="BY19" s="1945"/>
      <c r="BZ19" s="1945"/>
      <c r="CA19" s="1945"/>
      <c r="CB19" s="1945"/>
      <c r="CC19" s="1945"/>
      <c r="CD19" s="1945"/>
      <c r="CE19" s="1945"/>
      <c r="CF19" s="1945"/>
      <c r="CG19" s="1945"/>
      <c r="CH19" s="1945"/>
      <c r="CI19" s="1945"/>
      <c r="CJ19" s="1945"/>
      <c r="CK19" s="1945"/>
      <c r="CL19" s="1945"/>
      <c r="CM19" s="1945"/>
      <c r="CN19" s="1945"/>
      <c r="CO19" s="1945"/>
      <c r="CP19" s="1945"/>
      <c r="CQ19" s="1945"/>
      <c r="CR19" s="1945"/>
      <c r="CS19" s="1945"/>
      <c r="CT19" s="1945"/>
      <c r="CU19" s="1945"/>
      <c r="CV19" s="1945"/>
      <c r="CW19" s="1945"/>
      <c r="CX19" s="1945"/>
      <c r="CY19" s="1945"/>
      <c r="CZ19" s="1945"/>
      <c r="DA19" s="1945"/>
      <c r="DB19" s="1945"/>
      <c r="DC19" s="1945"/>
      <c r="DD19" s="1945"/>
      <c r="DE19" s="1945"/>
      <c r="DF19" s="1945"/>
      <c r="DG19" s="1945"/>
      <c r="DH19" s="1945"/>
      <c r="DI19" s="1945"/>
      <c r="DJ19" s="1945"/>
      <c r="DK19" s="1945"/>
      <c r="DL19" s="1945"/>
      <c r="DM19" s="1945"/>
      <c r="DN19" s="1945"/>
      <c r="DO19" s="1945"/>
      <c r="DP19" s="1945"/>
      <c r="DQ19" s="1945"/>
      <c r="DR19" s="1945"/>
      <c r="DS19" s="1945"/>
      <c r="DT19" s="1945"/>
      <c r="DU19" s="1945"/>
      <c r="DV19" s="1945"/>
      <c r="DW19" s="1945"/>
      <c r="DX19" s="1945"/>
      <c r="DY19" s="1945"/>
      <c r="DZ19" s="1945"/>
      <c r="EA19" s="1945"/>
      <c r="EB19" s="1945"/>
      <c r="EC19" s="1945"/>
      <c r="ED19" s="1945"/>
      <c r="EE19" s="1945"/>
      <c r="EF19" s="1945"/>
      <c r="EG19" s="1945"/>
      <c r="EH19" s="1945"/>
      <c r="EI19" s="1945"/>
      <c r="EJ19" s="1945"/>
      <c r="EK19" s="1945"/>
      <c r="EL19" s="1945"/>
      <c r="EM19" s="1945"/>
      <c r="EN19" s="1945"/>
      <c r="EO19" s="1945"/>
      <c r="EP19" s="1945"/>
      <c r="EQ19" s="1945"/>
      <c r="ER19" s="1945"/>
      <c r="ES19" s="1945"/>
      <c r="ET19" s="1945"/>
      <c r="EU19" s="1945"/>
      <c r="EV19" s="1945"/>
      <c r="EW19" s="1945"/>
      <c r="EX19" s="1945"/>
      <c r="EY19" s="1945"/>
      <c r="EZ19" s="1945"/>
      <c r="FA19" s="1945"/>
      <c r="FB19" s="1945"/>
      <c r="FC19" s="1945"/>
      <c r="FD19" s="1945"/>
      <c r="FE19" s="1945"/>
      <c r="FF19" s="1945"/>
      <c r="FG19" s="1945"/>
      <c r="FH19" s="1945"/>
      <c r="FI19" s="1945"/>
      <c r="FJ19" s="1945"/>
      <c r="FK19" s="1945"/>
      <c r="FL19" s="1945"/>
      <c r="FM19" s="1945"/>
      <c r="FN19" s="1945"/>
      <c r="FO19" s="1945"/>
      <c r="FP19" s="1945"/>
      <c r="FQ19" s="1945"/>
      <c r="FR19" s="1945"/>
      <c r="FS19" s="1945"/>
      <c r="FT19" s="1945"/>
      <c r="FU19" s="1945"/>
      <c r="FV19" s="1945"/>
      <c r="FW19" s="1945"/>
      <c r="FX19" s="1945"/>
      <c r="FY19" s="1945"/>
      <c r="FZ19" s="1945"/>
      <c r="GA19" s="1945"/>
      <c r="GB19" s="1945"/>
      <c r="GC19" s="1945"/>
      <c r="GD19" s="1945"/>
      <c r="GE19" s="1945"/>
      <c r="GF19" s="1945"/>
      <c r="GG19" s="1945"/>
      <c r="GH19" s="1945"/>
      <c r="GI19" s="1945"/>
      <c r="GJ19" s="1945"/>
      <c r="GK19" s="1945"/>
      <c r="GL19" s="1945"/>
      <c r="GM19" s="1945"/>
      <c r="GN19" s="1945"/>
      <c r="GO19" s="1945"/>
      <c r="GP19" s="1945"/>
      <c r="GQ19" s="1945"/>
      <c r="GR19" s="1945"/>
      <c r="GS19" s="1945"/>
      <c r="GT19" s="1945"/>
      <c r="GU19" s="1945"/>
      <c r="GV19" s="1945"/>
      <c r="GW19" s="1945"/>
      <c r="GX19" s="1945"/>
      <c r="GY19" s="1945"/>
      <c r="GZ19" s="1945"/>
      <c r="HA19" s="1945"/>
      <c r="HB19" s="1945"/>
      <c r="HC19" s="1945"/>
      <c r="HD19" s="1945"/>
      <c r="HE19" s="1945"/>
      <c r="HF19" s="1945"/>
      <c r="HG19" s="1945"/>
      <c r="HH19" s="1945"/>
      <c r="HI19" s="1945"/>
      <c r="HJ19" s="1945"/>
      <c r="HK19" s="1945"/>
      <c r="HL19" s="1945"/>
      <c r="HM19" s="1945"/>
      <c r="HN19" s="1945"/>
      <c r="HO19" s="1945"/>
      <c r="HP19" s="1945"/>
      <c r="HQ19" s="1945"/>
      <c r="HR19" s="1945"/>
      <c r="HS19" s="1945"/>
      <c r="HT19" s="1945"/>
      <c r="HU19" s="1945"/>
      <c r="HV19" s="1945"/>
      <c r="HW19" s="1945"/>
      <c r="HX19" s="1945"/>
      <c r="HY19" s="1945"/>
      <c r="HZ19" s="1945"/>
      <c r="IA19" s="1945"/>
      <c r="IB19" s="1945"/>
      <c r="IC19" s="1945"/>
    </row>
    <row r="20" spans="1:244" s="2553" customFormat="1" ht="22.5" hidden="1" customHeight="1">
      <c r="L20" s="1246"/>
      <c r="M20" s="1278"/>
      <c r="N20" s="1278"/>
      <c r="O20" s="1283" t="s">
        <v>406</v>
      </c>
      <c r="P20" s="1278"/>
      <c r="Q20" s="1287"/>
      <c r="R20" s="1287"/>
      <c r="S20" s="648"/>
      <c r="Z20" s="1283"/>
      <c r="AB20" s="1283"/>
      <c r="AC20" s="1282"/>
      <c r="AH20" s="1283"/>
      <c r="AJ20" s="1283"/>
      <c r="AK20" s="1282"/>
      <c r="AL20" s="2558"/>
      <c r="AM20" s="2558"/>
      <c r="AN20" s="2558"/>
      <c r="AO20" s="2558"/>
      <c r="AP20" s="2559"/>
      <c r="AQ20" s="2558"/>
      <c r="AR20" s="2559"/>
      <c r="AS20" s="2558"/>
      <c r="AT20" s="2558"/>
      <c r="AU20" s="2558"/>
      <c r="AV20" s="2558"/>
      <c r="AW20" s="2558"/>
      <c r="AX20" s="2559"/>
      <c r="AY20" s="2558"/>
      <c r="AZ20" s="2559"/>
      <c r="BA20" s="2558"/>
      <c r="BB20" s="2558"/>
      <c r="BC20" s="2558"/>
      <c r="BD20" s="2558"/>
      <c r="BE20" s="2558"/>
      <c r="BF20" s="2559"/>
      <c r="BG20" s="2558"/>
      <c r="BH20" s="2559"/>
      <c r="BI20" s="2558"/>
      <c r="BJ20" s="2558"/>
      <c r="BK20" s="2558"/>
      <c r="BL20" s="2558"/>
      <c r="BM20" s="2558"/>
      <c r="BN20" s="2559"/>
      <c r="BO20" s="2558"/>
      <c r="BP20" s="2559"/>
      <c r="BQ20" s="2558"/>
      <c r="BR20" s="2558"/>
      <c r="BS20" s="2558"/>
      <c r="BT20" s="2558"/>
      <c r="BU20" s="2558"/>
      <c r="BV20" s="2559"/>
      <c r="BW20" s="2558"/>
      <c r="BX20" s="2559"/>
      <c r="BY20" s="2558"/>
      <c r="BZ20" s="2558"/>
      <c r="CA20" s="2558"/>
      <c r="CB20" s="2558"/>
      <c r="CC20" s="2558"/>
      <c r="CD20" s="2559"/>
      <c r="CE20" s="2558"/>
      <c r="CF20" s="2559"/>
      <c r="CG20" s="2558"/>
      <c r="CH20" s="2558"/>
      <c r="CI20" s="2558"/>
      <c r="CJ20" s="2558"/>
      <c r="CK20" s="2558"/>
      <c r="CL20" s="2559"/>
      <c r="CM20" s="2558"/>
      <c r="CN20" s="2559"/>
      <c r="CO20" s="2558"/>
      <c r="CP20" s="2558"/>
      <c r="CQ20" s="2558"/>
      <c r="CR20" s="2558"/>
      <c r="CS20" s="2558"/>
      <c r="CT20" s="2559"/>
      <c r="CU20" s="2558"/>
      <c r="CV20" s="2559"/>
      <c r="CW20" s="2558"/>
      <c r="CX20" s="2558"/>
      <c r="CY20" s="2558"/>
      <c r="CZ20" s="2558"/>
      <c r="DA20" s="2558"/>
      <c r="DB20" s="2559"/>
      <c r="DC20" s="2558"/>
      <c r="DD20" s="2559"/>
      <c r="DE20" s="2558"/>
      <c r="DF20" s="2558"/>
      <c r="DG20" s="2558"/>
      <c r="DH20" s="2558"/>
      <c r="DI20" s="2558"/>
      <c r="DJ20" s="2559"/>
      <c r="DK20" s="2558"/>
      <c r="DL20" s="2559"/>
      <c r="DM20" s="2558"/>
      <c r="DN20" s="2558"/>
      <c r="DO20" s="2558"/>
      <c r="DP20" s="2558"/>
      <c r="DQ20" s="2558"/>
      <c r="DR20" s="2559"/>
      <c r="DS20" s="2558"/>
      <c r="DT20" s="2559"/>
      <c r="DU20" s="2558"/>
      <c r="DV20" s="2558"/>
      <c r="DW20" s="2558"/>
      <c r="DX20" s="2558"/>
      <c r="DY20" s="2558"/>
      <c r="DZ20" s="2559"/>
      <c r="EA20" s="2558"/>
      <c r="EB20" s="2559"/>
      <c r="EC20" s="2558"/>
      <c r="ED20" s="2558"/>
      <c r="EE20" s="2558"/>
      <c r="EF20" s="2558"/>
      <c r="EG20" s="2558"/>
      <c r="EH20" s="2559"/>
      <c r="EI20" s="2558"/>
      <c r="EJ20" s="2559"/>
      <c r="EK20" s="2558"/>
      <c r="EL20" s="2558"/>
      <c r="EM20" s="2558"/>
      <c r="EN20" s="2558"/>
      <c r="EO20" s="2558"/>
      <c r="EP20" s="2559"/>
      <c r="EQ20" s="2558"/>
      <c r="ER20" s="2559"/>
      <c r="ES20" s="2558"/>
      <c r="ET20" s="2558"/>
      <c r="EU20" s="2558"/>
      <c r="EV20" s="2558"/>
      <c r="EW20" s="2558"/>
      <c r="EX20" s="2559"/>
      <c r="EY20" s="2558"/>
      <c r="EZ20" s="2559"/>
      <c r="FA20" s="2558"/>
      <c r="FB20" s="2558"/>
      <c r="FC20" s="2558"/>
      <c r="FD20" s="2558"/>
      <c r="FE20" s="2558"/>
      <c r="FF20" s="2559"/>
      <c r="FG20" s="2558"/>
      <c r="FH20" s="2559"/>
      <c r="FI20" s="2558"/>
      <c r="FJ20" s="2558"/>
      <c r="FK20" s="2558"/>
      <c r="FL20" s="2558"/>
      <c r="FM20" s="2558"/>
      <c r="FN20" s="2559"/>
      <c r="FO20" s="2558"/>
      <c r="FP20" s="2559"/>
      <c r="FQ20" s="2558"/>
      <c r="FR20" s="2558"/>
      <c r="FS20" s="2558"/>
      <c r="FT20" s="2558"/>
      <c r="FU20" s="2558"/>
      <c r="FV20" s="2559"/>
      <c r="FW20" s="2558"/>
      <c r="FX20" s="2559"/>
      <c r="FY20" s="2558"/>
      <c r="FZ20" s="2558"/>
      <c r="GA20" s="2558"/>
      <c r="GB20" s="2558"/>
      <c r="GC20" s="2558"/>
      <c r="GD20" s="2559"/>
      <c r="GE20" s="2558"/>
      <c r="GF20" s="2559"/>
      <c r="GG20" s="2558"/>
      <c r="GH20" s="2558"/>
      <c r="GI20" s="2558"/>
      <c r="GJ20" s="2558"/>
      <c r="GK20" s="2558"/>
      <c r="GL20" s="2559"/>
      <c r="GM20" s="2558"/>
      <c r="GN20" s="2559"/>
      <c r="GO20" s="2558"/>
      <c r="GP20" s="2558"/>
      <c r="GQ20" s="2558"/>
      <c r="GR20" s="2558"/>
      <c r="GS20" s="2558"/>
      <c r="GT20" s="2559"/>
      <c r="GU20" s="2558"/>
      <c r="GV20" s="2559"/>
      <c r="GW20" s="2558"/>
      <c r="GX20" s="2558"/>
      <c r="GY20" s="2558"/>
      <c r="GZ20" s="2558"/>
      <c r="HA20" s="2558"/>
      <c r="HB20" s="2559"/>
      <c r="HC20" s="2558"/>
      <c r="HD20" s="2559"/>
      <c r="HE20" s="2558"/>
      <c r="HF20" s="2558"/>
      <c r="HG20" s="2558"/>
      <c r="HH20" s="2558"/>
      <c r="HI20" s="2558"/>
      <c r="HJ20" s="2559"/>
      <c r="HK20" s="2558"/>
      <c r="HL20" s="2559"/>
      <c r="HM20" s="2558"/>
      <c r="HN20" s="2558"/>
      <c r="HO20" s="2558"/>
      <c r="HP20" s="2558"/>
      <c r="HQ20" s="2558"/>
      <c r="HR20" s="2559"/>
      <c r="HS20" s="2558"/>
      <c r="HT20" s="2559"/>
      <c r="HU20" s="2558"/>
      <c r="HV20" s="2558"/>
      <c r="HW20" s="2558"/>
      <c r="HX20" s="2558"/>
      <c r="HY20" s="2558"/>
      <c r="HZ20" s="2559"/>
      <c r="IA20" s="2558"/>
      <c r="IB20" s="2559"/>
      <c r="IC20" s="2558"/>
      <c r="IF20" s="437"/>
      <c r="IG20" s="437"/>
      <c r="IH20" s="437"/>
      <c r="II20" s="437"/>
      <c r="IJ20" s="437"/>
    </row>
    <row r="21" spans="1:244" s="2553" customFormat="1" ht="14.25" hidden="1" customHeight="1">
      <c r="L21" s="1246"/>
      <c r="M21" s="1278"/>
      <c r="N21" s="1278"/>
      <c r="O21" s="1278"/>
      <c r="P21" s="1278"/>
      <c r="Q21" s="1287"/>
      <c r="R21" s="1287"/>
      <c r="S21" s="648"/>
      <c r="AC21" s="1282"/>
      <c r="AK21" s="1282"/>
      <c r="AL21" s="2558"/>
      <c r="AM21" s="2558"/>
      <c r="AN21" s="2558"/>
      <c r="AO21" s="2558"/>
      <c r="AP21" s="2558"/>
      <c r="AQ21" s="2558"/>
      <c r="AR21" s="2558"/>
      <c r="AS21" s="2558"/>
      <c r="AT21" s="2558"/>
      <c r="AU21" s="2558"/>
      <c r="AV21" s="2558"/>
      <c r="AW21" s="2558"/>
      <c r="AX21" s="2558"/>
      <c r="AY21" s="2558"/>
      <c r="AZ21" s="2558"/>
      <c r="BA21" s="2558"/>
      <c r="BB21" s="2558"/>
      <c r="BC21" s="2558"/>
      <c r="BD21" s="2558"/>
      <c r="BE21" s="2558"/>
      <c r="BF21" s="2558"/>
      <c r="BG21" s="2558"/>
      <c r="BH21" s="2558"/>
      <c r="BI21" s="2558"/>
      <c r="BJ21" s="2558"/>
      <c r="BK21" s="2558"/>
      <c r="BL21" s="2558"/>
      <c r="BM21" s="2558"/>
      <c r="BN21" s="2558"/>
      <c r="BO21" s="2558"/>
      <c r="BP21" s="2558"/>
      <c r="BQ21" s="2558"/>
      <c r="BR21" s="2558"/>
      <c r="BS21" s="2558"/>
      <c r="BT21" s="2558"/>
      <c r="BU21" s="2558"/>
      <c r="BV21" s="2558"/>
      <c r="BW21" s="2558"/>
      <c r="BX21" s="2558"/>
      <c r="BY21" s="2558"/>
      <c r="BZ21" s="2558"/>
      <c r="CA21" s="2558"/>
      <c r="CB21" s="2558"/>
      <c r="CC21" s="2558"/>
      <c r="CD21" s="2558"/>
      <c r="CE21" s="2558"/>
      <c r="CF21" s="2558"/>
      <c r="CG21" s="2558"/>
      <c r="CH21" s="2558"/>
      <c r="CI21" s="2558"/>
      <c r="CJ21" s="2558"/>
      <c r="CK21" s="2558"/>
      <c r="CL21" s="2558"/>
      <c r="CM21" s="2558"/>
      <c r="CN21" s="2558"/>
      <c r="CO21" s="2558"/>
      <c r="CP21" s="2558"/>
      <c r="CQ21" s="2558"/>
      <c r="CR21" s="2558"/>
      <c r="CS21" s="2558"/>
      <c r="CT21" s="2558"/>
      <c r="CU21" s="2558"/>
      <c r="CV21" s="2558"/>
      <c r="CW21" s="2558"/>
      <c r="CX21" s="2558"/>
      <c r="CY21" s="2558"/>
      <c r="CZ21" s="2558"/>
      <c r="DA21" s="2558"/>
      <c r="DB21" s="2558"/>
      <c r="DC21" s="2558"/>
      <c r="DD21" s="2558"/>
      <c r="DE21" s="2558"/>
      <c r="DF21" s="2558"/>
      <c r="DG21" s="2558"/>
      <c r="DH21" s="2558"/>
      <c r="DI21" s="2558"/>
      <c r="DJ21" s="2558"/>
      <c r="DK21" s="2558"/>
      <c r="DL21" s="2558"/>
      <c r="DM21" s="2558"/>
      <c r="DN21" s="2558"/>
      <c r="DO21" s="2558"/>
      <c r="DP21" s="2558"/>
      <c r="DQ21" s="2558"/>
      <c r="DR21" s="2558"/>
      <c r="DS21" s="2558"/>
      <c r="DT21" s="2558"/>
      <c r="DU21" s="2558"/>
      <c r="DV21" s="2558"/>
      <c r="DW21" s="2558"/>
      <c r="DX21" s="2558"/>
      <c r="DY21" s="2558"/>
      <c r="DZ21" s="2558"/>
      <c r="EA21" s="2558"/>
      <c r="EB21" s="2558"/>
      <c r="EC21" s="2558"/>
      <c r="ED21" s="2558"/>
      <c r="EE21" s="2558"/>
      <c r="EF21" s="2558"/>
      <c r="EG21" s="2558"/>
      <c r="EH21" s="2558"/>
      <c r="EI21" s="2558"/>
      <c r="EJ21" s="2558"/>
      <c r="EK21" s="2558"/>
      <c r="EL21" s="2558"/>
      <c r="EM21" s="2558"/>
      <c r="EN21" s="2558"/>
      <c r="EO21" s="2558"/>
      <c r="EP21" s="2558"/>
      <c r="EQ21" s="2558"/>
      <c r="ER21" s="2558"/>
      <c r="ES21" s="2558"/>
      <c r="ET21" s="2558"/>
      <c r="EU21" s="2558"/>
      <c r="EV21" s="2558"/>
      <c r="EW21" s="2558"/>
      <c r="EX21" s="2558"/>
      <c r="EY21" s="2558"/>
      <c r="EZ21" s="2558"/>
      <c r="FA21" s="2558"/>
      <c r="FB21" s="2558"/>
      <c r="FC21" s="2558"/>
      <c r="FD21" s="2558"/>
      <c r="FE21" s="2558"/>
      <c r="FF21" s="2558"/>
      <c r="FG21" s="2558"/>
      <c r="FH21" s="2558"/>
      <c r="FI21" s="2558"/>
      <c r="FJ21" s="2558"/>
      <c r="FK21" s="2558"/>
      <c r="FL21" s="2558"/>
      <c r="FM21" s="2558"/>
      <c r="FN21" s="2558"/>
      <c r="FO21" s="2558"/>
      <c r="FP21" s="2558"/>
      <c r="FQ21" s="2558"/>
      <c r="FR21" s="2558"/>
      <c r="FS21" s="2558"/>
      <c r="FT21" s="2558"/>
      <c r="FU21" s="2558"/>
      <c r="FV21" s="2558"/>
      <c r="FW21" s="2558"/>
      <c r="FX21" s="2558"/>
      <c r="FY21" s="2558"/>
      <c r="FZ21" s="2558"/>
      <c r="GA21" s="2558"/>
      <c r="GB21" s="2558"/>
      <c r="GC21" s="2558"/>
      <c r="GD21" s="2558"/>
      <c r="GE21" s="2558"/>
      <c r="GF21" s="2558"/>
      <c r="GG21" s="2558"/>
      <c r="GH21" s="2558"/>
      <c r="GI21" s="2558"/>
      <c r="GJ21" s="2558"/>
      <c r="GK21" s="2558"/>
      <c r="GL21" s="2558"/>
      <c r="GM21" s="2558"/>
      <c r="GN21" s="2558"/>
      <c r="GO21" s="2558"/>
      <c r="GP21" s="2558"/>
      <c r="GQ21" s="2558"/>
      <c r="GR21" s="2558"/>
      <c r="GS21" s="2558"/>
      <c r="GT21" s="2558"/>
      <c r="GU21" s="2558"/>
      <c r="GV21" s="2558"/>
      <c r="GW21" s="2558"/>
      <c r="GX21" s="2558"/>
      <c r="GY21" s="2558"/>
      <c r="GZ21" s="2558"/>
      <c r="HA21" s="2558"/>
      <c r="HB21" s="2558"/>
      <c r="HC21" s="2558"/>
      <c r="HD21" s="2558"/>
      <c r="HE21" s="2558"/>
      <c r="HF21" s="2558"/>
      <c r="HG21" s="2558"/>
      <c r="HH21" s="2558"/>
      <c r="HI21" s="2558"/>
      <c r="HJ21" s="2558"/>
      <c r="HK21" s="2558"/>
      <c r="HL21" s="2558"/>
      <c r="HM21" s="2558"/>
      <c r="HN21" s="2558"/>
      <c r="HO21" s="2558"/>
      <c r="HP21" s="2558"/>
      <c r="HQ21" s="2558"/>
      <c r="HR21" s="2558"/>
      <c r="HS21" s="2558"/>
      <c r="HT21" s="2558"/>
      <c r="HU21" s="2558"/>
      <c r="HV21" s="2558"/>
      <c r="HW21" s="2558"/>
      <c r="HX21" s="2558"/>
      <c r="HY21" s="2558"/>
      <c r="HZ21" s="2558"/>
      <c r="IA21" s="2558"/>
      <c r="IB21" s="2558"/>
      <c r="IC21" s="2558"/>
      <c r="IF21" s="437"/>
      <c r="IG21" s="437"/>
      <c r="IH21" s="437"/>
      <c r="II21" s="437"/>
      <c r="IJ21" s="437"/>
    </row>
    <row r="22" spans="1:244" s="2553" customFormat="1" ht="14.25" hidden="1" customHeight="1">
      <c r="L22" s="1246"/>
      <c r="M22" s="1278"/>
      <c r="N22" s="1278"/>
      <c r="O22" s="1280" t="s">
        <v>407</v>
      </c>
      <c r="P22" s="1278"/>
      <c r="Q22" s="1287"/>
      <c r="R22" s="1287"/>
      <c r="S22" s="648"/>
      <c r="T22" s="1060" t="s">
        <v>408</v>
      </c>
      <c r="AA22" s="107" t="s">
        <v>409</v>
      </c>
      <c r="AC22" s="107" t="s">
        <v>410</v>
      </c>
      <c r="AD22" s="1060" t="s">
        <v>408</v>
      </c>
      <c r="AI22" s="107" t="s">
        <v>411</v>
      </c>
      <c r="AK22" s="107" t="s">
        <v>410</v>
      </c>
      <c r="AL22" s="2558"/>
      <c r="AM22" s="2558"/>
      <c r="AN22" s="2558"/>
      <c r="AO22" s="2558"/>
      <c r="AP22" s="2558"/>
      <c r="AQ22" s="2560" t="s">
        <v>409</v>
      </c>
      <c r="AR22" s="2558"/>
      <c r="AS22" s="2560" t="s">
        <v>410</v>
      </c>
      <c r="AT22" s="2558"/>
      <c r="AU22" s="2558"/>
      <c r="AV22" s="2558"/>
      <c r="AW22" s="2558"/>
      <c r="AX22" s="2558"/>
      <c r="AY22" s="2560" t="s">
        <v>409</v>
      </c>
      <c r="AZ22" s="2558"/>
      <c r="BA22" s="2560" t="s">
        <v>410</v>
      </c>
      <c r="BB22" s="2558"/>
      <c r="BC22" s="2558"/>
      <c r="BD22" s="2558"/>
      <c r="BE22" s="2558"/>
      <c r="BF22" s="2558"/>
      <c r="BG22" s="2560" t="s">
        <v>409</v>
      </c>
      <c r="BH22" s="2558"/>
      <c r="BI22" s="2560" t="s">
        <v>410</v>
      </c>
      <c r="BJ22" s="2558"/>
      <c r="BK22" s="2558"/>
      <c r="BL22" s="2558"/>
      <c r="BM22" s="2558"/>
      <c r="BN22" s="2558"/>
      <c r="BO22" s="2560" t="s">
        <v>409</v>
      </c>
      <c r="BP22" s="2558"/>
      <c r="BQ22" s="2560" t="s">
        <v>410</v>
      </c>
      <c r="BR22" s="2558"/>
      <c r="BS22" s="2558"/>
      <c r="BT22" s="2558"/>
      <c r="BU22" s="2558"/>
      <c r="BV22" s="2558"/>
      <c r="BW22" s="2560" t="s">
        <v>409</v>
      </c>
      <c r="BX22" s="2558"/>
      <c r="BY22" s="2560" t="s">
        <v>410</v>
      </c>
      <c r="BZ22" s="2558"/>
      <c r="CA22" s="2558"/>
      <c r="CB22" s="2558"/>
      <c r="CC22" s="2558"/>
      <c r="CD22" s="2558"/>
      <c r="CE22" s="2560" t="s">
        <v>409</v>
      </c>
      <c r="CF22" s="2558"/>
      <c r="CG22" s="2560" t="s">
        <v>410</v>
      </c>
      <c r="CH22" s="2558"/>
      <c r="CI22" s="2558"/>
      <c r="CJ22" s="2558"/>
      <c r="CK22" s="2558"/>
      <c r="CL22" s="2558"/>
      <c r="CM22" s="2560" t="s">
        <v>409</v>
      </c>
      <c r="CN22" s="2558"/>
      <c r="CO22" s="2560" t="s">
        <v>410</v>
      </c>
      <c r="CP22" s="2558"/>
      <c r="CQ22" s="2558"/>
      <c r="CR22" s="2558"/>
      <c r="CS22" s="2558"/>
      <c r="CT22" s="2558"/>
      <c r="CU22" s="2560" t="s">
        <v>409</v>
      </c>
      <c r="CV22" s="2558"/>
      <c r="CW22" s="2560" t="s">
        <v>410</v>
      </c>
      <c r="CX22" s="2558"/>
      <c r="CY22" s="2558"/>
      <c r="CZ22" s="2558"/>
      <c r="DA22" s="2558"/>
      <c r="DB22" s="2558"/>
      <c r="DC22" s="2560" t="s">
        <v>409</v>
      </c>
      <c r="DD22" s="2558"/>
      <c r="DE22" s="2560" t="s">
        <v>410</v>
      </c>
      <c r="DF22" s="2558"/>
      <c r="DG22" s="2558"/>
      <c r="DH22" s="2558"/>
      <c r="DI22" s="2558"/>
      <c r="DJ22" s="2558"/>
      <c r="DK22" s="2560" t="s">
        <v>409</v>
      </c>
      <c r="DL22" s="2558"/>
      <c r="DM22" s="2560" t="s">
        <v>410</v>
      </c>
      <c r="DN22" s="2558"/>
      <c r="DO22" s="2558"/>
      <c r="DP22" s="2558"/>
      <c r="DQ22" s="2558"/>
      <c r="DR22" s="2558"/>
      <c r="DS22" s="2560" t="s">
        <v>409</v>
      </c>
      <c r="DT22" s="2558"/>
      <c r="DU22" s="2560" t="s">
        <v>410</v>
      </c>
      <c r="DV22" s="2558"/>
      <c r="DW22" s="2558"/>
      <c r="DX22" s="2558"/>
      <c r="DY22" s="2558"/>
      <c r="DZ22" s="2558"/>
      <c r="EA22" s="2560" t="s">
        <v>409</v>
      </c>
      <c r="EB22" s="2558"/>
      <c r="EC22" s="2560" t="s">
        <v>410</v>
      </c>
      <c r="ED22" s="2558"/>
      <c r="EE22" s="2558"/>
      <c r="EF22" s="2558"/>
      <c r="EG22" s="2558"/>
      <c r="EH22" s="2558"/>
      <c r="EI22" s="2560" t="s">
        <v>409</v>
      </c>
      <c r="EJ22" s="2558"/>
      <c r="EK22" s="2560" t="s">
        <v>410</v>
      </c>
      <c r="EL22" s="2558"/>
      <c r="EM22" s="2558"/>
      <c r="EN22" s="2558"/>
      <c r="EO22" s="2558"/>
      <c r="EP22" s="2558"/>
      <c r="EQ22" s="2560" t="s">
        <v>409</v>
      </c>
      <c r="ER22" s="2558"/>
      <c r="ES22" s="2560" t="s">
        <v>410</v>
      </c>
      <c r="ET22" s="2558"/>
      <c r="EU22" s="2558"/>
      <c r="EV22" s="2558"/>
      <c r="EW22" s="2558"/>
      <c r="EX22" s="2558"/>
      <c r="EY22" s="2560" t="s">
        <v>409</v>
      </c>
      <c r="EZ22" s="2558"/>
      <c r="FA22" s="2560" t="s">
        <v>410</v>
      </c>
      <c r="FB22" s="2558"/>
      <c r="FC22" s="2558"/>
      <c r="FD22" s="2558"/>
      <c r="FE22" s="2558"/>
      <c r="FF22" s="2558"/>
      <c r="FG22" s="2560" t="s">
        <v>409</v>
      </c>
      <c r="FH22" s="2558"/>
      <c r="FI22" s="2560" t="s">
        <v>410</v>
      </c>
      <c r="FJ22" s="2558"/>
      <c r="FK22" s="2558"/>
      <c r="FL22" s="2558"/>
      <c r="FM22" s="2558"/>
      <c r="FN22" s="2558"/>
      <c r="FO22" s="2560" t="s">
        <v>409</v>
      </c>
      <c r="FP22" s="2558"/>
      <c r="FQ22" s="2560" t="s">
        <v>410</v>
      </c>
      <c r="FR22" s="2558"/>
      <c r="FS22" s="2558"/>
      <c r="FT22" s="2558"/>
      <c r="FU22" s="2558"/>
      <c r="FV22" s="2558"/>
      <c r="FW22" s="2560" t="s">
        <v>409</v>
      </c>
      <c r="FX22" s="2558"/>
      <c r="FY22" s="2560" t="s">
        <v>410</v>
      </c>
      <c r="FZ22" s="2558"/>
      <c r="GA22" s="2558"/>
      <c r="GB22" s="2558"/>
      <c r="GC22" s="2558"/>
      <c r="GD22" s="2558"/>
      <c r="GE22" s="2560" t="s">
        <v>409</v>
      </c>
      <c r="GF22" s="2558"/>
      <c r="GG22" s="2560" t="s">
        <v>410</v>
      </c>
      <c r="GH22" s="2558"/>
      <c r="GI22" s="2558"/>
      <c r="GJ22" s="2558"/>
      <c r="GK22" s="2558"/>
      <c r="GL22" s="2558"/>
      <c r="GM22" s="2560" t="s">
        <v>409</v>
      </c>
      <c r="GN22" s="2558"/>
      <c r="GO22" s="2560" t="s">
        <v>410</v>
      </c>
      <c r="GP22" s="2558"/>
      <c r="GQ22" s="2558"/>
      <c r="GR22" s="2558"/>
      <c r="GS22" s="2558"/>
      <c r="GT22" s="2558"/>
      <c r="GU22" s="2560" t="s">
        <v>409</v>
      </c>
      <c r="GV22" s="2558"/>
      <c r="GW22" s="2560" t="s">
        <v>410</v>
      </c>
      <c r="GX22" s="2558"/>
      <c r="GY22" s="2558"/>
      <c r="GZ22" s="2558"/>
      <c r="HA22" s="2558"/>
      <c r="HB22" s="2558"/>
      <c r="HC22" s="2560" t="s">
        <v>409</v>
      </c>
      <c r="HD22" s="2558"/>
      <c r="HE22" s="2560" t="s">
        <v>410</v>
      </c>
      <c r="HF22" s="2558"/>
      <c r="HG22" s="2558"/>
      <c r="HH22" s="2558"/>
      <c r="HI22" s="2558"/>
      <c r="HJ22" s="2558"/>
      <c r="HK22" s="2560" t="s">
        <v>409</v>
      </c>
      <c r="HL22" s="2558"/>
      <c r="HM22" s="2560" t="s">
        <v>410</v>
      </c>
      <c r="HN22" s="2558"/>
      <c r="HO22" s="2558"/>
      <c r="HP22" s="2558"/>
      <c r="HQ22" s="2558"/>
      <c r="HR22" s="2558"/>
      <c r="HS22" s="2560" t="s">
        <v>409</v>
      </c>
      <c r="HT22" s="2558"/>
      <c r="HU22" s="2560" t="s">
        <v>410</v>
      </c>
      <c r="HV22" s="2558"/>
      <c r="HW22" s="2558"/>
      <c r="HX22" s="2558"/>
      <c r="HY22" s="2558"/>
      <c r="HZ22" s="2558"/>
      <c r="IA22" s="2560" t="s">
        <v>409</v>
      </c>
      <c r="IB22" s="2558"/>
      <c r="IC22" s="2560" t="s">
        <v>410</v>
      </c>
      <c r="IF22" s="437"/>
      <c r="IG22" s="437"/>
      <c r="IH22" s="437"/>
      <c r="II22" s="437"/>
      <c r="IJ22" s="437"/>
    </row>
    <row r="23" spans="1:244" ht="14.25" hidden="1" customHeight="1">
      <c r="O23" s="1280"/>
      <c r="P23" s="1229"/>
      <c r="AL23" s="1945"/>
      <c r="AM23" s="1945"/>
      <c r="AN23" s="1945"/>
      <c r="AO23" s="1945"/>
      <c r="AP23" s="1945"/>
      <c r="AQ23" s="1945"/>
      <c r="AR23" s="1945"/>
      <c r="AS23" s="1945"/>
      <c r="AT23" s="1945"/>
      <c r="AU23" s="1945"/>
      <c r="AV23" s="1945"/>
      <c r="AW23" s="1945"/>
      <c r="AX23" s="1945"/>
      <c r="AY23" s="1945"/>
      <c r="AZ23" s="1945"/>
      <c r="BA23" s="1945"/>
      <c r="BB23" s="1945"/>
      <c r="BC23" s="1945"/>
      <c r="BD23" s="1945"/>
      <c r="BE23" s="1945"/>
      <c r="BF23" s="1945"/>
      <c r="BG23" s="1945"/>
      <c r="BH23" s="1945"/>
      <c r="BI23" s="1945"/>
      <c r="BJ23" s="1945"/>
      <c r="BK23" s="1945"/>
      <c r="BL23" s="1945"/>
      <c r="BM23" s="1945"/>
      <c r="BN23" s="1945"/>
      <c r="BO23" s="1945"/>
      <c r="BP23" s="1945"/>
      <c r="BQ23" s="1945"/>
      <c r="BR23" s="1945"/>
      <c r="BS23" s="1945"/>
      <c r="BT23" s="1945"/>
      <c r="BU23" s="1945"/>
      <c r="BV23" s="1945"/>
      <c r="BW23" s="1945"/>
      <c r="BX23" s="1945"/>
      <c r="BY23" s="1945"/>
      <c r="BZ23" s="1945"/>
      <c r="CA23" s="1945"/>
      <c r="CB23" s="1945"/>
      <c r="CC23" s="1945"/>
      <c r="CD23" s="1945"/>
      <c r="CE23" s="1945"/>
      <c r="CF23" s="1945"/>
      <c r="CG23" s="1945"/>
      <c r="CH23" s="1945"/>
      <c r="CI23" s="1945"/>
      <c r="CJ23" s="1945"/>
      <c r="CK23" s="1945"/>
      <c r="CL23" s="1945"/>
      <c r="CM23" s="1945"/>
      <c r="CN23" s="1945"/>
      <c r="CO23" s="1945"/>
      <c r="CP23" s="1945"/>
      <c r="CQ23" s="1945"/>
      <c r="CR23" s="1945"/>
      <c r="CS23" s="1945"/>
      <c r="CT23" s="1945"/>
      <c r="CU23" s="1945"/>
      <c r="CV23" s="1945"/>
      <c r="CW23" s="1945"/>
      <c r="CX23" s="1945"/>
      <c r="CY23" s="1945"/>
      <c r="CZ23" s="1945"/>
      <c r="DA23" s="1945"/>
      <c r="DB23" s="1945"/>
      <c r="DC23" s="1945"/>
      <c r="DD23" s="1945"/>
      <c r="DE23" s="1945"/>
      <c r="DF23" s="1945"/>
      <c r="DG23" s="1945"/>
      <c r="DH23" s="1945"/>
      <c r="DI23" s="1945"/>
      <c r="DJ23" s="1945"/>
      <c r="DK23" s="1945"/>
      <c r="DL23" s="1945"/>
      <c r="DM23" s="1945"/>
      <c r="DN23" s="1945"/>
      <c r="DO23" s="1945"/>
      <c r="DP23" s="1945"/>
      <c r="DQ23" s="1945"/>
      <c r="DR23" s="1945"/>
      <c r="DS23" s="1945"/>
      <c r="DT23" s="1945"/>
      <c r="DU23" s="1945"/>
      <c r="DV23" s="1945"/>
      <c r="DW23" s="1945"/>
      <c r="DX23" s="1945"/>
      <c r="DY23" s="1945"/>
      <c r="DZ23" s="1945"/>
      <c r="EA23" s="1945"/>
      <c r="EB23" s="1945"/>
      <c r="EC23" s="1945"/>
      <c r="ED23" s="1945"/>
      <c r="EE23" s="1945"/>
      <c r="EF23" s="1945"/>
      <c r="EG23" s="1945"/>
      <c r="EH23" s="1945"/>
      <c r="EI23" s="1945"/>
      <c r="EJ23" s="1945"/>
      <c r="EK23" s="1945"/>
      <c r="EL23" s="1945"/>
      <c r="EM23" s="1945"/>
      <c r="EN23" s="1945"/>
      <c r="EO23" s="1945"/>
      <c r="EP23" s="1945"/>
      <c r="EQ23" s="1945"/>
      <c r="ER23" s="1945"/>
      <c r="ES23" s="1945"/>
      <c r="ET23" s="1945"/>
      <c r="EU23" s="1945"/>
      <c r="EV23" s="1945"/>
      <c r="EW23" s="1945"/>
      <c r="EX23" s="1945"/>
      <c r="EY23" s="1945"/>
      <c r="EZ23" s="1945"/>
      <c r="FA23" s="1945"/>
      <c r="FB23" s="1945"/>
      <c r="FC23" s="1945"/>
      <c r="FD23" s="1945"/>
      <c r="FE23" s="1945"/>
      <c r="FF23" s="1945"/>
      <c r="FG23" s="1945"/>
      <c r="FH23" s="1945"/>
      <c r="FI23" s="1945"/>
      <c r="FJ23" s="1945"/>
      <c r="FK23" s="1945"/>
      <c r="FL23" s="1945"/>
      <c r="FM23" s="1945"/>
      <c r="FN23" s="1945"/>
      <c r="FO23" s="1945"/>
      <c r="FP23" s="1945"/>
      <c r="FQ23" s="1945"/>
      <c r="FR23" s="1945"/>
      <c r="FS23" s="1945"/>
      <c r="FT23" s="1945"/>
      <c r="FU23" s="1945"/>
      <c r="FV23" s="1945"/>
      <c r="FW23" s="1945"/>
      <c r="FX23" s="1945"/>
      <c r="FY23" s="1945"/>
      <c r="FZ23" s="1945"/>
      <c r="GA23" s="1945"/>
      <c r="GB23" s="1945"/>
      <c r="GC23" s="1945"/>
      <c r="GD23" s="1945"/>
      <c r="GE23" s="1945"/>
      <c r="GF23" s="1945"/>
      <c r="GG23" s="1945"/>
      <c r="GH23" s="1945"/>
      <c r="GI23" s="1945"/>
      <c r="GJ23" s="1945"/>
      <c r="GK23" s="1945"/>
      <c r="GL23" s="1945"/>
      <c r="GM23" s="1945"/>
      <c r="GN23" s="1945"/>
      <c r="GO23" s="1945"/>
      <c r="GP23" s="1945"/>
      <c r="GQ23" s="1945"/>
      <c r="GR23" s="1945"/>
      <c r="GS23" s="1945"/>
      <c r="GT23" s="1945"/>
      <c r="GU23" s="1945"/>
      <c r="GV23" s="1945"/>
      <c r="GW23" s="1945"/>
      <c r="GX23" s="1945"/>
      <c r="GY23" s="1945"/>
      <c r="GZ23" s="1945"/>
      <c r="HA23" s="1945"/>
      <c r="HB23" s="1945"/>
      <c r="HC23" s="1945"/>
      <c r="HD23" s="1945"/>
      <c r="HE23" s="1945"/>
      <c r="HF23" s="1945"/>
      <c r="HG23" s="1945"/>
      <c r="HH23" s="1945"/>
      <c r="HI23" s="1945"/>
      <c r="HJ23" s="1945"/>
      <c r="HK23" s="1945"/>
      <c r="HL23" s="1945"/>
      <c r="HM23" s="1945"/>
      <c r="HN23" s="1945"/>
      <c r="HO23" s="1945"/>
      <c r="HP23" s="1945"/>
      <c r="HQ23" s="1945"/>
      <c r="HR23" s="1945"/>
      <c r="HS23" s="1945"/>
      <c r="HT23" s="1945"/>
      <c r="HU23" s="1945"/>
      <c r="HV23" s="1945"/>
      <c r="HW23" s="1945"/>
      <c r="HX23" s="1945"/>
      <c r="HY23" s="1945"/>
      <c r="HZ23" s="1945"/>
      <c r="IA23" s="1945"/>
      <c r="IB23" s="1945"/>
      <c r="IC23" s="1945"/>
    </row>
    <row r="24" spans="1:244" ht="14.25" hidden="1" customHeight="1">
      <c r="O24" s="1280"/>
      <c r="P24" s="1229"/>
      <c r="AL24" s="1945"/>
      <c r="AM24" s="1945"/>
      <c r="AN24" s="1945"/>
      <c r="AO24" s="1945"/>
      <c r="AP24" s="1945"/>
      <c r="AQ24" s="1945"/>
      <c r="AR24" s="1945"/>
      <c r="AS24" s="1945"/>
      <c r="AT24" s="1945"/>
      <c r="AU24" s="1945"/>
      <c r="AV24" s="1945"/>
      <c r="AW24" s="1945"/>
      <c r="AX24" s="1945"/>
      <c r="AY24" s="1945"/>
      <c r="AZ24" s="1945"/>
      <c r="BA24" s="1945"/>
      <c r="BB24" s="1945"/>
      <c r="BC24" s="1945"/>
      <c r="BD24" s="1945"/>
      <c r="BE24" s="1945"/>
      <c r="BF24" s="1945"/>
      <c r="BG24" s="1945"/>
      <c r="BH24" s="1945"/>
      <c r="BI24" s="1945"/>
      <c r="BJ24" s="1945"/>
      <c r="BK24" s="1945"/>
      <c r="BL24" s="1945"/>
      <c r="BM24" s="1945"/>
      <c r="BN24" s="1945"/>
      <c r="BO24" s="1945"/>
      <c r="BP24" s="1945"/>
      <c r="BQ24" s="1945"/>
      <c r="BR24" s="1945"/>
      <c r="BS24" s="1945"/>
      <c r="BT24" s="1945"/>
      <c r="BU24" s="1945"/>
      <c r="BV24" s="1945"/>
      <c r="BW24" s="1945"/>
      <c r="BX24" s="1945"/>
      <c r="BY24" s="1945"/>
      <c r="BZ24" s="1945"/>
      <c r="CA24" s="1945"/>
      <c r="CB24" s="1945"/>
      <c r="CC24" s="1945"/>
      <c r="CD24" s="1945"/>
      <c r="CE24" s="1945"/>
      <c r="CF24" s="1945"/>
      <c r="CG24" s="1945"/>
      <c r="CH24" s="1945"/>
      <c r="CI24" s="1945"/>
      <c r="CJ24" s="1945"/>
      <c r="CK24" s="1945"/>
      <c r="CL24" s="1945"/>
      <c r="CM24" s="1945"/>
      <c r="CN24" s="1945"/>
      <c r="CO24" s="1945"/>
      <c r="CP24" s="1945"/>
      <c r="CQ24" s="1945"/>
      <c r="CR24" s="1945"/>
      <c r="CS24" s="1945"/>
      <c r="CT24" s="1945"/>
      <c r="CU24" s="1945"/>
      <c r="CV24" s="1945"/>
      <c r="CW24" s="1945"/>
      <c r="CX24" s="1945"/>
      <c r="CY24" s="1945"/>
      <c r="CZ24" s="1945"/>
      <c r="DA24" s="1945"/>
      <c r="DB24" s="1945"/>
      <c r="DC24" s="1945"/>
      <c r="DD24" s="1945"/>
      <c r="DE24" s="1945"/>
      <c r="DF24" s="1945"/>
      <c r="DG24" s="1945"/>
      <c r="DH24" s="1945"/>
      <c r="DI24" s="1945"/>
      <c r="DJ24" s="1945"/>
      <c r="DK24" s="1945"/>
      <c r="DL24" s="1945"/>
      <c r="DM24" s="1945"/>
      <c r="DN24" s="1945"/>
      <c r="DO24" s="1945"/>
      <c r="DP24" s="1945"/>
      <c r="DQ24" s="1945"/>
      <c r="DR24" s="1945"/>
      <c r="DS24" s="1945"/>
      <c r="DT24" s="1945"/>
      <c r="DU24" s="1945"/>
      <c r="DV24" s="1945"/>
      <c r="DW24" s="1945"/>
      <c r="DX24" s="1945"/>
      <c r="DY24" s="1945"/>
      <c r="DZ24" s="1945"/>
      <c r="EA24" s="1945"/>
      <c r="EB24" s="1945"/>
      <c r="EC24" s="1945"/>
      <c r="ED24" s="1945"/>
      <c r="EE24" s="1945"/>
      <c r="EF24" s="1945"/>
      <c r="EG24" s="1945"/>
      <c r="EH24" s="1945"/>
      <c r="EI24" s="1945"/>
      <c r="EJ24" s="1945"/>
      <c r="EK24" s="1945"/>
      <c r="EL24" s="1945"/>
      <c r="EM24" s="1945"/>
      <c r="EN24" s="1945"/>
      <c r="EO24" s="1945"/>
      <c r="EP24" s="1945"/>
      <c r="EQ24" s="1945"/>
      <c r="ER24" s="1945"/>
      <c r="ES24" s="1945"/>
      <c r="ET24" s="1945"/>
      <c r="EU24" s="1945"/>
      <c r="EV24" s="1945"/>
      <c r="EW24" s="1945"/>
      <c r="EX24" s="1945"/>
      <c r="EY24" s="1945"/>
      <c r="EZ24" s="1945"/>
      <c r="FA24" s="1945"/>
      <c r="FB24" s="1945"/>
      <c r="FC24" s="1945"/>
      <c r="FD24" s="1945"/>
      <c r="FE24" s="1945"/>
      <c r="FF24" s="1945"/>
      <c r="FG24" s="1945"/>
      <c r="FH24" s="1945"/>
      <c r="FI24" s="1945"/>
      <c r="FJ24" s="1945"/>
      <c r="FK24" s="1945"/>
      <c r="FL24" s="1945"/>
      <c r="FM24" s="1945"/>
      <c r="FN24" s="1945"/>
      <c r="FO24" s="1945"/>
      <c r="FP24" s="1945"/>
      <c r="FQ24" s="1945"/>
      <c r="FR24" s="1945"/>
      <c r="FS24" s="1945"/>
      <c r="FT24" s="1945"/>
      <c r="FU24" s="1945"/>
      <c r="FV24" s="1945"/>
      <c r="FW24" s="1945"/>
      <c r="FX24" s="1945"/>
      <c r="FY24" s="1945"/>
      <c r="FZ24" s="1945"/>
      <c r="GA24" s="1945"/>
      <c r="GB24" s="1945"/>
      <c r="GC24" s="1945"/>
      <c r="GD24" s="1945"/>
      <c r="GE24" s="1945"/>
      <c r="GF24" s="1945"/>
      <c r="GG24" s="1945"/>
      <c r="GH24" s="1945"/>
      <c r="GI24" s="1945"/>
      <c r="GJ24" s="1945"/>
      <c r="GK24" s="1945"/>
      <c r="GL24" s="1945"/>
      <c r="GM24" s="1945"/>
      <c r="GN24" s="1945"/>
      <c r="GO24" s="1945"/>
      <c r="GP24" s="1945"/>
      <c r="GQ24" s="1945"/>
      <c r="GR24" s="1945"/>
      <c r="GS24" s="1945"/>
      <c r="GT24" s="1945"/>
      <c r="GU24" s="1945"/>
      <c r="GV24" s="1945"/>
      <c r="GW24" s="1945"/>
      <c r="GX24" s="1945"/>
      <c r="GY24" s="1945"/>
      <c r="GZ24" s="1945"/>
      <c r="HA24" s="1945"/>
      <c r="HB24" s="1945"/>
      <c r="HC24" s="1945"/>
      <c r="HD24" s="1945"/>
      <c r="HE24" s="1945"/>
      <c r="HF24" s="1945"/>
      <c r="HG24" s="1945"/>
      <c r="HH24" s="1945"/>
      <c r="HI24" s="1945"/>
      <c r="HJ24" s="1945"/>
      <c r="HK24" s="1945"/>
      <c r="HL24" s="1945"/>
      <c r="HM24" s="1945"/>
      <c r="HN24" s="1945"/>
      <c r="HO24" s="1945"/>
      <c r="HP24" s="1945"/>
      <c r="HQ24" s="1945"/>
      <c r="HR24" s="1945"/>
      <c r="HS24" s="1945"/>
      <c r="HT24" s="1945"/>
      <c r="HU24" s="1945"/>
      <c r="HV24" s="1945"/>
      <c r="HW24" s="1945"/>
      <c r="HX24" s="1945"/>
      <c r="HY24" s="1945"/>
      <c r="HZ24" s="1945"/>
      <c r="IA24" s="1945"/>
      <c r="IB24" s="1945"/>
      <c r="IC24" s="1945"/>
    </row>
    <row r="25" spans="1:2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c r="AL25" s="1945"/>
      <c r="AM25" s="1945"/>
      <c r="AN25" s="1945"/>
      <c r="AO25" s="1945"/>
      <c r="AP25" s="1945"/>
      <c r="AQ25" s="1945"/>
      <c r="AR25" s="1945"/>
      <c r="AS25" s="1945"/>
      <c r="AT25" s="1945"/>
      <c r="AU25" s="1945"/>
      <c r="AV25" s="1945"/>
      <c r="AW25" s="1945"/>
      <c r="AX25" s="1945"/>
      <c r="AY25" s="1945"/>
      <c r="AZ25" s="1945"/>
      <c r="BA25" s="1945"/>
      <c r="BB25" s="1945"/>
      <c r="BC25" s="1945"/>
      <c r="BD25" s="1945"/>
      <c r="BE25" s="1945"/>
      <c r="BF25" s="1945"/>
      <c r="BG25" s="1945"/>
      <c r="BH25" s="1945"/>
      <c r="BI25" s="1945"/>
      <c r="BJ25" s="1945"/>
      <c r="BK25" s="1945"/>
      <c r="BL25" s="1945"/>
      <c r="BM25" s="1945"/>
      <c r="BN25" s="1945"/>
      <c r="BO25" s="1945"/>
      <c r="BP25" s="1945"/>
      <c r="BQ25" s="1945"/>
      <c r="BR25" s="1945"/>
      <c r="BS25" s="1945"/>
      <c r="BT25" s="1945"/>
      <c r="BU25" s="1945"/>
      <c r="BV25" s="1945"/>
      <c r="BW25" s="1945"/>
      <c r="BX25" s="1945"/>
      <c r="BY25" s="1945"/>
      <c r="BZ25" s="1945"/>
      <c r="CA25" s="1945"/>
      <c r="CB25" s="1945"/>
      <c r="CC25" s="1945"/>
      <c r="CD25" s="1945"/>
      <c r="CE25" s="1945"/>
      <c r="CF25" s="1945"/>
      <c r="CG25" s="1945"/>
      <c r="CH25" s="1945"/>
      <c r="CI25" s="1945"/>
      <c r="CJ25" s="1945"/>
      <c r="CK25" s="1945"/>
      <c r="CL25" s="1945"/>
      <c r="CM25" s="1945"/>
      <c r="CN25" s="1945"/>
      <c r="CO25" s="1945"/>
      <c r="CP25" s="1945"/>
      <c r="CQ25" s="1945"/>
      <c r="CR25" s="1945"/>
      <c r="CS25" s="1945"/>
      <c r="CT25" s="1945"/>
      <c r="CU25" s="1945"/>
      <c r="CV25" s="1945"/>
      <c r="CW25" s="1945"/>
      <c r="CX25" s="1945"/>
      <c r="CY25" s="1945"/>
      <c r="CZ25" s="1945"/>
      <c r="DA25" s="1945"/>
      <c r="DB25" s="1945"/>
      <c r="DC25" s="1945"/>
      <c r="DD25" s="1945"/>
      <c r="DE25" s="1945"/>
      <c r="DF25" s="1945"/>
      <c r="DG25" s="1945"/>
      <c r="DH25" s="1945"/>
      <c r="DI25" s="1945"/>
      <c r="DJ25" s="1945"/>
      <c r="DK25" s="1945"/>
      <c r="DL25" s="1945"/>
      <c r="DM25" s="1945"/>
      <c r="DN25" s="1945"/>
      <c r="DO25" s="1945"/>
      <c r="DP25" s="1945"/>
      <c r="DQ25" s="1945"/>
      <c r="DR25" s="1945"/>
      <c r="DS25" s="1945"/>
      <c r="DT25" s="1945"/>
      <c r="DU25" s="1945"/>
      <c r="DV25" s="1945"/>
      <c r="DW25" s="1945"/>
      <c r="DX25" s="1945"/>
      <c r="DY25" s="1945"/>
      <c r="DZ25" s="1945"/>
      <c r="EA25" s="1945"/>
      <c r="EB25" s="1945"/>
      <c r="EC25" s="1945"/>
      <c r="ED25" s="1945"/>
      <c r="EE25" s="1945"/>
      <c r="EF25" s="1945"/>
      <c r="EG25" s="1945"/>
      <c r="EH25" s="1945"/>
      <c r="EI25" s="1945"/>
      <c r="EJ25" s="1945"/>
      <c r="EK25" s="1945"/>
      <c r="EL25" s="1945"/>
      <c r="EM25" s="1945"/>
      <c r="EN25" s="1945"/>
      <c r="EO25" s="1945"/>
      <c r="EP25" s="1945"/>
      <c r="EQ25" s="1945"/>
      <c r="ER25" s="1945"/>
      <c r="ES25" s="1945"/>
      <c r="ET25" s="1945"/>
      <c r="EU25" s="1945"/>
      <c r="EV25" s="1945"/>
      <c r="EW25" s="1945"/>
      <c r="EX25" s="1945"/>
      <c r="EY25" s="1945"/>
      <c r="EZ25" s="1945"/>
      <c r="FA25" s="1945"/>
      <c r="FB25" s="1945"/>
      <c r="FC25" s="1945"/>
      <c r="FD25" s="1945"/>
      <c r="FE25" s="1945"/>
      <c r="FF25" s="1945"/>
      <c r="FG25" s="1945"/>
      <c r="FH25" s="1945"/>
      <c r="FI25" s="1945"/>
      <c r="FJ25" s="1945"/>
      <c r="FK25" s="1945"/>
      <c r="FL25" s="1945"/>
      <c r="FM25" s="1945"/>
      <c r="FN25" s="1945"/>
      <c r="FO25" s="1945"/>
      <c r="FP25" s="1945"/>
      <c r="FQ25" s="1945"/>
      <c r="FR25" s="1945"/>
      <c r="FS25" s="1945"/>
      <c r="FT25" s="1945"/>
      <c r="FU25" s="1945"/>
      <c r="FV25" s="1945"/>
      <c r="FW25" s="1945"/>
      <c r="FX25" s="1945"/>
      <c r="FY25" s="1945"/>
      <c r="FZ25" s="1945"/>
      <c r="GA25" s="1945"/>
      <c r="GB25" s="1945"/>
      <c r="GC25" s="1945"/>
      <c r="GD25" s="1945"/>
      <c r="GE25" s="1945"/>
      <c r="GF25" s="1945"/>
      <c r="GG25" s="1945"/>
      <c r="GH25" s="1945"/>
      <c r="GI25" s="1945"/>
      <c r="GJ25" s="1945"/>
      <c r="GK25" s="1945"/>
      <c r="GL25" s="1945"/>
      <c r="GM25" s="1945"/>
      <c r="GN25" s="1945"/>
      <c r="GO25" s="1945"/>
      <c r="GP25" s="1945"/>
      <c r="GQ25" s="1945"/>
      <c r="GR25" s="1945"/>
      <c r="GS25" s="1945"/>
      <c r="GT25" s="1945"/>
      <c r="GU25" s="1945"/>
      <c r="GV25" s="1945"/>
      <c r="GW25" s="1945"/>
      <c r="GX25" s="1945"/>
      <c r="GY25" s="1945"/>
      <c r="GZ25" s="1945"/>
      <c r="HA25" s="1945"/>
      <c r="HB25" s="1945"/>
      <c r="HC25" s="1945"/>
      <c r="HD25" s="1945"/>
      <c r="HE25" s="1945"/>
      <c r="HF25" s="1945"/>
      <c r="HG25" s="1945"/>
      <c r="HH25" s="1945"/>
      <c r="HI25" s="1945"/>
      <c r="HJ25" s="1945"/>
      <c r="HK25" s="1945"/>
      <c r="HL25" s="1945"/>
      <c r="HM25" s="1945"/>
      <c r="HN25" s="1945"/>
      <c r="HO25" s="1945"/>
      <c r="HP25" s="1945"/>
      <c r="HQ25" s="1945"/>
      <c r="HR25" s="1945"/>
      <c r="HS25" s="1945"/>
      <c r="HT25" s="1945"/>
      <c r="HU25" s="1945"/>
      <c r="HV25" s="1945"/>
      <c r="HW25" s="1945"/>
      <c r="HX25" s="1945"/>
      <c r="HY25" s="1945"/>
      <c r="HZ25" s="1945"/>
      <c r="IA25" s="1945"/>
      <c r="IB25" s="1945"/>
      <c r="IC25" s="1945"/>
    </row>
    <row r="26" spans="1:244" ht="14.25" customHeight="1">
      <c r="Q26" s="305"/>
      <c r="R26" s="305"/>
      <c r="S26" s="405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4058"/>
      <c r="U26" s="4058"/>
      <c r="V26" s="4058"/>
      <c r="W26" s="4058"/>
      <c r="X26" s="4058"/>
      <c r="Y26" s="4058"/>
      <c r="Z26" s="4058"/>
      <c r="AA26" s="4058"/>
      <c r="AB26" s="4058"/>
      <c r="AC26" s="4058"/>
      <c r="AD26" s="4058"/>
      <c r="AE26" s="4058"/>
      <c r="AF26" s="4058"/>
      <c r="AG26" s="4058"/>
      <c r="AH26" s="4058"/>
      <c r="AI26" s="4058"/>
      <c r="AJ26" s="4058"/>
      <c r="AK26" s="1152"/>
      <c r="AL26" s="2561"/>
      <c r="AM26" s="2561"/>
      <c r="AN26" s="2561"/>
      <c r="AO26" s="2561"/>
      <c r="AP26" s="2561"/>
      <c r="AQ26" s="2561"/>
      <c r="AR26" s="2561"/>
      <c r="AS26" s="2561"/>
      <c r="AT26" s="2561"/>
      <c r="AU26" s="2561"/>
      <c r="AV26" s="2561"/>
      <c r="AW26" s="2561"/>
      <c r="AX26" s="2561"/>
      <c r="AY26" s="2561"/>
      <c r="AZ26" s="2561"/>
      <c r="BA26" s="2561"/>
      <c r="BB26" s="2561"/>
      <c r="BC26" s="2561"/>
      <c r="BD26" s="2561"/>
      <c r="BE26" s="2561"/>
      <c r="BF26" s="2561"/>
      <c r="BG26" s="2561"/>
      <c r="BH26" s="2561"/>
      <c r="BI26" s="2561"/>
      <c r="BJ26" s="2561"/>
      <c r="BK26" s="2561"/>
      <c r="BL26" s="2561"/>
      <c r="BM26" s="2561"/>
      <c r="BN26" s="2561"/>
      <c r="BO26" s="2561"/>
      <c r="BP26" s="2561"/>
      <c r="BQ26" s="2561"/>
      <c r="BR26" s="2561"/>
      <c r="BS26" s="2561"/>
      <c r="BT26" s="2561"/>
      <c r="BU26" s="2561"/>
      <c r="BV26" s="2561"/>
      <c r="BW26" s="2561"/>
      <c r="BX26" s="2561"/>
      <c r="BY26" s="2561"/>
      <c r="BZ26" s="2561"/>
      <c r="CA26" s="2561"/>
      <c r="CB26" s="2561"/>
      <c r="CC26" s="2561"/>
      <c r="CD26" s="2561"/>
      <c r="CE26" s="2561"/>
      <c r="CF26" s="2561"/>
      <c r="CG26" s="2561"/>
      <c r="CH26" s="2561"/>
      <c r="CI26" s="2561"/>
      <c r="CJ26" s="2561"/>
      <c r="CK26" s="2561"/>
      <c r="CL26" s="2561"/>
      <c r="CM26" s="2561"/>
      <c r="CN26" s="2561"/>
      <c r="CO26" s="2561"/>
      <c r="CP26" s="2561"/>
      <c r="CQ26" s="2561"/>
      <c r="CR26" s="2561"/>
      <c r="CS26" s="2561"/>
      <c r="CT26" s="2561"/>
      <c r="CU26" s="2561"/>
      <c r="CV26" s="2561"/>
      <c r="CW26" s="2561"/>
      <c r="CX26" s="2561"/>
      <c r="CY26" s="2561"/>
      <c r="CZ26" s="2561"/>
      <c r="DA26" s="2561"/>
      <c r="DB26" s="2561"/>
      <c r="DC26" s="2561"/>
      <c r="DD26" s="2561"/>
      <c r="DE26" s="2561"/>
      <c r="DF26" s="2561"/>
      <c r="DG26" s="2561"/>
      <c r="DH26" s="2561"/>
      <c r="DI26" s="2561"/>
      <c r="DJ26" s="2561"/>
      <c r="DK26" s="2561"/>
      <c r="DL26" s="2561"/>
      <c r="DM26" s="2561"/>
      <c r="DN26" s="2561"/>
      <c r="DO26" s="2561"/>
      <c r="DP26" s="2561"/>
      <c r="DQ26" s="2561"/>
      <c r="DR26" s="2561"/>
      <c r="DS26" s="2561"/>
      <c r="DT26" s="2561"/>
      <c r="DU26" s="2561"/>
      <c r="DV26" s="2561"/>
      <c r="DW26" s="2561"/>
      <c r="DX26" s="2561"/>
      <c r="DY26" s="2561"/>
      <c r="DZ26" s="2561"/>
      <c r="EA26" s="2561"/>
      <c r="EB26" s="2561"/>
      <c r="EC26" s="2561"/>
      <c r="ED26" s="2561"/>
      <c r="EE26" s="2561"/>
      <c r="EF26" s="2561"/>
      <c r="EG26" s="2561"/>
      <c r="EH26" s="2561"/>
      <c r="EI26" s="2561"/>
      <c r="EJ26" s="2561"/>
      <c r="EK26" s="2561"/>
      <c r="EL26" s="2561"/>
      <c r="EM26" s="2561"/>
      <c r="EN26" s="2561"/>
      <c r="EO26" s="2561"/>
      <c r="EP26" s="2561"/>
      <c r="EQ26" s="2561"/>
      <c r="ER26" s="2561"/>
      <c r="ES26" s="2561"/>
      <c r="ET26" s="2561"/>
      <c r="EU26" s="2561"/>
      <c r="EV26" s="2561"/>
      <c r="EW26" s="2561"/>
      <c r="EX26" s="2561"/>
      <c r="EY26" s="2561"/>
      <c r="EZ26" s="2561"/>
      <c r="FA26" s="2561"/>
      <c r="FB26" s="2561"/>
      <c r="FC26" s="2561"/>
      <c r="FD26" s="2561"/>
      <c r="FE26" s="2561"/>
      <c r="FF26" s="2561"/>
      <c r="FG26" s="2561"/>
      <c r="FH26" s="2561"/>
      <c r="FI26" s="2561"/>
      <c r="FJ26" s="2561"/>
      <c r="FK26" s="2561"/>
      <c r="FL26" s="2561"/>
      <c r="FM26" s="2561"/>
      <c r="FN26" s="2561"/>
      <c r="FO26" s="2561"/>
      <c r="FP26" s="2561"/>
      <c r="FQ26" s="2561"/>
      <c r="FR26" s="2561"/>
      <c r="FS26" s="2561"/>
      <c r="FT26" s="2561"/>
      <c r="FU26" s="2561"/>
      <c r="FV26" s="2561"/>
      <c r="FW26" s="2561"/>
      <c r="FX26" s="2561"/>
      <c r="FY26" s="2561"/>
      <c r="FZ26" s="2561"/>
      <c r="GA26" s="2561"/>
      <c r="GB26" s="2561"/>
      <c r="GC26" s="2561"/>
      <c r="GD26" s="2561"/>
      <c r="GE26" s="2561"/>
      <c r="GF26" s="2561"/>
      <c r="GG26" s="2561"/>
      <c r="GH26" s="2561"/>
      <c r="GI26" s="2561"/>
      <c r="GJ26" s="2561"/>
      <c r="GK26" s="2561"/>
      <c r="GL26" s="2561"/>
      <c r="GM26" s="2561"/>
      <c r="GN26" s="2561"/>
      <c r="GO26" s="2561"/>
      <c r="GP26" s="2561"/>
      <c r="GQ26" s="2561"/>
      <c r="GR26" s="2561"/>
      <c r="GS26" s="2561"/>
      <c r="GT26" s="2561"/>
      <c r="GU26" s="2561"/>
      <c r="GV26" s="2561"/>
      <c r="GW26" s="2561"/>
      <c r="GX26" s="2561"/>
      <c r="GY26" s="2561"/>
      <c r="GZ26" s="2561"/>
      <c r="HA26" s="2561"/>
      <c r="HB26" s="2561"/>
      <c r="HC26" s="2561"/>
      <c r="HD26" s="2561"/>
      <c r="HE26" s="2561"/>
      <c r="HF26" s="2561"/>
      <c r="HG26" s="2561"/>
      <c r="HH26" s="2561"/>
      <c r="HI26" s="2561"/>
      <c r="HJ26" s="2561"/>
      <c r="HK26" s="2561"/>
      <c r="HL26" s="2561"/>
      <c r="HM26" s="2561"/>
      <c r="HN26" s="2561"/>
      <c r="HO26" s="2561"/>
      <c r="HP26" s="2561"/>
      <c r="HQ26" s="2561"/>
      <c r="HR26" s="2561"/>
      <c r="HS26" s="2561"/>
      <c r="HT26" s="2561"/>
      <c r="HU26" s="2561"/>
      <c r="HV26" s="2561"/>
      <c r="HW26" s="2561"/>
      <c r="HX26" s="2561"/>
      <c r="HY26" s="2561"/>
      <c r="HZ26" s="2561"/>
      <c r="IA26" s="2561"/>
      <c r="IB26" s="2561"/>
      <c r="IC26" s="2561"/>
    </row>
    <row r="27" spans="1:244" ht="14.25" customHeight="1">
      <c r="Q27" s="305"/>
      <c r="R27" s="305"/>
      <c r="S27" s="4004" t="str">
        <f>IF(org=0,"Не определено",org)</f>
        <v>ООО «РИР-Сахалин»</v>
      </c>
      <c r="T27" s="4004"/>
      <c r="U27" s="4004"/>
      <c r="V27" s="4004"/>
      <c r="W27" s="4004"/>
      <c r="X27" s="4004"/>
      <c r="Y27" s="4004"/>
      <c r="Z27" s="4004"/>
      <c r="AA27" s="4004"/>
      <c r="AB27" s="4004"/>
      <c r="AC27" s="4004"/>
      <c r="AD27" s="4004"/>
      <c r="AE27" s="4004"/>
      <c r="AF27" s="4004"/>
      <c r="AG27" s="4004"/>
      <c r="AH27" s="4004"/>
      <c r="AI27" s="4004"/>
      <c r="AJ27" s="4004"/>
      <c r="AK27" s="1152"/>
      <c r="AL27" s="2562"/>
      <c r="AM27" s="2562"/>
      <c r="AN27" s="2562"/>
      <c r="AO27" s="2562"/>
      <c r="AP27" s="2562"/>
      <c r="AQ27" s="2562"/>
      <c r="AR27" s="2562"/>
      <c r="AS27" s="2562"/>
      <c r="AT27" s="2562"/>
      <c r="AU27" s="2562"/>
      <c r="AV27" s="2562"/>
      <c r="AW27" s="2562"/>
      <c r="AX27" s="2562"/>
      <c r="AY27" s="2562"/>
      <c r="AZ27" s="2562"/>
      <c r="BA27" s="2562"/>
      <c r="BB27" s="2562"/>
      <c r="BC27" s="2562"/>
      <c r="BD27" s="2562"/>
      <c r="BE27" s="2562"/>
      <c r="BF27" s="2562"/>
      <c r="BG27" s="2562"/>
      <c r="BH27" s="2562"/>
      <c r="BI27" s="2562"/>
      <c r="BJ27" s="2562"/>
      <c r="BK27" s="2562"/>
      <c r="BL27" s="2562"/>
      <c r="BM27" s="2562"/>
      <c r="BN27" s="2562"/>
      <c r="BO27" s="2562"/>
      <c r="BP27" s="2562"/>
      <c r="BQ27" s="2562"/>
      <c r="BR27" s="2562"/>
      <c r="BS27" s="2562"/>
      <c r="BT27" s="2562"/>
      <c r="BU27" s="2562"/>
      <c r="BV27" s="2562"/>
      <c r="BW27" s="2562"/>
      <c r="BX27" s="2562"/>
      <c r="BY27" s="2562"/>
      <c r="BZ27" s="2562"/>
      <c r="CA27" s="2562"/>
      <c r="CB27" s="2562"/>
      <c r="CC27" s="2562"/>
      <c r="CD27" s="2562"/>
      <c r="CE27" s="2562"/>
      <c r="CF27" s="2562"/>
      <c r="CG27" s="2562"/>
      <c r="CH27" s="2562"/>
      <c r="CI27" s="2562"/>
      <c r="CJ27" s="2562"/>
      <c r="CK27" s="2562"/>
      <c r="CL27" s="2562"/>
      <c r="CM27" s="2562"/>
      <c r="CN27" s="2562"/>
      <c r="CO27" s="2562"/>
      <c r="CP27" s="2562"/>
      <c r="CQ27" s="2562"/>
      <c r="CR27" s="2562"/>
      <c r="CS27" s="2562"/>
      <c r="CT27" s="2562"/>
      <c r="CU27" s="2562"/>
      <c r="CV27" s="2562"/>
      <c r="CW27" s="2562"/>
      <c r="CX27" s="2562"/>
      <c r="CY27" s="2562"/>
      <c r="CZ27" s="2562"/>
      <c r="DA27" s="2562"/>
      <c r="DB27" s="2562"/>
      <c r="DC27" s="2562"/>
      <c r="DD27" s="2562"/>
      <c r="DE27" s="2562"/>
      <c r="DF27" s="2562"/>
      <c r="DG27" s="2562"/>
      <c r="DH27" s="2562"/>
      <c r="DI27" s="2562"/>
      <c r="DJ27" s="2562"/>
      <c r="DK27" s="2562"/>
      <c r="DL27" s="2562"/>
      <c r="DM27" s="2562"/>
      <c r="DN27" s="2562"/>
      <c r="DO27" s="2562"/>
      <c r="DP27" s="2562"/>
      <c r="DQ27" s="2562"/>
      <c r="DR27" s="2562"/>
      <c r="DS27" s="2562"/>
      <c r="DT27" s="2562"/>
      <c r="DU27" s="2562"/>
      <c r="DV27" s="2562"/>
      <c r="DW27" s="2562"/>
      <c r="DX27" s="2562"/>
      <c r="DY27" s="2562"/>
      <c r="DZ27" s="2562"/>
      <c r="EA27" s="2562"/>
      <c r="EB27" s="2562"/>
      <c r="EC27" s="2562"/>
      <c r="ED27" s="2562"/>
      <c r="EE27" s="2562"/>
      <c r="EF27" s="2562"/>
      <c r="EG27" s="2562"/>
      <c r="EH27" s="2562"/>
      <c r="EI27" s="2562"/>
      <c r="EJ27" s="2562"/>
      <c r="EK27" s="2562"/>
      <c r="EL27" s="2562"/>
      <c r="EM27" s="2562"/>
      <c r="EN27" s="2562"/>
      <c r="EO27" s="2562"/>
      <c r="EP27" s="2562"/>
      <c r="EQ27" s="2562"/>
      <c r="ER27" s="2562"/>
      <c r="ES27" s="2562"/>
      <c r="ET27" s="2562"/>
      <c r="EU27" s="2562"/>
      <c r="EV27" s="2562"/>
      <c r="EW27" s="2562"/>
      <c r="EX27" s="2562"/>
      <c r="EY27" s="2562"/>
      <c r="EZ27" s="2562"/>
      <c r="FA27" s="2562"/>
      <c r="FB27" s="2562"/>
      <c r="FC27" s="2562"/>
      <c r="FD27" s="2562"/>
      <c r="FE27" s="2562"/>
      <c r="FF27" s="2562"/>
      <c r="FG27" s="2562"/>
      <c r="FH27" s="2562"/>
      <c r="FI27" s="2562"/>
      <c r="FJ27" s="2562"/>
      <c r="FK27" s="2562"/>
      <c r="FL27" s="2562"/>
      <c r="FM27" s="2562"/>
      <c r="FN27" s="2562"/>
      <c r="FO27" s="2562"/>
      <c r="FP27" s="2562"/>
      <c r="FQ27" s="2562"/>
      <c r="FR27" s="2562"/>
      <c r="FS27" s="2562"/>
      <c r="FT27" s="2562"/>
      <c r="FU27" s="2562"/>
      <c r="FV27" s="2562"/>
      <c r="FW27" s="2562"/>
      <c r="FX27" s="2562"/>
      <c r="FY27" s="2562"/>
      <c r="FZ27" s="2562"/>
      <c r="GA27" s="2562"/>
      <c r="GB27" s="2562"/>
      <c r="GC27" s="2562"/>
      <c r="GD27" s="2562"/>
      <c r="GE27" s="2562"/>
      <c r="GF27" s="2562"/>
      <c r="GG27" s="2562"/>
      <c r="GH27" s="2562"/>
      <c r="GI27" s="2562"/>
      <c r="GJ27" s="2562"/>
      <c r="GK27" s="2562"/>
      <c r="GL27" s="2562"/>
      <c r="GM27" s="2562"/>
      <c r="GN27" s="2562"/>
      <c r="GO27" s="2562"/>
      <c r="GP27" s="2562"/>
      <c r="GQ27" s="2562"/>
      <c r="GR27" s="2562"/>
      <c r="GS27" s="2562"/>
      <c r="GT27" s="2562"/>
      <c r="GU27" s="2562"/>
      <c r="GV27" s="2562"/>
      <c r="GW27" s="2562"/>
      <c r="GX27" s="2562"/>
      <c r="GY27" s="2562"/>
      <c r="GZ27" s="2562"/>
      <c r="HA27" s="2562"/>
      <c r="HB27" s="2562"/>
      <c r="HC27" s="2562"/>
      <c r="HD27" s="2562"/>
      <c r="HE27" s="2562"/>
      <c r="HF27" s="2562"/>
      <c r="HG27" s="2562"/>
      <c r="HH27" s="2562"/>
      <c r="HI27" s="2562"/>
      <c r="HJ27" s="2562"/>
      <c r="HK27" s="2562"/>
      <c r="HL27" s="2562"/>
      <c r="HM27" s="2562"/>
      <c r="HN27" s="2562"/>
      <c r="HO27" s="2562"/>
      <c r="HP27" s="2562"/>
      <c r="HQ27" s="2562"/>
      <c r="HR27" s="2562"/>
      <c r="HS27" s="2562"/>
      <c r="HT27" s="2562"/>
      <c r="HU27" s="2562"/>
      <c r="HV27" s="2562"/>
      <c r="HW27" s="2562"/>
      <c r="HX27" s="2562"/>
      <c r="HY27" s="2562"/>
      <c r="HZ27" s="2562"/>
      <c r="IA27" s="2562"/>
      <c r="IB27" s="2562"/>
      <c r="IC27" s="2562"/>
    </row>
    <row r="28" spans="1:244" ht="14.25" hidden="1"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2563"/>
      <c r="AM28" s="2563"/>
      <c r="AN28" s="2563"/>
      <c r="AO28" s="2563"/>
      <c r="AP28" s="2563"/>
      <c r="AQ28" s="2563"/>
      <c r="AR28" s="2563"/>
      <c r="AS28" s="2563"/>
      <c r="AT28" s="2563"/>
      <c r="AU28" s="2563"/>
      <c r="AV28" s="2563"/>
      <c r="AW28" s="2563"/>
      <c r="AX28" s="2563"/>
      <c r="AY28" s="2563"/>
      <c r="AZ28" s="2563"/>
      <c r="BA28" s="2563"/>
      <c r="BB28" s="2563"/>
      <c r="BC28" s="2563"/>
      <c r="BD28" s="2563"/>
      <c r="BE28" s="2563"/>
      <c r="BF28" s="2563"/>
      <c r="BG28" s="2563"/>
      <c r="BH28" s="2563"/>
      <c r="BI28" s="2563"/>
      <c r="BJ28" s="2563"/>
      <c r="BK28" s="2563"/>
      <c r="BL28" s="2563"/>
      <c r="BM28" s="2563"/>
      <c r="BN28" s="2563"/>
      <c r="BO28" s="2563"/>
      <c r="BP28" s="2563"/>
      <c r="BQ28" s="2563"/>
      <c r="BR28" s="2563"/>
      <c r="BS28" s="2563"/>
      <c r="BT28" s="2563"/>
      <c r="BU28" s="2563"/>
      <c r="BV28" s="2563"/>
      <c r="BW28" s="2563"/>
      <c r="BX28" s="2563"/>
      <c r="BY28" s="2563"/>
      <c r="BZ28" s="2563"/>
      <c r="CA28" s="2563"/>
      <c r="CB28" s="2563"/>
      <c r="CC28" s="2563"/>
      <c r="CD28" s="2563"/>
      <c r="CE28" s="2563"/>
      <c r="CF28" s="2563"/>
      <c r="CG28" s="2563"/>
      <c r="CH28" s="2563"/>
      <c r="CI28" s="2563"/>
      <c r="CJ28" s="2563"/>
      <c r="CK28" s="2563"/>
      <c r="CL28" s="2563"/>
      <c r="CM28" s="2563"/>
      <c r="CN28" s="2563"/>
      <c r="CO28" s="2563"/>
      <c r="CP28" s="2563"/>
      <c r="CQ28" s="2563"/>
      <c r="CR28" s="2563"/>
      <c r="CS28" s="2563"/>
      <c r="CT28" s="2563"/>
      <c r="CU28" s="2563"/>
      <c r="CV28" s="2563"/>
      <c r="CW28" s="2563"/>
      <c r="CX28" s="2563"/>
      <c r="CY28" s="2563"/>
      <c r="CZ28" s="2563"/>
      <c r="DA28" s="2563"/>
      <c r="DB28" s="2563"/>
      <c r="DC28" s="2563"/>
      <c r="DD28" s="2563"/>
      <c r="DE28" s="2563"/>
      <c r="DF28" s="2563"/>
      <c r="DG28" s="2563"/>
      <c r="DH28" s="2563"/>
      <c r="DI28" s="2563"/>
      <c r="DJ28" s="2563"/>
      <c r="DK28" s="2563"/>
      <c r="DL28" s="2563"/>
      <c r="DM28" s="2563"/>
      <c r="DN28" s="2563"/>
      <c r="DO28" s="2563"/>
      <c r="DP28" s="2563"/>
      <c r="DQ28" s="2563"/>
      <c r="DR28" s="2563"/>
      <c r="DS28" s="2563"/>
      <c r="DT28" s="2563"/>
      <c r="DU28" s="2563"/>
      <c r="DV28" s="2563"/>
      <c r="DW28" s="2563"/>
      <c r="DX28" s="2563"/>
      <c r="DY28" s="2563"/>
      <c r="DZ28" s="2563"/>
      <c r="EA28" s="2563"/>
      <c r="EB28" s="2563"/>
      <c r="EC28" s="2563"/>
      <c r="ED28" s="2563"/>
      <c r="EE28" s="2563"/>
      <c r="EF28" s="2563"/>
      <c r="EG28" s="2563"/>
      <c r="EH28" s="2563"/>
      <c r="EI28" s="2563"/>
      <c r="EJ28" s="2563"/>
      <c r="EK28" s="2563"/>
      <c r="EL28" s="2563"/>
      <c r="EM28" s="2563"/>
      <c r="EN28" s="2563"/>
      <c r="EO28" s="2563"/>
      <c r="EP28" s="2563"/>
      <c r="EQ28" s="2563"/>
      <c r="ER28" s="2563"/>
      <c r="ES28" s="2563"/>
      <c r="ET28" s="2563"/>
      <c r="EU28" s="2563"/>
      <c r="EV28" s="2563"/>
      <c r="EW28" s="2563"/>
      <c r="EX28" s="2563"/>
      <c r="EY28" s="2563"/>
      <c r="EZ28" s="2563"/>
      <c r="FA28" s="2563"/>
      <c r="FB28" s="2563"/>
      <c r="FC28" s="2563"/>
      <c r="FD28" s="2563"/>
      <c r="FE28" s="2563"/>
      <c r="FF28" s="2563"/>
      <c r="FG28" s="2563"/>
      <c r="FH28" s="2563"/>
      <c r="FI28" s="2563"/>
      <c r="FJ28" s="2563"/>
      <c r="FK28" s="2563"/>
      <c r="FL28" s="2563"/>
      <c r="FM28" s="2563"/>
      <c r="FN28" s="2563"/>
      <c r="FO28" s="2563"/>
      <c r="FP28" s="2563"/>
      <c r="FQ28" s="2563"/>
      <c r="FR28" s="2563"/>
      <c r="FS28" s="2563"/>
      <c r="FT28" s="2563"/>
      <c r="FU28" s="2563"/>
      <c r="FV28" s="2563"/>
      <c r="FW28" s="2563"/>
      <c r="FX28" s="2563"/>
      <c r="FY28" s="2563"/>
      <c r="FZ28" s="2563"/>
      <c r="GA28" s="2563"/>
      <c r="GB28" s="2563"/>
      <c r="GC28" s="2563"/>
      <c r="GD28" s="2563"/>
      <c r="GE28" s="2563"/>
      <c r="GF28" s="2563"/>
      <c r="GG28" s="2563"/>
      <c r="GH28" s="2563"/>
      <c r="GI28" s="2563"/>
      <c r="GJ28" s="2563"/>
      <c r="GK28" s="2563"/>
      <c r="GL28" s="2563"/>
      <c r="GM28" s="2563"/>
      <c r="GN28" s="2563"/>
      <c r="GO28" s="2563"/>
      <c r="GP28" s="2563"/>
      <c r="GQ28" s="2563"/>
      <c r="GR28" s="2563"/>
      <c r="GS28" s="2563"/>
      <c r="GT28" s="2563"/>
      <c r="GU28" s="2563"/>
      <c r="GV28" s="2563"/>
      <c r="GW28" s="2563"/>
      <c r="GX28" s="2563"/>
      <c r="GY28" s="2563"/>
      <c r="GZ28" s="2563"/>
      <c r="HA28" s="2563"/>
      <c r="HB28" s="2563"/>
      <c r="HC28" s="2563"/>
      <c r="HD28" s="2563"/>
      <c r="HE28" s="2563"/>
      <c r="HF28" s="2563"/>
      <c r="HG28" s="2563"/>
      <c r="HH28" s="2563"/>
      <c r="HI28" s="2563"/>
      <c r="HJ28" s="2563"/>
      <c r="HK28" s="2563"/>
      <c r="HL28" s="2563"/>
      <c r="HM28" s="2563"/>
      <c r="HN28" s="2563"/>
      <c r="HO28" s="2563"/>
      <c r="HP28" s="2563"/>
      <c r="HQ28" s="2563"/>
      <c r="HR28" s="2563"/>
      <c r="HS28" s="2563"/>
      <c r="HT28" s="2563"/>
      <c r="HU28" s="2563"/>
      <c r="HV28" s="2563"/>
      <c r="HW28" s="2563"/>
      <c r="HX28" s="2563"/>
      <c r="HY28" s="2563"/>
      <c r="HZ28" s="2563"/>
      <c r="IA28" s="2563"/>
      <c r="IB28" s="2563"/>
      <c r="IC28" s="2563"/>
      <c r="ID28" s="435"/>
    </row>
    <row r="29" spans="1:244" s="2564" customFormat="1" ht="25.5" hidden="1" customHeight="1">
      <c r="A29" s="1284"/>
      <c r="B29" s="1284"/>
      <c r="C29" s="1284"/>
      <c r="D29" s="1284"/>
      <c r="E29" s="1284"/>
      <c r="F29" s="1284"/>
      <c r="G29" s="1284"/>
      <c r="H29" s="1284"/>
      <c r="I29" s="1284"/>
      <c r="J29" s="1284"/>
      <c r="K29" s="1284"/>
      <c r="L29" s="1285"/>
      <c r="M29" s="1284"/>
      <c r="N29" s="1284"/>
      <c r="O29" s="1284"/>
      <c r="S29" s="4066" t="s">
        <v>38</v>
      </c>
      <c r="T29" s="4066"/>
      <c r="U29" s="1288"/>
      <c r="V29" s="4067" t="str">
        <f>IF(TITLE_NAME_OR_PR_CHANGE="",IF(TITLE_NAME_OR_PR="","",TITLE_NAME_OR_PR),TITLE_NAME_OR_PR_CHANGE)</f>
        <v/>
      </c>
      <c r="W29" s="4067"/>
      <c r="X29" s="4067"/>
      <c r="Y29" s="4067"/>
      <c r="Z29" s="4067"/>
      <c r="AA29" s="4067"/>
      <c r="AB29" s="4067"/>
      <c r="AC29" s="253"/>
      <c r="AD29" s="4067" t="str">
        <f>IF(TITLE_NAME_OR_PR_CHANGE="",IF(TITLE_NAME_OR_PR="","",TITLE_NAME_OR_PR),TITLE_NAME_OR_PR_CHANGE)</f>
        <v/>
      </c>
      <c r="AE29" s="4067"/>
      <c r="AF29" s="4067"/>
      <c r="AG29" s="4067"/>
      <c r="AH29" s="4067"/>
      <c r="AI29" s="4067"/>
      <c r="AJ29" s="4067"/>
      <c r="AK29" s="253"/>
      <c r="AL29" s="4067" t="str">
        <f>IF(TITLE_NAME_OR_PR_CHANGE="",IF(TITLE_NAME_OR_PR="","",TITLE_NAME_OR_PR),TITLE_NAME_OR_PR_CHANGE)</f>
        <v/>
      </c>
      <c r="AM29" s="4067"/>
      <c r="AN29" s="4067"/>
      <c r="AO29" s="4067"/>
      <c r="AP29" s="4067"/>
      <c r="AQ29" s="4067"/>
      <c r="AR29" s="4067"/>
      <c r="AS29" s="1945"/>
      <c r="AT29" s="4067" t="str">
        <f>IF(TITLE_NAME_OR_PR_CHANGE="",IF(TITLE_NAME_OR_PR="","",TITLE_NAME_OR_PR),TITLE_NAME_OR_PR_CHANGE)</f>
        <v/>
      </c>
      <c r="AU29" s="4067"/>
      <c r="AV29" s="4067"/>
      <c r="AW29" s="4067"/>
      <c r="AX29" s="4067"/>
      <c r="AY29" s="4067"/>
      <c r="AZ29" s="4067"/>
      <c r="BA29" s="1945"/>
      <c r="BB29" s="4067" t="str">
        <f>IF(TITLE_NAME_OR_PR_CHANGE="",IF(TITLE_NAME_OR_PR="","",TITLE_NAME_OR_PR),TITLE_NAME_OR_PR_CHANGE)</f>
        <v/>
      </c>
      <c r="BC29" s="4067"/>
      <c r="BD29" s="4067"/>
      <c r="BE29" s="4067"/>
      <c r="BF29" s="4067"/>
      <c r="BG29" s="4067"/>
      <c r="BH29" s="4067"/>
      <c r="BI29" s="1945"/>
      <c r="BJ29" s="4067" t="str">
        <f>IF(TITLE_NAME_OR_PR_CHANGE="",IF(TITLE_NAME_OR_PR="","",TITLE_NAME_OR_PR),TITLE_NAME_OR_PR_CHANGE)</f>
        <v/>
      </c>
      <c r="BK29" s="4067"/>
      <c r="BL29" s="4067"/>
      <c r="BM29" s="4067"/>
      <c r="BN29" s="4067"/>
      <c r="BO29" s="4067"/>
      <c r="BP29" s="4067"/>
      <c r="BQ29" s="1945"/>
      <c r="BR29" s="4067" t="str">
        <f>IF(TITLE_NAME_OR_PR_CHANGE="",IF(TITLE_NAME_OR_PR="","",TITLE_NAME_OR_PR),TITLE_NAME_OR_PR_CHANGE)</f>
        <v/>
      </c>
      <c r="BS29" s="4067"/>
      <c r="BT29" s="4067"/>
      <c r="BU29" s="4067"/>
      <c r="BV29" s="4067"/>
      <c r="BW29" s="4067"/>
      <c r="BX29" s="4067"/>
      <c r="BY29" s="1945"/>
      <c r="BZ29" s="4067" t="str">
        <f>IF(TITLE_NAME_OR_PR_CHANGE="",IF(TITLE_NAME_OR_PR="","",TITLE_NAME_OR_PR),TITLE_NAME_OR_PR_CHANGE)</f>
        <v/>
      </c>
      <c r="CA29" s="4067"/>
      <c r="CB29" s="4067"/>
      <c r="CC29" s="4067"/>
      <c r="CD29" s="4067"/>
      <c r="CE29" s="4067"/>
      <c r="CF29" s="4067"/>
      <c r="CG29" s="1945"/>
      <c r="CH29" s="4067" t="str">
        <f>IF(TITLE_NAME_OR_PR_CHANGE="",IF(TITLE_NAME_OR_PR="","",TITLE_NAME_OR_PR),TITLE_NAME_OR_PR_CHANGE)</f>
        <v/>
      </c>
      <c r="CI29" s="4067"/>
      <c r="CJ29" s="4067"/>
      <c r="CK29" s="4067"/>
      <c r="CL29" s="4067"/>
      <c r="CM29" s="4067"/>
      <c r="CN29" s="4067"/>
      <c r="CO29" s="1945"/>
      <c r="CP29" s="4067" t="str">
        <f>IF(TITLE_NAME_OR_PR_CHANGE="",IF(TITLE_NAME_OR_PR="","",TITLE_NAME_OR_PR),TITLE_NAME_OR_PR_CHANGE)</f>
        <v/>
      </c>
      <c r="CQ29" s="4067"/>
      <c r="CR29" s="4067"/>
      <c r="CS29" s="4067"/>
      <c r="CT29" s="4067"/>
      <c r="CU29" s="4067"/>
      <c r="CV29" s="4067"/>
      <c r="CW29" s="1945"/>
      <c r="CX29" s="4067" t="str">
        <f>IF(TITLE_NAME_OR_PR_CHANGE="",IF(TITLE_NAME_OR_PR="","",TITLE_NAME_OR_PR),TITLE_NAME_OR_PR_CHANGE)</f>
        <v/>
      </c>
      <c r="CY29" s="4067"/>
      <c r="CZ29" s="4067"/>
      <c r="DA29" s="4067"/>
      <c r="DB29" s="4067"/>
      <c r="DC29" s="4067"/>
      <c r="DD29" s="4067"/>
      <c r="DE29" s="1945"/>
      <c r="DF29" s="4067" t="str">
        <f>IF(TITLE_NAME_OR_PR_CHANGE="",IF(TITLE_NAME_OR_PR="","",TITLE_NAME_OR_PR),TITLE_NAME_OR_PR_CHANGE)</f>
        <v/>
      </c>
      <c r="DG29" s="4067"/>
      <c r="DH29" s="4067"/>
      <c r="DI29" s="4067"/>
      <c r="DJ29" s="4067"/>
      <c r="DK29" s="4067"/>
      <c r="DL29" s="4067"/>
      <c r="DM29" s="1945"/>
      <c r="DN29" s="4067" t="str">
        <f>IF(TITLE_NAME_OR_PR_CHANGE="",IF(TITLE_NAME_OR_PR="","",TITLE_NAME_OR_PR),TITLE_NAME_OR_PR_CHANGE)</f>
        <v/>
      </c>
      <c r="DO29" s="4067"/>
      <c r="DP29" s="4067"/>
      <c r="DQ29" s="4067"/>
      <c r="DR29" s="4067"/>
      <c r="DS29" s="4067"/>
      <c r="DT29" s="4067"/>
      <c r="DU29" s="1945"/>
      <c r="DV29" s="4067" t="str">
        <f>IF(TITLE_NAME_OR_PR_CHANGE="",IF(TITLE_NAME_OR_PR="","",TITLE_NAME_OR_PR),TITLE_NAME_OR_PR_CHANGE)</f>
        <v/>
      </c>
      <c r="DW29" s="4067"/>
      <c r="DX29" s="4067"/>
      <c r="DY29" s="4067"/>
      <c r="DZ29" s="4067"/>
      <c r="EA29" s="4067"/>
      <c r="EB29" s="4067"/>
      <c r="EC29" s="1945"/>
      <c r="ED29" s="4067" t="str">
        <f>IF(TITLE_NAME_OR_PR_CHANGE="",IF(TITLE_NAME_OR_PR="","",TITLE_NAME_OR_PR),TITLE_NAME_OR_PR_CHANGE)</f>
        <v/>
      </c>
      <c r="EE29" s="4067"/>
      <c r="EF29" s="4067"/>
      <c r="EG29" s="4067"/>
      <c r="EH29" s="4067"/>
      <c r="EI29" s="4067"/>
      <c r="EJ29" s="4067"/>
      <c r="EK29" s="1945"/>
      <c r="EL29" s="4067" t="str">
        <f>IF(TITLE_NAME_OR_PR_CHANGE="",IF(TITLE_NAME_OR_PR="","",TITLE_NAME_OR_PR),TITLE_NAME_OR_PR_CHANGE)</f>
        <v/>
      </c>
      <c r="EM29" s="4067"/>
      <c r="EN29" s="4067"/>
      <c r="EO29" s="4067"/>
      <c r="EP29" s="4067"/>
      <c r="EQ29" s="4067"/>
      <c r="ER29" s="4067"/>
      <c r="ES29" s="1945"/>
      <c r="ET29" s="4067" t="str">
        <f>IF(TITLE_NAME_OR_PR_CHANGE="",IF(TITLE_NAME_OR_PR="","",TITLE_NAME_OR_PR),TITLE_NAME_OR_PR_CHANGE)</f>
        <v/>
      </c>
      <c r="EU29" s="4067"/>
      <c r="EV29" s="4067"/>
      <c r="EW29" s="4067"/>
      <c r="EX29" s="4067"/>
      <c r="EY29" s="4067"/>
      <c r="EZ29" s="4067"/>
      <c r="FA29" s="1945"/>
      <c r="FB29" s="4067" t="str">
        <f>IF(TITLE_NAME_OR_PR_CHANGE="",IF(TITLE_NAME_OR_PR="","",TITLE_NAME_OR_PR),TITLE_NAME_OR_PR_CHANGE)</f>
        <v/>
      </c>
      <c r="FC29" s="4067"/>
      <c r="FD29" s="4067"/>
      <c r="FE29" s="4067"/>
      <c r="FF29" s="4067"/>
      <c r="FG29" s="4067"/>
      <c r="FH29" s="4067"/>
      <c r="FI29" s="1945"/>
      <c r="FJ29" s="4067" t="str">
        <f>IF(TITLE_NAME_OR_PR_CHANGE="",IF(TITLE_NAME_OR_PR="","",TITLE_NAME_OR_PR),TITLE_NAME_OR_PR_CHANGE)</f>
        <v/>
      </c>
      <c r="FK29" s="4067"/>
      <c r="FL29" s="4067"/>
      <c r="FM29" s="4067"/>
      <c r="FN29" s="4067"/>
      <c r="FO29" s="4067"/>
      <c r="FP29" s="4067"/>
      <c r="FQ29" s="1945"/>
      <c r="FR29" s="4067" t="str">
        <f>IF(TITLE_NAME_OR_PR_CHANGE="",IF(TITLE_NAME_OR_PR="","",TITLE_NAME_OR_PR),TITLE_NAME_OR_PR_CHANGE)</f>
        <v/>
      </c>
      <c r="FS29" s="4067"/>
      <c r="FT29" s="4067"/>
      <c r="FU29" s="4067"/>
      <c r="FV29" s="4067"/>
      <c r="FW29" s="4067"/>
      <c r="FX29" s="4067"/>
      <c r="FY29" s="1945"/>
      <c r="FZ29" s="4067" t="str">
        <f>IF(TITLE_NAME_OR_PR_CHANGE="",IF(TITLE_NAME_OR_PR="","",TITLE_NAME_OR_PR),TITLE_NAME_OR_PR_CHANGE)</f>
        <v/>
      </c>
      <c r="GA29" s="4067"/>
      <c r="GB29" s="4067"/>
      <c r="GC29" s="4067"/>
      <c r="GD29" s="4067"/>
      <c r="GE29" s="4067"/>
      <c r="GF29" s="4067"/>
      <c r="GG29" s="1945"/>
      <c r="GH29" s="4067" t="str">
        <f>IF(TITLE_NAME_OR_PR_CHANGE="",IF(TITLE_NAME_OR_PR="","",TITLE_NAME_OR_PR),TITLE_NAME_OR_PR_CHANGE)</f>
        <v/>
      </c>
      <c r="GI29" s="4067"/>
      <c r="GJ29" s="4067"/>
      <c r="GK29" s="4067"/>
      <c r="GL29" s="4067"/>
      <c r="GM29" s="4067"/>
      <c r="GN29" s="4067"/>
      <c r="GO29" s="1945"/>
      <c r="GP29" s="4067" t="str">
        <f>IF(TITLE_NAME_OR_PR_CHANGE="",IF(TITLE_NAME_OR_PR="","",TITLE_NAME_OR_PR),TITLE_NAME_OR_PR_CHANGE)</f>
        <v/>
      </c>
      <c r="GQ29" s="4067"/>
      <c r="GR29" s="4067"/>
      <c r="GS29" s="4067"/>
      <c r="GT29" s="4067"/>
      <c r="GU29" s="4067"/>
      <c r="GV29" s="4067"/>
      <c r="GW29" s="1945"/>
      <c r="GX29" s="4067" t="str">
        <f>IF(TITLE_NAME_OR_PR_CHANGE="",IF(TITLE_NAME_OR_PR="","",TITLE_NAME_OR_PR),TITLE_NAME_OR_PR_CHANGE)</f>
        <v/>
      </c>
      <c r="GY29" s="4067"/>
      <c r="GZ29" s="4067"/>
      <c r="HA29" s="4067"/>
      <c r="HB29" s="4067"/>
      <c r="HC29" s="4067"/>
      <c r="HD29" s="4067"/>
      <c r="HE29" s="1945"/>
      <c r="HF29" s="4067" t="str">
        <f>IF(TITLE_NAME_OR_PR_CHANGE="",IF(TITLE_NAME_OR_PR="","",TITLE_NAME_OR_PR),TITLE_NAME_OR_PR_CHANGE)</f>
        <v/>
      </c>
      <c r="HG29" s="4067"/>
      <c r="HH29" s="4067"/>
      <c r="HI29" s="4067"/>
      <c r="HJ29" s="4067"/>
      <c r="HK29" s="4067"/>
      <c r="HL29" s="4067"/>
      <c r="HM29" s="1945"/>
      <c r="HN29" s="4067" t="str">
        <f>IF(TITLE_NAME_OR_PR_CHANGE="",IF(TITLE_NAME_OR_PR="","",TITLE_NAME_OR_PR),TITLE_NAME_OR_PR_CHANGE)</f>
        <v/>
      </c>
      <c r="HO29" s="4067"/>
      <c r="HP29" s="4067"/>
      <c r="HQ29" s="4067"/>
      <c r="HR29" s="4067"/>
      <c r="HS29" s="4067"/>
      <c r="HT29" s="4067"/>
      <c r="HU29" s="1945"/>
      <c r="HV29" s="4067" t="str">
        <f>IF(TITLE_NAME_OR_PR_CHANGE="",IF(TITLE_NAME_OR_PR="","",TITLE_NAME_OR_PR),TITLE_NAME_OR_PR_CHANGE)</f>
        <v/>
      </c>
      <c r="HW29" s="4067"/>
      <c r="HX29" s="4067"/>
      <c r="HY29" s="4067"/>
      <c r="HZ29" s="4067"/>
      <c r="IA29" s="4067"/>
      <c r="IB29" s="4067"/>
      <c r="IC29" s="1945"/>
      <c r="ID29" s="253"/>
      <c r="IE29" s="200"/>
      <c r="IF29" s="296"/>
      <c r="IG29" s="296"/>
      <c r="IH29" s="296"/>
      <c r="II29" s="296"/>
      <c r="IJ29" s="296"/>
    </row>
    <row r="30" spans="1:244" s="2564" customFormat="1" ht="18.75" hidden="1" customHeight="1">
      <c r="A30" s="1284"/>
      <c r="B30" s="1284"/>
      <c r="C30" s="1284"/>
      <c r="D30" s="1284"/>
      <c r="E30" s="1284"/>
      <c r="F30" s="1284"/>
      <c r="G30" s="1284"/>
      <c r="H30" s="1284"/>
      <c r="I30" s="1284"/>
      <c r="J30" s="1284"/>
      <c r="K30" s="1284"/>
      <c r="L30" s="1285"/>
      <c r="M30" s="1284"/>
      <c r="N30" s="1284"/>
      <c r="O30" s="1284"/>
      <c r="S30" s="4066" t="s">
        <v>412</v>
      </c>
      <c r="T30" s="4066"/>
      <c r="U30" s="1288"/>
      <c r="V30" s="4076">
        <f>IF(TITLE_DATE_PR_CHANGE="",IF(TITLE_DATE_PR="","",TITLE_DATE_PR),TITLE_DATE_PR_CHANGE)</f>
        <v>45289.465104166666</v>
      </c>
      <c r="W30" s="4076"/>
      <c r="X30" s="4076"/>
      <c r="Y30" s="4076"/>
      <c r="Z30" s="4076"/>
      <c r="AA30" s="4076"/>
      <c r="AB30" s="4076"/>
      <c r="AC30" s="253"/>
      <c r="AD30" s="4076">
        <f>IF(TITLE_DATE_PR_CHANGE="",IF(TITLE_DATE_PR="","",TITLE_DATE_PR),TITLE_DATE_PR_CHANGE)</f>
        <v>45289.465104166666</v>
      </c>
      <c r="AE30" s="4076"/>
      <c r="AF30" s="4076"/>
      <c r="AG30" s="4076"/>
      <c r="AH30" s="4076"/>
      <c r="AI30" s="4076"/>
      <c r="AJ30" s="4076"/>
      <c r="AK30" s="253"/>
      <c r="AL30" s="4076">
        <f>IF(TITLE_DATE_PR_CHANGE="",IF(TITLE_DATE_PR="","",TITLE_DATE_PR),TITLE_DATE_PR_CHANGE)</f>
        <v>45289.465104166666</v>
      </c>
      <c r="AM30" s="4076"/>
      <c r="AN30" s="4076"/>
      <c r="AO30" s="4076"/>
      <c r="AP30" s="4076"/>
      <c r="AQ30" s="4076"/>
      <c r="AR30" s="4076"/>
      <c r="AS30" s="1945"/>
      <c r="AT30" s="4076">
        <f>IF(TITLE_DATE_PR_CHANGE="",IF(TITLE_DATE_PR="","",TITLE_DATE_PR),TITLE_DATE_PR_CHANGE)</f>
        <v>45289.465104166666</v>
      </c>
      <c r="AU30" s="4076"/>
      <c r="AV30" s="4076"/>
      <c r="AW30" s="4076"/>
      <c r="AX30" s="4076"/>
      <c r="AY30" s="4076"/>
      <c r="AZ30" s="4076"/>
      <c r="BA30" s="1945"/>
      <c r="BB30" s="4076">
        <f>IF(TITLE_DATE_PR_CHANGE="",IF(TITLE_DATE_PR="","",TITLE_DATE_PR),TITLE_DATE_PR_CHANGE)</f>
        <v>45289.465104166666</v>
      </c>
      <c r="BC30" s="4076"/>
      <c r="BD30" s="4076"/>
      <c r="BE30" s="4076"/>
      <c r="BF30" s="4076"/>
      <c r="BG30" s="4076"/>
      <c r="BH30" s="4076"/>
      <c r="BI30" s="1945"/>
      <c r="BJ30" s="4076">
        <f>IF(TITLE_DATE_PR_CHANGE="",IF(TITLE_DATE_PR="","",TITLE_DATE_PR),TITLE_DATE_PR_CHANGE)</f>
        <v>45289.465104166666</v>
      </c>
      <c r="BK30" s="4076"/>
      <c r="BL30" s="4076"/>
      <c r="BM30" s="4076"/>
      <c r="BN30" s="4076"/>
      <c r="BO30" s="4076"/>
      <c r="BP30" s="4076"/>
      <c r="BQ30" s="1945"/>
      <c r="BR30" s="4076">
        <f>IF(TITLE_DATE_PR_CHANGE="",IF(TITLE_DATE_PR="","",TITLE_DATE_PR),TITLE_DATE_PR_CHANGE)</f>
        <v>45289.465104166666</v>
      </c>
      <c r="BS30" s="4076"/>
      <c r="BT30" s="4076"/>
      <c r="BU30" s="4076"/>
      <c r="BV30" s="4076"/>
      <c r="BW30" s="4076"/>
      <c r="BX30" s="4076"/>
      <c r="BY30" s="1945"/>
      <c r="BZ30" s="4076">
        <f>IF(TITLE_DATE_PR_CHANGE="",IF(TITLE_DATE_PR="","",TITLE_DATE_PR),TITLE_DATE_PR_CHANGE)</f>
        <v>45289.465104166666</v>
      </c>
      <c r="CA30" s="4076"/>
      <c r="CB30" s="4076"/>
      <c r="CC30" s="4076"/>
      <c r="CD30" s="4076"/>
      <c r="CE30" s="4076"/>
      <c r="CF30" s="4076"/>
      <c r="CG30" s="1945"/>
      <c r="CH30" s="4076">
        <f>IF(TITLE_DATE_PR_CHANGE="",IF(TITLE_DATE_PR="","",TITLE_DATE_PR),TITLE_DATE_PR_CHANGE)</f>
        <v>45289.465104166666</v>
      </c>
      <c r="CI30" s="4076"/>
      <c r="CJ30" s="4076"/>
      <c r="CK30" s="4076"/>
      <c r="CL30" s="4076"/>
      <c r="CM30" s="4076"/>
      <c r="CN30" s="4076"/>
      <c r="CO30" s="1945"/>
      <c r="CP30" s="4076">
        <f>IF(TITLE_DATE_PR_CHANGE="",IF(TITLE_DATE_PR="","",TITLE_DATE_PR),TITLE_DATE_PR_CHANGE)</f>
        <v>45289.465104166666</v>
      </c>
      <c r="CQ30" s="4076"/>
      <c r="CR30" s="4076"/>
      <c r="CS30" s="4076"/>
      <c r="CT30" s="4076"/>
      <c r="CU30" s="4076"/>
      <c r="CV30" s="4076"/>
      <c r="CW30" s="1945"/>
      <c r="CX30" s="4076">
        <f>IF(TITLE_DATE_PR_CHANGE="",IF(TITLE_DATE_PR="","",TITLE_DATE_PR),TITLE_DATE_PR_CHANGE)</f>
        <v>45289.465104166666</v>
      </c>
      <c r="CY30" s="4076"/>
      <c r="CZ30" s="4076"/>
      <c r="DA30" s="4076"/>
      <c r="DB30" s="4076"/>
      <c r="DC30" s="4076"/>
      <c r="DD30" s="4076"/>
      <c r="DE30" s="1945"/>
      <c r="DF30" s="4076">
        <f>IF(TITLE_DATE_PR_CHANGE="",IF(TITLE_DATE_PR="","",TITLE_DATE_PR),TITLE_DATE_PR_CHANGE)</f>
        <v>45289.465104166666</v>
      </c>
      <c r="DG30" s="4076"/>
      <c r="DH30" s="4076"/>
      <c r="DI30" s="4076"/>
      <c r="DJ30" s="4076"/>
      <c r="DK30" s="4076"/>
      <c r="DL30" s="4076"/>
      <c r="DM30" s="1945"/>
      <c r="DN30" s="4076">
        <f>IF(TITLE_DATE_PR_CHANGE="",IF(TITLE_DATE_PR="","",TITLE_DATE_PR),TITLE_DATE_PR_CHANGE)</f>
        <v>45289.465104166666</v>
      </c>
      <c r="DO30" s="4076"/>
      <c r="DP30" s="4076"/>
      <c r="DQ30" s="4076"/>
      <c r="DR30" s="4076"/>
      <c r="DS30" s="4076"/>
      <c r="DT30" s="4076"/>
      <c r="DU30" s="1945"/>
      <c r="DV30" s="4076">
        <f>IF(TITLE_DATE_PR_CHANGE="",IF(TITLE_DATE_PR="","",TITLE_DATE_PR),TITLE_DATE_PR_CHANGE)</f>
        <v>45289.465104166666</v>
      </c>
      <c r="DW30" s="4076"/>
      <c r="DX30" s="4076"/>
      <c r="DY30" s="4076"/>
      <c r="DZ30" s="4076"/>
      <c r="EA30" s="4076"/>
      <c r="EB30" s="4076"/>
      <c r="EC30" s="1945"/>
      <c r="ED30" s="4076">
        <f>IF(TITLE_DATE_PR_CHANGE="",IF(TITLE_DATE_PR="","",TITLE_DATE_PR),TITLE_DATE_PR_CHANGE)</f>
        <v>45289.465104166666</v>
      </c>
      <c r="EE30" s="4076"/>
      <c r="EF30" s="4076"/>
      <c r="EG30" s="4076"/>
      <c r="EH30" s="4076"/>
      <c r="EI30" s="4076"/>
      <c r="EJ30" s="4076"/>
      <c r="EK30" s="1945"/>
      <c r="EL30" s="4076">
        <f>IF(TITLE_DATE_PR_CHANGE="",IF(TITLE_DATE_PR="","",TITLE_DATE_PR),TITLE_DATE_PR_CHANGE)</f>
        <v>45289.465104166666</v>
      </c>
      <c r="EM30" s="4076"/>
      <c r="EN30" s="4076"/>
      <c r="EO30" s="4076"/>
      <c r="EP30" s="4076"/>
      <c r="EQ30" s="4076"/>
      <c r="ER30" s="4076"/>
      <c r="ES30" s="1945"/>
      <c r="ET30" s="4076">
        <f>IF(TITLE_DATE_PR_CHANGE="",IF(TITLE_DATE_PR="","",TITLE_DATE_PR),TITLE_DATE_PR_CHANGE)</f>
        <v>45289.465104166666</v>
      </c>
      <c r="EU30" s="4076"/>
      <c r="EV30" s="4076"/>
      <c r="EW30" s="4076"/>
      <c r="EX30" s="4076"/>
      <c r="EY30" s="4076"/>
      <c r="EZ30" s="4076"/>
      <c r="FA30" s="1945"/>
      <c r="FB30" s="4076">
        <f>IF(TITLE_DATE_PR_CHANGE="",IF(TITLE_DATE_PR="","",TITLE_DATE_PR),TITLE_DATE_PR_CHANGE)</f>
        <v>45289.465104166666</v>
      </c>
      <c r="FC30" s="4076"/>
      <c r="FD30" s="4076"/>
      <c r="FE30" s="4076"/>
      <c r="FF30" s="4076"/>
      <c r="FG30" s="4076"/>
      <c r="FH30" s="4076"/>
      <c r="FI30" s="1945"/>
      <c r="FJ30" s="4076">
        <f>IF(TITLE_DATE_PR_CHANGE="",IF(TITLE_DATE_PR="","",TITLE_DATE_PR),TITLE_DATE_PR_CHANGE)</f>
        <v>45289.465104166666</v>
      </c>
      <c r="FK30" s="4076"/>
      <c r="FL30" s="4076"/>
      <c r="FM30" s="4076"/>
      <c r="FN30" s="4076"/>
      <c r="FO30" s="4076"/>
      <c r="FP30" s="4076"/>
      <c r="FQ30" s="1945"/>
      <c r="FR30" s="4076">
        <f>IF(TITLE_DATE_PR_CHANGE="",IF(TITLE_DATE_PR="","",TITLE_DATE_PR),TITLE_DATE_PR_CHANGE)</f>
        <v>45289.465104166666</v>
      </c>
      <c r="FS30" s="4076"/>
      <c r="FT30" s="4076"/>
      <c r="FU30" s="4076"/>
      <c r="FV30" s="4076"/>
      <c r="FW30" s="4076"/>
      <c r="FX30" s="4076"/>
      <c r="FY30" s="1945"/>
      <c r="FZ30" s="4076">
        <f>IF(TITLE_DATE_PR_CHANGE="",IF(TITLE_DATE_PR="","",TITLE_DATE_PR),TITLE_DATE_PR_CHANGE)</f>
        <v>45289.465104166666</v>
      </c>
      <c r="GA30" s="4076"/>
      <c r="GB30" s="4076"/>
      <c r="GC30" s="4076"/>
      <c r="GD30" s="4076"/>
      <c r="GE30" s="4076"/>
      <c r="GF30" s="4076"/>
      <c r="GG30" s="1945"/>
      <c r="GH30" s="4076">
        <f>IF(TITLE_DATE_PR_CHANGE="",IF(TITLE_DATE_PR="","",TITLE_DATE_PR),TITLE_DATE_PR_CHANGE)</f>
        <v>45289.465104166666</v>
      </c>
      <c r="GI30" s="4076"/>
      <c r="GJ30" s="4076"/>
      <c r="GK30" s="4076"/>
      <c r="GL30" s="4076"/>
      <c r="GM30" s="4076"/>
      <c r="GN30" s="4076"/>
      <c r="GO30" s="1945"/>
      <c r="GP30" s="4076">
        <f>IF(TITLE_DATE_PR_CHANGE="",IF(TITLE_DATE_PR="","",TITLE_DATE_PR),TITLE_DATE_PR_CHANGE)</f>
        <v>45289.465104166666</v>
      </c>
      <c r="GQ30" s="4076"/>
      <c r="GR30" s="4076"/>
      <c r="GS30" s="4076"/>
      <c r="GT30" s="4076"/>
      <c r="GU30" s="4076"/>
      <c r="GV30" s="4076"/>
      <c r="GW30" s="1945"/>
      <c r="GX30" s="4076">
        <f>IF(TITLE_DATE_PR_CHANGE="",IF(TITLE_DATE_PR="","",TITLE_DATE_PR),TITLE_DATE_PR_CHANGE)</f>
        <v>45289.465104166666</v>
      </c>
      <c r="GY30" s="4076"/>
      <c r="GZ30" s="4076"/>
      <c r="HA30" s="4076"/>
      <c r="HB30" s="4076"/>
      <c r="HC30" s="4076"/>
      <c r="HD30" s="4076"/>
      <c r="HE30" s="1945"/>
      <c r="HF30" s="4076">
        <f>IF(TITLE_DATE_PR_CHANGE="",IF(TITLE_DATE_PR="","",TITLE_DATE_PR),TITLE_DATE_PR_CHANGE)</f>
        <v>45289.465104166666</v>
      </c>
      <c r="HG30" s="4076"/>
      <c r="HH30" s="4076"/>
      <c r="HI30" s="4076"/>
      <c r="HJ30" s="4076"/>
      <c r="HK30" s="4076"/>
      <c r="HL30" s="4076"/>
      <c r="HM30" s="1945"/>
      <c r="HN30" s="4076">
        <f>IF(TITLE_DATE_PR_CHANGE="",IF(TITLE_DATE_PR="","",TITLE_DATE_PR),TITLE_DATE_PR_CHANGE)</f>
        <v>45289.465104166666</v>
      </c>
      <c r="HO30" s="4076"/>
      <c r="HP30" s="4076"/>
      <c r="HQ30" s="4076"/>
      <c r="HR30" s="4076"/>
      <c r="HS30" s="4076"/>
      <c r="HT30" s="4076"/>
      <c r="HU30" s="1945"/>
      <c r="HV30" s="4076">
        <f>IF(TITLE_DATE_PR_CHANGE="",IF(TITLE_DATE_PR="","",TITLE_DATE_PR),TITLE_DATE_PR_CHANGE)</f>
        <v>45289.465104166666</v>
      </c>
      <c r="HW30" s="4076"/>
      <c r="HX30" s="4076"/>
      <c r="HY30" s="4076"/>
      <c r="HZ30" s="4076"/>
      <c r="IA30" s="4076"/>
      <c r="IB30" s="4076"/>
      <c r="IC30" s="1945"/>
      <c r="ID30" s="253"/>
      <c r="IE30" s="200"/>
      <c r="IF30" s="296"/>
      <c r="IG30" s="296"/>
      <c r="IH30" s="296"/>
      <c r="II30" s="296"/>
      <c r="IJ30" s="296"/>
    </row>
    <row r="31" spans="1:244" s="2564" customFormat="1" ht="18.75" hidden="1" customHeight="1">
      <c r="A31" s="1284"/>
      <c r="B31" s="1284"/>
      <c r="C31" s="1284"/>
      <c r="D31" s="1284"/>
      <c r="E31" s="1284"/>
      <c r="F31" s="1284"/>
      <c r="G31" s="1284"/>
      <c r="H31" s="1284"/>
      <c r="I31" s="1284"/>
      <c r="J31" s="1284"/>
      <c r="K31" s="1284"/>
      <c r="L31" s="1285"/>
      <c r="M31" s="1284"/>
      <c r="N31" s="1284"/>
      <c r="O31" s="1284"/>
      <c r="S31" s="4066" t="s">
        <v>413</v>
      </c>
      <c r="T31" s="4066"/>
      <c r="U31" s="1288"/>
      <c r="V31" s="4067" t="str">
        <f>IF(TITLE_NUMBER_PR_CHANGE="",IF(TITLE_NUMBER_PR="","",TITLE_NUMBER_PR),TITLE_NUMBER_PR_CHANGE)</f>
        <v>761-1/201-1</v>
      </c>
      <c r="W31" s="4067"/>
      <c r="X31" s="4067"/>
      <c r="Y31" s="4067"/>
      <c r="Z31" s="4067"/>
      <c r="AA31" s="4067"/>
      <c r="AB31" s="4067"/>
      <c r="AC31" s="253"/>
      <c r="AD31" s="4067" t="str">
        <f>IF(TITLE_NUMBER_PR_CHANGE="",IF(TITLE_NUMBER_PR="","",TITLE_NUMBER_PR),TITLE_NUMBER_PR_CHANGE)</f>
        <v>761-1/201-1</v>
      </c>
      <c r="AE31" s="4067"/>
      <c r="AF31" s="4067"/>
      <c r="AG31" s="4067"/>
      <c r="AH31" s="4067"/>
      <c r="AI31" s="4067"/>
      <c r="AJ31" s="4067"/>
      <c r="AK31" s="253"/>
      <c r="AL31" s="4067" t="str">
        <f>IF(TITLE_NUMBER_PR_CHANGE="",IF(TITLE_NUMBER_PR="","",TITLE_NUMBER_PR),TITLE_NUMBER_PR_CHANGE)</f>
        <v>761-1/201-1</v>
      </c>
      <c r="AM31" s="4067"/>
      <c r="AN31" s="4067"/>
      <c r="AO31" s="4067"/>
      <c r="AP31" s="4067"/>
      <c r="AQ31" s="4067"/>
      <c r="AR31" s="4067"/>
      <c r="AS31" s="1945"/>
      <c r="AT31" s="4067" t="str">
        <f>IF(TITLE_NUMBER_PR_CHANGE="",IF(TITLE_NUMBER_PR="","",TITLE_NUMBER_PR),TITLE_NUMBER_PR_CHANGE)</f>
        <v>761-1/201-1</v>
      </c>
      <c r="AU31" s="4067"/>
      <c r="AV31" s="4067"/>
      <c r="AW31" s="4067"/>
      <c r="AX31" s="4067"/>
      <c r="AY31" s="4067"/>
      <c r="AZ31" s="4067"/>
      <c r="BA31" s="1945"/>
      <c r="BB31" s="4067" t="str">
        <f>IF(TITLE_NUMBER_PR_CHANGE="",IF(TITLE_NUMBER_PR="","",TITLE_NUMBER_PR),TITLE_NUMBER_PR_CHANGE)</f>
        <v>761-1/201-1</v>
      </c>
      <c r="BC31" s="4067"/>
      <c r="BD31" s="4067"/>
      <c r="BE31" s="4067"/>
      <c r="BF31" s="4067"/>
      <c r="BG31" s="4067"/>
      <c r="BH31" s="4067"/>
      <c r="BI31" s="1945"/>
      <c r="BJ31" s="4067" t="str">
        <f>IF(TITLE_NUMBER_PR_CHANGE="",IF(TITLE_NUMBER_PR="","",TITLE_NUMBER_PR),TITLE_NUMBER_PR_CHANGE)</f>
        <v>761-1/201-1</v>
      </c>
      <c r="BK31" s="4067"/>
      <c r="BL31" s="4067"/>
      <c r="BM31" s="4067"/>
      <c r="BN31" s="4067"/>
      <c r="BO31" s="4067"/>
      <c r="BP31" s="4067"/>
      <c r="BQ31" s="1945"/>
      <c r="BR31" s="4067" t="str">
        <f>IF(TITLE_NUMBER_PR_CHANGE="",IF(TITLE_NUMBER_PR="","",TITLE_NUMBER_PR),TITLE_NUMBER_PR_CHANGE)</f>
        <v>761-1/201-1</v>
      </c>
      <c r="BS31" s="4067"/>
      <c r="BT31" s="4067"/>
      <c r="BU31" s="4067"/>
      <c r="BV31" s="4067"/>
      <c r="BW31" s="4067"/>
      <c r="BX31" s="4067"/>
      <c r="BY31" s="1945"/>
      <c r="BZ31" s="4067" t="str">
        <f>IF(TITLE_NUMBER_PR_CHANGE="",IF(TITLE_NUMBER_PR="","",TITLE_NUMBER_PR),TITLE_NUMBER_PR_CHANGE)</f>
        <v>761-1/201-1</v>
      </c>
      <c r="CA31" s="4067"/>
      <c r="CB31" s="4067"/>
      <c r="CC31" s="4067"/>
      <c r="CD31" s="4067"/>
      <c r="CE31" s="4067"/>
      <c r="CF31" s="4067"/>
      <c r="CG31" s="1945"/>
      <c r="CH31" s="4067" t="str">
        <f>IF(TITLE_NUMBER_PR_CHANGE="",IF(TITLE_NUMBER_PR="","",TITLE_NUMBER_PR),TITLE_NUMBER_PR_CHANGE)</f>
        <v>761-1/201-1</v>
      </c>
      <c r="CI31" s="4067"/>
      <c r="CJ31" s="4067"/>
      <c r="CK31" s="4067"/>
      <c r="CL31" s="4067"/>
      <c r="CM31" s="4067"/>
      <c r="CN31" s="4067"/>
      <c r="CO31" s="1945"/>
      <c r="CP31" s="4067" t="str">
        <f>IF(TITLE_NUMBER_PR_CHANGE="",IF(TITLE_NUMBER_PR="","",TITLE_NUMBER_PR),TITLE_NUMBER_PR_CHANGE)</f>
        <v>761-1/201-1</v>
      </c>
      <c r="CQ31" s="4067"/>
      <c r="CR31" s="4067"/>
      <c r="CS31" s="4067"/>
      <c r="CT31" s="4067"/>
      <c r="CU31" s="4067"/>
      <c r="CV31" s="4067"/>
      <c r="CW31" s="1945"/>
      <c r="CX31" s="4067" t="str">
        <f>IF(TITLE_NUMBER_PR_CHANGE="",IF(TITLE_NUMBER_PR="","",TITLE_NUMBER_PR),TITLE_NUMBER_PR_CHANGE)</f>
        <v>761-1/201-1</v>
      </c>
      <c r="CY31" s="4067"/>
      <c r="CZ31" s="4067"/>
      <c r="DA31" s="4067"/>
      <c r="DB31" s="4067"/>
      <c r="DC31" s="4067"/>
      <c r="DD31" s="4067"/>
      <c r="DE31" s="1945"/>
      <c r="DF31" s="4067" t="str">
        <f>IF(TITLE_NUMBER_PR_CHANGE="",IF(TITLE_NUMBER_PR="","",TITLE_NUMBER_PR),TITLE_NUMBER_PR_CHANGE)</f>
        <v>761-1/201-1</v>
      </c>
      <c r="DG31" s="4067"/>
      <c r="DH31" s="4067"/>
      <c r="DI31" s="4067"/>
      <c r="DJ31" s="4067"/>
      <c r="DK31" s="4067"/>
      <c r="DL31" s="4067"/>
      <c r="DM31" s="1945"/>
      <c r="DN31" s="4067" t="str">
        <f>IF(TITLE_NUMBER_PR_CHANGE="",IF(TITLE_NUMBER_PR="","",TITLE_NUMBER_PR),TITLE_NUMBER_PR_CHANGE)</f>
        <v>761-1/201-1</v>
      </c>
      <c r="DO31" s="4067"/>
      <c r="DP31" s="4067"/>
      <c r="DQ31" s="4067"/>
      <c r="DR31" s="4067"/>
      <c r="DS31" s="4067"/>
      <c r="DT31" s="4067"/>
      <c r="DU31" s="1945"/>
      <c r="DV31" s="4067" t="str">
        <f>IF(TITLE_NUMBER_PR_CHANGE="",IF(TITLE_NUMBER_PR="","",TITLE_NUMBER_PR),TITLE_NUMBER_PR_CHANGE)</f>
        <v>761-1/201-1</v>
      </c>
      <c r="DW31" s="4067"/>
      <c r="DX31" s="4067"/>
      <c r="DY31" s="4067"/>
      <c r="DZ31" s="4067"/>
      <c r="EA31" s="4067"/>
      <c r="EB31" s="4067"/>
      <c r="EC31" s="1945"/>
      <c r="ED31" s="4067" t="str">
        <f>IF(TITLE_NUMBER_PR_CHANGE="",IF(TITLE_NUMBER_PR="","",TITLE_NUMBER_PR),TITLE_NUMBER_PR_CHANGE)</f>
        <v>761-1/201-1</v>
      </c>
      <c r="EE31" s="4067"/>
      <c r="EF31" s="4067"/>
      <c r="EG31" s="4067"/>
      <c r="EH31" s="4067"/>
      <c r="EI31" s="4067"/>
      <c r="EJ31" s="4067"/>
      <c r="EK31" s="1945"/>
      <c r="EL31" s="4067" t="str">
        <f>IF(TITLE_NUMBER_PR_CHANGE="",IF(TITLE_NUMBER_PR="","",TITLE_NUMBER_PR),TITLE_NUMBER_PR_CHANGE)</f>
        <v>761-1/201-1</v>
      </c>
      <c r="EM31" s="4067"/>
      <c r="EN31" s="4067"/>
      <c r="EO31" s="4067"/>
      <c r="EP31" s="4067"/>
      <c r="EQ31" s="4067"/>
      <c r="ER31" s="4067"/>
      <c r="ES31" s="1945"/>
      <c r="ET31" s="4067" t="str">
        <f>IF(TITLE_NUMBER_PR_CHANGE="",IF(TITLE_NUMBER_PR="","",TITLE_NUMBER_PR),TITLE_NUMBER_PR_CHANGE)</f>
        <v>761-1/201-1</v>
      </c>
      <c r="EU31" s="4067"/>
      <c r="EV31" s="4067"/>
      <c r="EW31" s="4067"/>
      <c r="EX31" s="4067"/>
      <c r="EY31" s="4067"/>
      <c r="EZ31" s="4067"/>
      <c r="FA31" s="1945"/>
      <c r="FB31" s="4067" t="str">
        <f>IF(TITLE_NUMBER_PR_CHANGE="",IF(TITLE_NUMBER_PR="","",TITLE_NUMBER_PR),TITLE_NUMBER_PR_CHANGE)</f>
        <v>761-1/201-1</v>
      </c>
      <c r="FC31" s="4067"/>
      <c r="FD31" s="4067"/>
      <c r="FE31" s="4067"/>
      <c r="FF31" s="4067"/>
      <c r="FG31" s="4067"/>
      <c r="FH31" s="4067"/>
      <c r="FI31" s="1945"/>
      <c r="FJ31" s="4067" t="str">
        <f>IF(TITLE_NUMBER_PR_CHANGE="",IF(TITLE_NUMBER_PR="","",TITLE_NUMBER_PR),TITLE_NUMBER_PR_CHANGE)</f>
        <v>761-1/201-1</v>
      </c>
      <c r="FK31" s="4067"/>
      <c r="FL31" s="4067"/>
      <c r="FM31" s="4067"/>
      <c r="FN31" s="4067"/>
      <c r="FO31" s="4067"/>
      <c r="FP31" s="4067"/>
      <c r="FQ31" s="1945"/>
      <c r="FR31" s="4067" t="str">
        <f>IF(TITLE_NUMBER_PR_CHANGE="",IF(TITLE_NUMBER_PR="","",TITLE_NUMBER_PR),TITLE_NUMBER_PR_CHANGE)</f>
        <v>761-1/201-1</v>
      </c>
      <c r="FS31" s="4067"/>
      <c r="FT31" s="4067"/>
      <c r="FU31" s="4067"/>
      <c r="FV31" s="4067"/>
      <c r="FW31" s="4067"/>
      <c r="FX31" s="4067"/>
      <c r="FY31" s="1945"/>
      <c r="FZ31" s="4067" t="str">
        <f>IF(TITLE_NUMBER_PR_CHANGE="",IF(TITLE_NUMBER_PR="","",TITLE_NUMBER_PR),TITLE_NUMBER_PR_CHANGE)</f>
        <v>761-1/201-1</v>
      </c>
      <c r="GA31" s="4067"/>
      <c r="GB31" s="4067"/>
      <c r="GC31" s="4067"/>
      <c r="GD31" s="4067"/>
      <c r="GE31" s="4067"/>
      <c r="GF31" s="4067"/>
      <c r="GG31" s="1945"/>
      <c r="GH31" s="4067" t="str">
        <f>IF(TITLE_NUMBER_PR_CHANGE="",IF(TITLE_NUMBER_PR="","",TITLE_NUMBER_PR),TITLE_NUMBER_PR_CHANGE)</f>
        <v>761-1/201-1</v>
      </c>
      <c r="GI31" s="4067"/>
      <c r="GJ31" s="4067"/>
      <c r="GK31" s="4067"/>
      <c r="GL31" s="4067"/>
      <c r="GM31" s="4067"/>
      <c r="GN31" s="4067"/>
      <c r="GO31" s="1945"/>
      <c r="GP31" s="4067" t="str">
        <f>IF(TITLE_NUMBER_PR_CHANGE="",IF(TITLE_NUMBER_PR="","",TITLE_NUMBER_PR),TITLE_NUMBER_PR_CHANGE)</f>
        <v>761-1/201-1</v>
      </c>
      <c r="GQ31" s="4067"/>
      <c r="GR31" s="4067"/>
      <c r="GS31" s="4067"/>
      <c r="GT31" s="4067"/>
      <c r="GU31" s="4067"/>
      <c r="GV31" s="4067"/>
      <c r="GW31" s="1945"/>
      <c r="GX31" s="4067" t="str">
        <f>IF(TITLE_NUMBER_PR_CHANGE="",IF(TITLE_NUMBER_PR="","",TITLE_NUMBER_PR),TITLE_NUMBER_PR_CHANGE)</f>
        <v>761-1/201-1</v>
      </c>
      <c r="GY31" s="4067"/>
      <c r="GZ31" s="4067"/>
      <c r="HA31" s="4067"/>
      <c r="HB31" s="4067"/>
      <c r="HC31" s="4067"/>
      <c r="HD31" s="4067"/>
      <c r="HE31" s="1945"/>
      <c r="HF31" s="4067" t="str">
        <f>IF(TITLE_NUMBER_PR_CHANGE="",IF(TITLE_NUMBER_PR="","",TITLE_NUMBER_PR),TITLE_NUMBER_PR_CHANGE)</f>
        <v>761-1/201-1</v>
      </c>
      <c r="HG31" s="4067"/>
      <c r="HH31" s="4067"/>
      <c r="HI31" s="4067"/>
      <c r="HJ31" s="4067"/>
      <c r="HK31" s="4067"/>
      <c r="HL31" s="4067"/>
      <c r="HM31" s="1945"/>
      <c r="HN31" s="4067" t="str">
        <f>IF(TITLE_NUMBER_PR_CHANGE="",IF(TITLE_NUMBER_PR="","",TITLE_NUMBER_PR),TITLE_NUMBER_PR_CHANGE)</f>
        <v>761-1/201-1</v>
      </c>
      <c r="HO31" s="4067"/>
      <c r="HP31" s="4067"/>
      <c r="HQ31" s="4067"/>
      <c r="HR31" s="4067"/>
      <c r="HS31" s="4067"/>
      <c r="HT31" s="4067"/>
      <c r="HU31" s="1945"/>
      <c r="HV31" s="4067" t="str">
        <f>IF(TITLE_NUMBER_PR_CHANGE="",IF(TITLE_NUMBER_PR="","",TITLE_NUMBER_PR),TITLE_NUMBER_PR_CHANGE)</f>
        <v>761-1/201-1</v>
      </c>
      <c r="HW31" s="4067"/>
      <c r="HX31" s="4067"/>
      <c r="HY31" s="4067"/>
      <c r="HZ31" s="4067"/>
      <c r="IA31" s="4067"/>
      <c r="IB31" s="4067"/>
      <c r="IC31" s="1945"/>
      <c r="ID31" s="253"/>
      <c r="IE31" s="200"/>
      <c r="IF31" s="296"/>
      <c r="IG31" s="296"/>
      <c r="IH31" s="296"/>
      <c r="II31" s="296"/>
      <c r="IJ31" s="296"/>
    </row>
    <row r="32" spans="1:244" s="2564" customFormat="1" ht="18.75" hidden="1" customHeight="1">
      <c r="A32" s="1284"/>
      <c r="B32" s="1284"/>
      <c r="C32" s="1284"/>
      <c r="D32" s="1284"/>
      <c r="E32" s="1284"/>
      <c r="F32" s="1284"/>
      <c r="G32" s="1284"/>
      <c r="H32" s="1284"/>
      <c r="I32" s="1284"/>
      <c r="J32" s="1284"/>
      <c r="K32" s="1284"/>
      <c r="L32" s="1285"/>
      <c r="M32" s="1284"/>
      <c r="N32" s="1284"/>
      <c r="O32" s="1284"/>
      <c r="S32" s="4066" t="s">
        <v>39</v>
      </c>
      <c r="T32" s="4066"/>
      <c r="U32" s="1288"/>
      <c r="V32" s="4067" t="str">
        <f>IF(TITLE_IST_PUB_CHANGE="",IF(TITLE_IST_PUB="","",TITLE_IST_PUB),TITLE_IST_PUB_CHANGE)</f>
        <v/>
      </c>
      <c r="W32" s="4067"/>
      <c r="X32" s="4067"/>
      <c r="Y32" s="4067"/>
      <c r="Z32" s="4067"/>
      <c r="AA32" s="4067"/>
      <c r="AB32" s="4067"/>
      <c r="AC32" s="253"/>
      <c r="AD32" s="4067" t="str">
        <f>IF(TITLE_IST_PUB_CHANGE="",IF(TITLE_IST_PUB="","",TITLE_IST_PUB),TITLE_IST_PUB_CHANGE)</f>
        <v/>
      </c>
      <c r="AE32" s="4067"/>
      <c r="AF32" s="4067"/>
      <c r="AG32" s="4067"/>
      <c r="AH32" s="4067"/>
      <c r="AI32" s="4067"/>
      <c r="AJ32" s="4067"/>
      <c r="AK32" s="253"/>
      <c r="AL32" s="4067" t="str">
        <f>IF(TITLE_IST_PUB_CHANGE="",IF(TITLE_IST_PUB="","",TITLE_IST_PUB),TITLE_IST_PUB_CHANGE)</f>
        <v/>
      </c>
      <c r="AM32" s="4067"/>
      <c r="AN32" s="4067"/>
      <c r="AO32" s="4067"/>
      <c r="AP32" s="4067"/>
      <c r="AQ32" s="4067"/>
      <c r="AR32" s="4067"/>
      <c r="AS32" s="1945"/>
      <c r="AT32" s="4067" t="str">
        <f>IF(TITLE_IST_PUB_CHANGE="",IF(TITLE_IST_PUB="","",TITLE_IST_PUB),TITLE_IST_PUB_CHANGE)</f>
        <v/>
      </c>
      <c r="AU32" s="4067"/>
      <c r="AV32" s="4067"/>
      <c r="AW32" s="4067"/>
      <c r="AX32" s="4067"/>
      <c r="AY32" s="4067"/>
      <c r="AZ32" s="4067"/>
      <c r="BA32" s="1945"/>
      <c r="BB32" s="4067" t="str">
        <f>IF(TITLE_IST_PUB_CHANGE="",IF(TITLE_IST_PUB="","",TITLE_IST_PUB),TITLE_IST_PUB_CHANGE)</f>
        <v/>
      </c>
      <c r="BC32" s="4067"/>
      <c r="BD32" s="4067"/>
      <c r="BE32" s="4067"/>
      <c r="BF32" s="4067"/>
      <c r="BG32" s="4067"/>
      <c r="BH32" s="4067"/>
      <c r="BI32" s="1945"/>
      <c r="BJ32" s="4067" t="str">
        <f>IF(TITLE_IST_PUB_CHANGE="",IF(TITLE_IST_PUB="","",TITLE_IST_PUB),TITLE_IST_PUB_CHANGE)</f>
        <v/>
      </c>
      <c r="BK32" s="4067"/>
      <c r="BL32" s="4067"/>
      <c r="BM32" s="4067"/>
      <c r="BN32" s="4067"/>
      <c r="BO32" s="4067"/>
      <c r="BP32" s="4067"/>
      <c r="BQ32" s="1945"/>
      <c r="BR32" s="4067" t="str">
        <f>IF(TITLE_IST_PUB_CHANGE="",IF(TITLE_IST_PUB="","",TITLE_IST_PUB),TITLE_IST_PUB_CHANGE)</f>
        <v/>
      </c>
      <c r="BS32" s="4067"/>
      <c r="BT32" s="4067"/>
      <c r="BU32" s="4067"/>
      <c r="BV32" s="4067"/>
      <c r="BW32" s="4067"/>
      <c r="BX32" s="4067"/>
      <c r="BY32" s="1945"/>
      <c r="BZ32" s="4067" t="str">
        <f>IF(TITLE_IST_PUB_CHANGE="",IF(TITLE_IST_PUB="","",TITLE_IST_PUB),TITLE_IST_PUB_CHANGE)</f>
        <v/>
      </c>
      <c r="CA32" s="4067"/>
      <c r="CB32" s="4067"/>
      <c r="CC32" s="4067"/>
      <c r="CD32" s="4067"/>
      <c r="CE32" s="4067"/>
      <c r="CF32" s="4067"/>
      <c r="CG32" s="1945"/>
      <c r="CH32" s="4067" t="str">
        <f>IF(TITLE_IST_PUB_CHANGE="",IF(TITLE_IST_PUB="","",TITLE_IST_PUB),TITLE_IST_PUB_CHANGE)</f>
        <v/>
      </c>
      <c r="CI32" s="4067"/>
      <c r="CJ32" s="4067"/>
      <c r="CK32" s="4067"/>
      <c r="CL32" s="4067"/>
      <c r="CM32" s="4067"/>
      <c r="CN32" s="4067"/>
      <c r="CO32" s="1945"/>
      <c r="CP32" s="4067" t="str">
        <f>IF(TITLE_IST_PUB_CHANGE="",IF(TITLE_IST_PUB="","",TITLE_IST_PUB),TITLE_IST_PUB_CHANGE)</f>
        <v/>
      </c>
      <c r="CQ32" s="4067"/>
      <c r="CR32" s="4067"/>
      <c r="CS32" s="4067"/>
      <c r="CT32" s="4067"/>
      <c r="CU32" s="4067"/>
      <c r="CV32" s="4067"/>
      <c r="CW32" s="1945"/>
      <c r="CX32" s="4067" t="str">
        <f>IF(TITLE_IST_PUB_CHANGE="",IF(TITLE_IST_PUB="","",TITLE_IST_PUB),TITLE_IST_PUB_CHANGE)</f>
        <v/>
      </c>
      <c r="CY32" s="4067"/>
      <c r="CZ32" s="4067"/>
      <c r="DA32" s="4067"/>
      <c r="DB32" s="4067"/>
      <c r="DC32" s="4067"/>
      <c r="DD32" s="4067"/>
      <c r="DE32" s="1945"/>
      <c r="DF32" s="4067" t="str">
        <f>IF(TITLE_IST_PUB_CHANGE="",IF(TITLE_IST_PUB="","",TITLE_IST_PUB),TITLE_IST_PUB_CHANGE)</f>
        <v/>
      </c>
      <c r="DG32" s="4067"/>
      <c r="DH32" s="4067"/>
      <c r="DI32" s="4067"/>
      <c r="DJ32" s="4067"/>
      <c r="DK32" s="4067"/>
      <c r="DL32" s="4067"/>
      <c r="DM32" s="1945"/>
      <c r="DN32" s="4067" t="str">
        <f>IF(TITLE_IST_PUB_CHANGE="",IF(TITLE_IST_PUB="","",TITLE_IST_PUB),TITLE_IST_PUB_CHANGE)</f>
        <v/>
      </c>
      <c r="DO32" s="4067"/>
      <c r="DP32" s="4067"/>
      <c r="DQ32" s="4067"/>
      <c r="DR32" s="4067"/>
      <c r="DS32" s="4067"/>
      <c r="DT32" s="4067"/>
      <c r="DU32" s="1945"/>
      <c r="DV32" s="4067" t="str">
        <f>IF(TITLE_IST_PUB_CHANGE="",IF(TITLE_IST_PUB="","",TITLE_IST_PUB),TITLE_IST_PUB_CHANGE)</f>
        <v/>
      </c>
      <c r="DW32" s="4067"/>
      <c r="DX32" s="4067"/>
      <c r="DY32" s="4067"/>
      <c r="DZ32" s="4067"/>
      <c r="EA32" s="4067"/>
      <c r="EB32" s="4067"/>
      <c r="EC32" s="1945"/>
      <c r="ED32" s="4067" t="str">
        <f>IF(TITLE_IST_PUB_CHANGE="",IF(TITLE_IST_PUB="","",TITLE_IST_PUB),TITLE_IST_PUB_CHANGE)</f>
        <v/>
      </c>
      <c r="EE32" s="4067"/>
      <c r="EF32" s="4067"/>
      <c r="EG32" s="4067"/>
      <c r="EH32" s="4067"/>
      <c r="EI32" s="4067"/>
      <c r="EJ32" s="4067"/>
      <c r="EK32" s="1945"/>
      <c r="EL32" s="4067" t="str">
        <f>IF(TITLE_IST_PUB_CHANGE="",IF(TITLE_IST_PUB="","",TITLE_IST_PUB),TITLE_IST_PUB_CHANGE)</f>
        <v/>
      </c>
      <c r="EM32" s="4067"/>
      <c r="EN32" s="4067"/>
      <c r="EO32" s="4067"/>
      <c r="EP32" s="4067"/>
      <c r="EQ32" s="4067"/>
      <c r="ER32" s="4067"/>
      <c r="ES32" s="1945"/>
      <c r="ET32" s="4067" t="str">
        <f>IF(TITLE_IST_PUB_CHANGE="",IF(TITLE_IST_PUB="","",TITLE_IST_PUB),TITLE_IST_PUB_CHANGE)</f>
        <v/>
      </c>
      <c r="EU32" s="4067"/>
      <c r="EV32" s="4067"/>
      <c r="EW32" s="4067"/>
      <c r="EX32" s="4067"/>
      <c r="EY32" s="4067"/>
      <c r="EZ32" s="4067"/>
      <c r="FA32" s="1945"/>
      <c r="FB32" s="4067" t="str">
        <f>IF(TITLE_IST_PUB_CHANGE="",IF(TITLE_IST_PUB="","",TITLE_IST_PUB),TITLE_IST_PUB_CHANGE)</f>
        <v/>
      </c>
      <c r="FC32" s="4067"/>
      <c r="FD32" s="4067"/>
      <c r="FE32" s="4067"/>
      <c r="FF32" s="4067"/>
      <c r="FG32" s="4067"/>
      <c r="FH32" s="4067"/>
      <c r="FI32" s="1945"/>
      <c r="FJ32" s="4067" t="str">
        <f>IF(TITLE_IST_PUB_CHANGE="",IF(TITLE_IST_PUB="","",TITLE_IST_PUB),TITLE_IST_PUB_CHANGE)</f>
        <v/>
      </c>
      <c r="FK32" s="4067"/>
      <c r="FL32" s="4067"/>
      <c r="FM32" s="4067"/>
      <c r="FN32" s="4067"/>
      <c r="FO32" s="4067"/>
      <c r="FP32" s="4067"/>
      <c r="FQ32" s="1945"/>
      <c r="FR32" s="4067" t="str">
        <f>IF(TITLE_IST_PUB_CHANGE="",IF(TITLE_IST_PUB="","",TITLE_IST_PUB),TITLE_IST_PUB_CHANGE)</f>
        <v/>
      </c>
      <c r="FS32" s="4067"/>
      <c r="FT32" s="4067"/>
      <c r="FU32" s="4067"/>
      <c r="FV32" s="4067"/>
      <c r="FW32" s="4067"/>
      <c r="FX32" s="4067"/>
      <c r="FY32" s="1945"/>
      <c r="FZ32" s="4067" t="str">
        <f>IF(TITLE_IST_PUB_CHANGE="",IF(TITLE_IST_PUB="","",TITLE_IST_PUB),TITLE_IST_PUB_CHANGE)</f>
        <v/>
      </c>
      <c r="GA32" s="4067"/>
      <c r="GB32" s="4067"/>
      <c r="GC32" s="4067"/>
      <c r="GD32" s="4067"/>
      <c r="GE32" s="4067"/>
      <c r="GF32" s="4067"/>
      <c r="GG32" s="1945"/>
      <c r="GH32" s="4067" t="str">
        <f>IF(TITLE_IST_PUB_CHANGE="",IF(TITLE_IST_PUB="","",TITLE_IST_PUB),TITLE_IST_PUB_CHANGE)</f>
        <v/>
      </c>
      <c r="GI32" s="4067"/>
      <c r="GJ32" s="4067"/>
      <c r="GK32" s="4067"/>
      <c r="GL32" s="4067"/>
      <c r="GM32" s="4067"/>
      <c r="GN32" s="4067"/>
      <c r="GO32" s="1945"/>
      <c r="GP32" s="4067" t="str">
        <f>IF(TITLE_IST_PUB_CHANGE="",IF(TITLE_IST_PUB="","",TITLE_IST_PUB),TITLE_IST_PUB_CHANGE)</f>
        <v/>
      </c>
      <c r="GQ32" s="4067"/>
      <c r="GR32" s="4067"/>
      <c r="GS32" s="4067"/>
      <c r="GT32" s="4067"/>
      <c r="GU32" s="4067"/>
      <c r="GV32" s="4067"/>
      <c r="GW32" s="1945"/>
      <c r="GX32" s="4067" t="str">
        <f>IF(TITLE_IST_PUB_CHANGE="",IF(TITLE_IST_PUB="","",TITLE_IST_PUB),TITLE_IST_PUB_CHANGE)</f>
        <v/>
      </c>
      <c r="GY32" s="4067"/>
      <c r="GZ32" s="4067"/>
      <c r="HA32" s="4067"/>
      <c r="HB32" s="4067"/>
      <c r="HC32" s="4067"/>
      <c r="HD32" s="4067"/>
      <c r="HE32" s="1945"/>
      <c r="HF32" s="4067" t="str">
        <f>IF(TITLE_IST_PUB_CHANGE="",IF(TITLE_IST_PUB="","",TITLE_IST_PUB),TITLE_IST_PUB_CHANGE)</f>
        <v/>
      </c>
      <c r="HG32" s="4067"/>
      <c r="HH32" s="4067"/>
      <c r="HI32" s="4067"/>
      <c r="HJ32" s="4067"/>
      <c r="HK32" s="4067"/>
      <c r="HL32" s="4067"/>
      <c r="HM32" s="1945"/>
      <c r="HN32" s="4067" t="str">
        <f>IF(TITLE_IST_PUB_CHANGE="",IF(TITLE_IST_PUB="","",TITLE_IST_PUB),TITLE_IST_PUB_CHANGE)</f>
        <v/>
      </c>
      <c r="HO32" s="4067"/>
      <c r="HP32" s="4067"/>
      <c r="HQ32" s="4067"/>
      <c r="HR32" s="4067"/>
      <c r="HS32" s="4067"/>
      <c r="HT32" s="4067"/>
      <c r="HU32" s="1945"/>
      <c r="HV32" s="4067" t="str">
        <f>IF(TITLE_IST_PUB_CHANGE="",IF(TITLE_IST_PUB="","",TITLE_IST_PUB),TITLE_IST_PUB_CHANGE)</f>
        <v/>
      </c>
      <c r="HW32" s="4067"/>
      <c r="HX32" s="4067"/>
      <c r="HY32" s="4067"/>
      <c r="HZ32" s="4067"/>
      <c r="IA32" s="4067"/>
      <c r="IB32" s="4067"/>
      <c r="IC32" s="1945"/>
      <c r="ID32" s="253"/>
      <c r="IE32" s="200"/>
      <c r="IF32" s="296"/>
      <c r="IG32" s="296"/>
      <c r="IH32" s="296"/>
      <c r="II32" s="296"/>
      <c r="IJ32" s="296"/>
    </row>
    <row r="33" spans="1:244" ht="14.25" customHeight="1">
      <c r="P33" s="1245"/>
      <c r="Q33" s="305"/>
      <c r="R33" s="305"/>
      <c r="S33" s="1195"/>
      <c r="T33" s="290"/>
      <c r="U33" s="290"/>
      <c r="V33" s="247"/>
      <c r="W33" s="247"/>
      <c r="X33" s="247"/>
      <c r="Y33" s="247"/>
      <c r="Z33" s="247"/>
      <c r="AA33" s="247"/>
      <c r="AB33" s="247"/>
      <c r="AC33" s="247"/>
      <c r="AD33" s="247"/>
      <c r="AE33" s="247"/>
      <c r="AF33" s="247"/>
      <c r="AG33" s="247"/>
      <c r="AH33" s="247"/>
      <c r="AI33" s="247"/>
      <c r="AJ33" s="247"/>
      <c r="AK33" s="247"/>
      <c r="AL33" s="2563"/>
      <c r="AM33" s="2563"/>
      <c r="AN33" s="2563"/>
      <c r="AO33" s="2563"/>
      <c r="AP33" s="2563"/>
      <c r="AQ33" s="2563"/>
      <c r="AR33" s="2563"/>
      <c r="AS33" s="2563"/>
      <c r="AT33" s="2563"/>
      <c r="AU33" s="2563"/>
      <c r="AV33" s="2563"/>
      <c r="AW33" s="2563"/>
      <c r="AX33" s="2563"/>
      <c r="AY33" s="2563"/>
      <c r="AZ33" s="2563"/>
      <c r="BA33" s="2563"/>
      <c r="BB33" s="2563"/>
      <c r="BC33" s="2563"/>
      <c r="BD33" s="2563"/>
      <c r="BE33" s="2563"/>
      <c r="BF33" s="2563"/>
      <c r="BG33" s="2563"/>
      <c r="BH33" s="2563"/>
      <c r="BI33" s="2563"/>
      <c r="BJ33" s="2563"/>
      <c r="BK33" s="2563"/>
      <c r="BL33" s="2563"/>
      <c r="BM33" s="2563"/>
      <c r="BN33" s="2563"/>
      <c r="BO33" s="2563"/>
      <c r="BP33" s="2563"/>
      <c r="BQ33" s="2563"/>
      <c r="BR33" s="2563"/>
      <c r="BS33" s="2563"/>
      <c r="BT33" s="2563"/>
      <c r="BU33" s="2563"/>
      <c r="BV33" s="2563"/>
      <c r="BW33" s="2563"/>
      <c r="BX33" s="2563"/>
      <c r="BY33" s="2563"/>
      <c r="BZ33" s="2563"/>
      <c r="CA33" s="2563"/>
      <c r="CB33" s="2563"/>
      <c r="CC33" s="2563"/>
      <c r="CD33" s="2563"/>
      <c r="CE33" s="2563"/>
      <c r="CF33" s="2563"/>
      <c r="CG33" s="2563"/>
      <c r="CH33" s="2563"/>
      <c r="CI33" s="2563"/>
      <c r="CJ33" s="2563"/>
      <c r="CK33" s="2563"/>
      <c r="CL33" s="2563"/>
      <c r="CM33" s="2563"/>
      <c r="CN33" s="2563"/>
      <c r="CO33" s="2563"/>
      <c r="CP33" s="2563"/>
      <c r="CQ33" s="2563"/>
      <c r="CR33" s="2563"/>
      <c r="CS33" s="2563"/>
      <c r="CT33" s="2563"/>
      <c r="CU33" s="2563"/>
      <c r="CV33" s="2563"/>
      <c r="CW33" s="2563"/>
      <c r="CX33" s="2563"/>
      <c r="CY33" s="2563"/>
      <c r="CZ33" s="2563"/>
      <c r="DA33" s="2563"/>
      <c r="DB33" s="2563"/>
      <c r="DC33" s="2563"/>
      <c r="DD33" s="2563"/>
      <c r="DE33" s="2563"/>
      <c r="DF33" s="2563"/>
      <c r="DG33" s="2563"/>
      <c r="DH33" s="2563"/>
      <c r="DI33" s="2563"/>
      <c r="DJ33" s="2563"/>
      <c r="DK33" s="2563"/>
      <c r="DL33" s="2563"/>
      <c r="DM33" s="2563"/>
      <c r="DN33" s="2563"/>
      <c r="DO33" s="2563"/>
      <c r="DP33" s="2563"/>
      <c r="DQ33" s="2563"/>
      <c r="DR33" s="2563"/>
      <c r="DS33" s="2563"/>
      <c r="DT33" s="2563"/>
      <c r="DU33" s="2563"/>
      <c r="DV33" s="2563"/>
      <c r="DW33" s="2563"/>
      <c r="DX33" s="2563"/>
      <c r="DY33" s="2563"/>
      <c r="DZ33" s="2563"/>
      <c r="EA33" s="2563"/>
      <c r="EB33" s="2563"/>
      <c r="EC33" s="2563"/>
      <c r="ED33" s="2563"/>
      <c r="EE33" s="2563"/>
      <c r="EF33" s="2563"/>
      <c r="EG33" s="2563"/>
      <c r="EH33" s="2563"/>
      <c r="EI33" s="2563"/>
      <c r="EJ33" s="2563"/>
      <c r="EK33" s="2563"/>
      <c r="EL33" s="2563"/>
      <c r="EM33" s="2563"/>
      <c r="EN33" s="2563"/>
      <c r="EO33" s="2563"/>
      <c r="EP33" s="2563"/>
      <c r="EQ33" s="2563"/>
      <c r="ER33" s="2563"/>
      <c r="ES33" s="2563"/>
      <c r="ET33" s="2563"/>
      <c r="EU33" s="2563"/>
      <c r="EV33" s="2563"/>
      <c r="EW33" s="2563"/>
      <c r="EX33" s="2563"/>
      <c r="EY33" s="2563"/>
      <c r="EZ33" s="2563"/>
      <c r="FA33" s="2563"/>
      <c r="FB33" s="2563"/>
      <c r="FC33" s="2563"/>
      <c r="FD33" s="2563"/>
      <c r="FE33" s="2563"/>
      <c r="FF33" s="2563"/>
      <c r="FG33" s="2563"/>
      <c r="FH33" s="2563"/>
      <c r="FI33" s="2563"/>
      <c r="FJ33" s="2563"/>
      <c r="FK33" s="2563"/>
      <c r="FL33" s="2563"/>
      <c r="FM33" s="2563"/>
      <c r="FN33" s="2563"/>
      <c r="FO33" s="2563"/>
      <c r="FP33" s="2563"/>
      <c r="FQ33" s="2563"/>
      <c r="FR33" s="2563"/>
      <c r="FS33" s="2563"/>
      <c r="FT33" s="2563"/>
      <c r="FU33" s="2563"/>
      <c r="FV33" s="2563"/>
      <c r="FW33" s="2563"/>
      <c r="FX33" s="2563"/>
      <c r="FY33" s="2563"/>
      <c r="FZ33" s="2563"/>
      <c r="GA33" s="2563"/>
      <c r="GB33" s="2563"/>
      <c r="GC33" s="2563"/>
      <c r="GD33" s="2563"/>
      <c r="GE33" s="2563"/>
      <c r="GF33" s="2563"/>
      <c r="GG33" s="2563"/>
      <c r="GH33" s="2563"/>
      <c r="GI33" s="2563"/>
      <c r="GJ33" s="2563"/>
      <c r="GK33" s="2563"/>
      <c r="GL33" s="2563"/>
      <c r="GM33" s="2563"/>
      <c r="GN33" s="2563"/>
      <c r="GO33" s="2563"/>
      <c r="GP33" s="2563"/>
      <c r="GQ33" s="2563"/>
      <c r="GR33" s="2563"/>
      <c r="GS33" s="2563"/>
      <c r="GT33" s="2563"/>
      <c r="GU33" s="2563"/>
      <c r="GV33" s="2563"/>
      <c r="GW33" s="2563"/>
      <c r="GX33" s="2563"/>
      <c r="GY33" s="2563"/>
      <c r="GZ33" s="2563"/>
      <c r="HA33" s="2563"/>
      <c r="HB33" s="2563"/>
      <c r="HC33" s="2563"/>
      <c r="HD33" s="2563"/>
      <c r="HE33" s="2563"/>
      <c r="HF33" s="2563"/>
      <c r="HG33" s="2563"/>
      <c r="HH33" s="2563"/>
      <c r="HI33" s="2563"/>
      <c r="HJ33" s="2563"/>
      <c r="HK33" s="2563"/>
      <c r="HL33" s="2563"/>
      <c r="HM33" s="2563"/>
      <c r="HN33" s="2563"/>
      <c r="HO33" s="2563"/>
      <c r="HP33" s="2563"/>
      <c r="HQ33" s="2563"/>
      <c r="HR33" s="2563"/>
      <c r="HS33" s="2563"/>
      <c r="HT33" s="2563"/>
      <c r="HU33" s="2563"/>
      <c r="HV33" s="2563"/>
      <c r="HW33" s="2563"/>
      <c r="HX33" s="2563"/>
      <c r="HY33" s="2563"/>
      <c r="HZ33" s="2563"/>
      <c r="IA33" s="2563"/>
      <c r="IB33" s="2563"/>
      <c r="IC33" s="2563"/>
      <c r="ID33" s="435"/>
    </row>
    <row r="34" spans="1:244" s="2564" customFormat="1" ht="18.75" customHeight="1">
      <c r="A34" s="1284"/>
      <c r="B34" s="1284"/>
      <c r="C34" s="1284"/>
      <c r="D34" s="1284"/>
      <c r="E34" s="1284"/>
      <c r="F34" s="1284"/>
      <c r="G34" s="1284"/>
      <c r="H34" s="1284"/>
      <c r="I34" s="1284"/>
      <c r="J34" s="1284"/>
      <c r="K34" s="1284"/>
      <c r="L34" s="1285"/>
      <c r="M34" s="1284"/>
      <c r="N34" s="1284"/>
      <c r="O34" s="1284"/>
      <c r="S34" s="4066" t="s">
        <v>414</v>
      </c>
      <c r="T34" s="4066"/>
      <c r="U34" s="1288"/>
      <c r="V34" s="4076">
        <f>IF(TITLE_DATE_PR_CHANGE="",IF(TITLE_DATE_PR="","",TITLE_DATE_PR),TITLE_DATE_PR_CHANGE)</f>
        <v>45289.465104166666</v>
      </c>
      <c r="W34" s="4076"/>
      <c r="X34" s="4076"/>
      <c r="Y34" s="4076"/>
      <c r="Z34" s="4076"/>
      <c r="AA34" s="4076"/>
      <c r="AB34" s="4076"/>
      <c r="AC34" s="253"/>
      <c r="AD34" s="4076">
        <f>IF(TITLE_DATE_PR_CHANGE="",IF(TITLE_DATE_PR="","",TITLE_DATE_PR),TITLE_DATE_PR_CHANGE)</f>
        <v>45289.465104166666</v>
      </c>
      <c r="AE34" s="4076"/>
      <c r="AF34" s="4076"/>
      <c r="AG34" s="4076"/>
      <c r="AH34" s="4076"/>
      <c r="AI34" s="4076"/>
      <c r="AJ34" s="4076"/>
      <c r="AK34" s="253"/>
      <c r="AL34" s="4076">
        <f>IF(TITLE_DATE_PR_CHANGE="",IF(TITLE_DATE_PR="","",TITLE_DATE_PR),TITLE_DATE_PR_CHANGE)</f>
        <v>45289.465104166666</v>
      </c>
      <c r="AM34" s="4076"/>
      <c r="AN34" s="4076"/>
      <c r="AO34" s="4076"/>
      <c r="AP34" s="4076"/>
      <c r="AQ34" s="4076"/>
      <c r="AR34" s="4076"/>
      <c r="AS34" s="1945"/>
      <c r="AT34" s="4076">
        <f>IF(TITLE_DATE_PR_CHANGE="",IF(TITLE_DATE_PR="","",TITLE_DATE_PR),TITLE_DATE_PR_CHANGE)</f>
        <v>45289.465104166666</v>
      </c>
      <c r="AU34" s="4076"/>
      <c r="AV34" s="4076"/>
      <c r="AW34" s="4076"/>
      <c r="AX34" s="4076"/>
      <c r="AY34" s="4076"/>
      <c r="AZ34" s="4076"/>
      <c r="BA34" s="1945"/>
      <c r="BB34" s="4076">
        <f>IF(TITLE_DATE_PR_CHANGE="",IF(TITLE_DATE_PR="","",TITLE_DATE_PR),TITLE_DATE_PR_CHANGE)</f>
        <v>45289.465104166666</v>
      </c>
      <c r="BC34" s="4076"/>
      <c r="BD34" s="4076"/>
      <c r="BE34" s="4076"/>
      <c r="BF34" s="4076"/>
      <c r="BG34" s="4076"/>
      <c r="BH34" s="4076"/>
      <c r="BI34" s="1945"/>
      <c r="BJ34" s="4076">
        <f>IF(TITLE_DATE_PR_CHANGE="",IF(TITLE_DATE_PR="","",TITLE_DATE_PR),TITLE_DATE_PR_CHANGE)</f>
        <v>45289.465104166666</v>
      </c>
      <c r="BK34" s="4076"/>
      <c r="BL34" s="4076"/>
      <c r="BM34" s="4076"/>
      <c r="BN34" s="4076"/>
      <c r="BO34" s="4076"/>
      <c r="BP34" s="4076"/>
      <c r="BQ34" s="1945"/>
      <c r="BR34" s="4076">
        <f>IF(TITLE_DATE_PR_CHANGE="",IF(TITLE_DATE_PR="","",TITLE_DATE_PR),TITLE_DATE_PR_CHANGE)</f>
        <v>45289.465104166666</v>
      </c>
      <c r="BS34" s="4076"/>
      <c r="BT34" s="4076"/>
      <c r="BU34" s="4076"/>
      <c r="BV34" s="4076"/>
      <c r="BW34" s="4076"/>
      <c r="BX34" s="4076"/>
      <c r="BY34" s="1945"/>
      <c r="BZ34" s="4076">
        <f>IF(TITLE_DATE_PR_CHANGE="",IF(TITLE_DATE_PR="","",TITLE_DATE_PR),TITLE_DATE_PR_CHANGE)</f>
        <v>45289.465104166666</v>
      </c>
      <c r="CA34" s="4076"/>
      <c r="CB34" s="4076"/>
      <c r="CC34" s="4076"/>
      <c r="CD34" s="4076"/>
      <c r="CE34" s="4076"/>
      <c r="CF34" s="4076"/>
      <c r="CG34" s="1945"/>
      <c r="CH34" s="4076">
        <f>IF(TITLE_DATE_PR_CHANGE="",IF(TITLE_DATE_PR="","",TITLE_DATE_PR),TITLE_DATE_PR_CHANGE)</f>
        <v>45289.465104166666</v>
      </c>
      <c r="CI34" s="4076"/>
      <c r="CJ34" s="4076"/>
      <c r="CK34" s="4076"/>
      <c r="CL34" s="4076"/>
      <c r="CM34" s="4076"/>
      <c r="CN34" s="4076"/>
      <c r="CO34" s="1945"/>
      <c r="CP34" s="4076">
        <f>IF(TITLE_DATE_PR_CHANGE="",IF(TITLE_DATE_PR="","",TITLE_DATE_PR),TITLE_DATE_PR_CHANGE)</f>
        <v>45289.465104166666</v>
      </c>
      <c r="CQ34" s="4076"/>
      <c r="CR34" s="4076"/>
      <c r="CS34" s="4076"/>
      <c r="CT34" s="4076"/>
      <c r="CU34" s="4076"/>
      <c r="CV34" s="4076"/>
      <c r="CW34" s="1945"/>
      <c r="CX34" s="4076">
        <f>IF(TITLE_DATE_PR_CHANGE="",IF(TITLE_DATE_PR="","",TITLE_DATE_PR),TITLE_DATE_PR_CHANGE)</f>
        <v>45289.465104166666</v>
      </c>
      <c r="CY34" s="4076"/>
      <c r="CZ34" s="4076"/>
      <c r="DA34" s="4076"/>
      <c r="DB34" s="4076"/>
      <c r="DC34" s="4076"/>
      <c r="DD34" s="4076"/>
      <c r="DE34" s="1945"/>
      <c r="DF34" s="4076">
        <f>IF(TITLE_DATE_PR_CHANGE="",IF(TITLE_DATE_PR="","",TITLE_DATE_PR),TITLE_DATE_PR_CHANGE)</f>
        <v>45289.465104166666</v>
      </c>
      <c r="DG34" s="4076"/>
      <c r="DH34" s="4076"/>
      <c r="DI34" s="4076"/>
      <c r="DJ34" s="4076"/>
      <c r="DK34" s="4076"/>
      <c r="DL34" s="4076"/>
      <c r="DM34" s="1945"/>
      <c r="DN34" s="4076">
        <f>IF(TITLE_DATE_PR_CHANGE="",IF(TITLE_DATE_PR="","",TITLE_DATE_PR),TITLE_DATE_PR_CHANGE)</f>
        <v>45289.465104166666</v>
      </c>
      <c r="DO34" s="4076"/>
      <c r="DP34" s="4076"/>
      <c r="DQ34" s="4076"/>
      <c r="DR34" s="4076"/>
      <c r="DS34" s="4076"/>
      <c r="DT34" s="4076"/>
      <c r="DU34" s="1945"/>
      <c r="DV34" s="4076">
        <f>IF(TITLE_DATE_PR_CHANGE="",IF(TITLE_DATE_PR="","",TITLE_DATE_PR),TITLE_DATE_PR_CHANGE)</f>
        <v>45289.465104166666</v>
      </c>
      <c r="DW34" s="4076"/>
      <c r="DX34" s="4076"/>
      <c r="DY34" s="4076"/>
      <c r="DZ34" s="4076"/>
      <c r="EA34" s="4076"/>
      <c r="EB34" s="4076"/>
      <c r="EC34" s="1945"/>
      <c r="ED34" s="4076">
        <f>IF(TITLE_DATE_PR_CHANGE="",IF(TITLE_DATE_PR="","",TITLE_DATE_PR),TITLE_DATE_PR_CHANGE)</f>
        <v>45289.465104166666</v>
      </c>
      <c r="EE34" s="4076"/>
      <c r="EF34" s="4076"/>
      <c r="EG34" s="4076"/>
      <c r="EH34" s="4076"/>
      <c r="EI34" s="4076"/>
      <c r="EJ34" s="4076"/>
      <c r="EK34" s="1945"/>
      <c r="EL34" s="4076">
        <f>IF(TITLE_DATE_PR_CHANGE="",IF(TITLE_DATE_PR="","",TITLE_DATE_PR),TITLE_DATE_PR_CHANGE)</f>
        <v>45289.465104166666</v>
      </c>
      <c r="EM34" s="4076"/>
      <c r="EN34" s="4076"/>
      <c r="EO34" s="4076"/>
      <c r="EP34" s="4076"/>
      <c r="EQ34" s="4076"/>
      <c r="ER34" s="4076"/>
      <c r="ES34" s="1945"/>
      <c r="ET34" s="4076">
        <f>IF(TITLE_DATE_PR_CHANGE="",IF(TITLE_DATE_PR="","",TITLE_DATE_PR),TITLE_DATE_PR_CHANGE)</f>
        <v>45289.465104166666</v>
      </c>
      <c r="EU34" s="4076"/>
      <c r="EV34" s="4076"/>
      <c r="EW34" s="4076"/>
      <c r="EX34" s="4076"/>
      <c r="EY34" s="4076"/>
      <c r="EZ34" s="4076"/>
      <c r="FA34" s="1945"/>
      <c r="FB34" s="4076">
        <f>IF(TITLE_DATE_PR_CHANGE="",IF(TITLE_DATE_PR="","",TITLE_DATE_PR),TITLE_DATE_PR_CHANGE)</f>
        <v>45289.465104166666</v>
      </c>
      <c r="FC34" s="4076"/>
      <c r="FD34" s="4076"/>
      <c r="FE34" s="4076"/>
      <c r="FF34" s="4076"/>
      <c r="FG34" s="4076"/>
      <c r="FH34" s="4076"/>
      <c r="FI34" s="1945"/>
      <c r="FJ34" s="4076">
        <f>IF(TITLE_DATE_PR_CHANGE="",IF(TITLE_DATE_PR="","",TITLE_DATE_PR),TITLE_DATE_PR_CHANGE)</f>
        <v>45289.465104166666</v>
      </c>
      <c r="FK34" s="4076"/>
      <c r="FL34" s="4076"/>
      <c r="FM34" s="4076"/>
      <c r="FN34" s="4076"/>
      <c r="FO34" s="4076"/>
      <c r="FP34" s="4076"/>
      <c r="FQ34" s="1945"/>
      <c r="FR34" s="4076">
        <f>IF(TITLE_DATE_PR_CHANGE="",IF(TITLE_DATE_PR="","",TITLE_DATE_PR),TITLE_DATE_PR_CHANGE)</f>
        <v>45289.465104166666</v>
      </c>
      <c r="FS34" s="4076"/>
      <c r="FT34" s="4076"/>
      <c r="FU34" s="4076"/>
      <c r="FV34" s="4076"/>
      <c r="FW34" s="4076"/>
      <c r="FX34" s="4076"/>
      <c r="FY34" s="1945"/>
      <c r="FZ34" s="4076">
        <f>IF(TITLE_DATE_PR_CHANGE="",IF(TITLE_DATE_PR="","",TITLE_DATE_PR),TITLE_DATE_PR_CHANGE)</f>
        <v>45289.465104166666</v>
      </c>
      <c r="GA34" s="4076"/>
      <c r="GB34" s="4076"/>
      <c r="GC34" s="4076"/>
      <c r="GD34" s="4076"/>
      <c r="GE34" s="4076"/>
      <c r="GF34" s="4076"/>
      <c r="GG34" s="1945"/>
      <c r="GH34" s="4076">
        <f>IF(TITLE_DATE_PR_CHANGE="",IF(TITLE_DATE_PR="","",TITLE_DATE_PR),TITLE_DATE_PR_CHANGE)</f>
        <v>45289.465104166666</v>
      </c>
      <c r="GI34" s="4076"/>
      <c r="GJ34" s="4076"/>
      <c r="GK34" s="4076"/>
      <c r="GL34" s="4076"/>
      <c r="GM34" s="4076"/>
      <c r="GN34" s="4076"/>
      <c r="GO34" s="1945"/>
      <c r="GP34" s="4076">
        <f>IF(TITLE_DATE_PR_CHANGE="",IF(TITLE_DATE_PR="","",TITLE_DATE_PR),TITLE_DATE_PR_CHANGE)</f>
        <v>45289.465104166666</v>
      </c>
      <c r="GQ34" s="4076"/>
      <c r="GR34" s="4076"/>
      <c r="GS34" s="4076"/>
      <c r="GT34" s="4076"/>
      <c r="GU34" s="4076"/>
      <c r="GV34" s="4076"/>
      <c r="GW34" s="1945"/>
      <c r="GX34" s="4076">
        <f>IF(TITLE_DATE_PR_CHANGE="",IF(TITLE_DATE_PR="","",TITLE_DATE_PR),TITLE_DATE_PR_CHANGE)</f>
        <v>45289.465104166666</v>
      </c>
      <c r="GY34" s="4076"/>
      <c r="GZ34" s="4076"/>
      <c r="HA34" s="4076"/>
      <c r="HB34" s="4076"/>
      <c r="HC34" s="4076"/>
      <c r="HD34" s="4076"/>
      <c r="HE34" s="1945"/>
      <c r="HF34" s="4076">
        <f>IF(TITLE_DATE_PR_CHANGE="",IF(TITLE_DATE_PR="","",TITLE_DATE_PR),TITLE_DATE_PR_CHANGE)</f>
        <v>45289.465104166666</v>
      </c>
      <c r="HG34" s="4076"/>
      <c r="HH34" s="4076"/>
      <c r="HI34" s="4076"/>
      <c r="HJ34" s="4076"/>
      <c r="HK34" s="4076"/>
      <c r="HL34" s="4076"/>
      <c r="HM34" s="1945"/>
      <c r="HN34" s="4076">
        <f>IF(TITLE_DATE_PR_CHANGE="",IF(TITLE_DATE_PR="","",TITLE_DATE_PR),TITLE_DATE_PR_CHANGE)</f>
        <v>45289.465104166666</v>
      </c>
      <c r="HO34" s="4076"/>
      <c r="HP34" s="4076"/>
      <c r="HQ34" s="4076"/>
      <c r="HR34" s="4076"/>
      <c r="HS34" s="4076"/>
      <c r="HT34" s="4076"/>
      <c r="HU34" s="1945"/>
      <c r="HV34" s="4076">
        <f>IF(TITLE_DATE_PR_CHANGE="",IF(TITLE_DATE_PR="","",TITLE_DATE_PR),TITLE_DATE_PR_CHANGE)</f>
        <v>45289.465104166666</v>
      </c>
      <c r="HW34" s="4076"/>
      <c r="HX34" s="4076"/>
      <c r="HY34" s="4076"/>
      <c r="HZ34" s="4076"/>
      <c r="IA34" s="4076"/>
      <c r="IB34" s="4076"/>
      <c r="IC34" s="1945"/>
      <c r="ID34" s="253"/>
      <c r="IE34" s="200"/>
      <c r="IF34" s="296"/>
      <c r="IG34" s="296"/>
      <c r="IH34" s="296"/>
      <c r="II34" s="296"/>
      <c r="IJ34" s="296"/>
    </row>
    <row r="35" spans="1:244" s="2564" customFormat="1" ht="18.75" customHeight="1">
      <c r="A35" s="1284"/>
      <c r="B35" s="1284"/>
      <c r="C35" s="1284"/>
      <c r="D35" s="1284"/>
      <c r="E35" s="1284"/>
      <c r="F35" s="1284"/>
      <c r="G35" s="1284"/>
      <c r="H35" s="1284"/>
      <c r="I35" s="1284"/>
      <c r="J35" s="1284"/>
      <c r="K35" s="1284"/>
      <c r="L35" s="1285"/>
      <c r="M35" s="1284"/>
      <c r="N35" s="1284"/>
      <c r="O35" s="1284"/>
      <c r="S35" s="4066" t="s">
        <v>415</v>
      </c>
      <c r="T35" s="4066"/>
      <c r="U35" s="1288"/>
      <c r="V35" s="4067" t="str">
        <f>IF(TITLE_NUMBER_PR_CHANGE="",IF(TITLE_NUMBER_PR="","",TITLE_NUMBER_PR),TITLE_NUMBER_PR_CHANGE)</f>
        <v>761-1/201-1</v>
      </c>
      <c r="W35" s="4067"/>
      <c r="X35" s="4067"/>
      <c r="Y35" s="4067"/>
      <c r="Z35" s="4067"/>
      <c r="AA35" s="4067"/>
      <c r="AB35" s="4067"/>
      <c r="AC35" s="253"/>
      <c r="AD35" s="4067" t="str">
        <f>IF(TITLE_NUMBER_PR_CHANGE="",IF(TITLE_NUMBER_PR="","",TITLE_NUMBER_PR),TITLE_NUMBER_PR_CHANGE)</f>
        <v>761-1/201-1</v>
      </c>
      <c r="AE35" s="4067"/>
      <c r="AF35" s="4067"/>
      <c r="AG35" s="4067"/>
      <c r="AH35" s="4067"/>
      <c r="AI35" s="4067"/>
      <c r="AJ35" s="4067"/>
      <c r="AK35" s="253"/>
      <c r="AL35" s="4067" t="str">
        <f>IF(TITLE_NUMBER_PR_CHANGE="",IF(TITLE_NUMBER_PR="","",TITLE_NUMBER_PR),TITLE_NUMBER_PR_CHANGE)</f>
        <v>761-1/201-1</v>
      </c>
      <c r="AM35" s="4067"/>
      <c r="AN35" s="4067"/>
      <c r="AO35" s="4067"/>
      <c r="AP35" s="4067"/>
      <c r="AQ35" s="4067"/>
      <c r="AR35" s="4067"/>
      <c r="AS35" s="1945"/>
      <c r="AT35" s="4067" t="str">
        <f>IF(TITLE_NUMBER_PR_CHANGE="",IF(TITLE_NUMBER_PR="","",TITLE_NUMBER_PR),TITLE_NUMBER_PR_CHANGE)</f>
        <v>761-1/201-1</v>
      </c>
      <c r="AU35" s="4067"/>
      <c r="AV35" s="4067"/>
      <c r="AW35" s="4067"/>
      <c r="AX35" s="4067"/>
      <c r="AY35" s="4067"/>
      <c r="AZ35" s="4067"/>
      <c r="BA35" s="1945"/>
      <c r="BB35" s="4067" t="str">
        <f>IF(TITLE_NUMBER_PR_CHANGE="",IF(TITLE_NUMBER_PR="","",TITLE_NUMBER_PR),TITLE_NUMBER_PR_CHANGE)</f>
        <v>761-1/201-1</v>
      </c>
      <c r="BC35" s="4067"/>
      <c r="BD35" s="4067"/>
      <c r="BE35" s="4067"/>
      <c r="BF35" s="4067"/>
      <c r="BG35" s="4067"/>
      <c r="BH35" s="4067"/>
      <c r="BI35" s="1945"/>
      <c r="BJ35" s="4067" t="str">
        <f>IF(TITLE_NUMBER_PR_CHANGE="",IF(TITLE_NUMBER_PR="","",TITLE_NUMBER_PR),TITLE_NUMBER_PR_CHANGE)</f>
        <v>761-1/201-1</v>
      </c>
      <c r="BK35" s="4067"/>
      <c r="BL35" s="4067"/>
      <c r="BM35" s="4067"/>
      <c r="BN35" s="4067"/>
      <c r="BO35" s="4067"/>
      <c r="BP35" s="4067"/>
      <c r="BQ35" s="1945"/>
      <c r="BR35" s="4067" t="str">
        <f>IF(TITLE_NUMBER_PR_CHANGE="",IF(TITLE_NUMBER_PR="","",TITLE_NUMBER_PR),TITLE_NUMBER_PR_CHANGE)</f>
        <v>761-1/201-1</v>
      </c>
      <c r="BS35" s="4067"/>
      <c r="BT35" s="4067"/>
      <c r="BU35" s="4067"/>
      <c r="BV35" s="4067"/>
      <c r="BW35" s="4067"/>
      <c r="BX35" s="4067"/>
      <c r="BY35" s="1945"/>
      <c r="BZ35" s="4067" t="str">
        <f>IF(TITLE_NUMBER_PR_CHANGE="",IF(TITLE_NUMBER_PR="","",TITLE_NUMBER_PR),TITLE_NUMBER_PR_CHANGE)</f>
        <v>761-1/201-1</v>
      </c>
      <c r="CA35" s="4067"/>
      <c r="CB35" s="4067"/>
      <c r="CC35" s="4067"/>
      <c r="CD35" s="4067"/>
      <c r="CE35" s="4067"/>
      <c r="CF35" s="4067"/>
      <c r="CG35" s="1945"/>
      <c r="CH35" s="4067" t="str">
        <f>IF(TITLE_NUMBER_PR_CHANGE="",IF(TITLE_NUMBER_PR="","",TITLE_NUMBER_PR),TITLE_NUMBER_PR_CHANGE)</f>
        <v>761-1/201-1</v>
      </c>
      <c r="CI35" s="4067"/>
      <c r="CJ35" s="4067"/>
      <c r="CK35" s="4067"/>
      <c r="CL35" s="4067"/>
      <c r="CM35" s="4067"/>
      <c r="CN35" s="4067"/>
      <c r="CO35" s="1945"/>
      <c r="CP35" s="4067" t="str">
        <f>IF(TITLE_NUMBER_PR_CHANGE="",IF(TITLE_NUMBER_PR="","",TITLE_NUMBER_PR),TITLE_NUMBER_PR_CHANGE)</f>
        <v>761-1/201-1</v>
      </c>
      <c r="CQ35" s="4067"/>
      <c r="CR35" s="4067"/>
      <c r="CS35" s="4067"/>
      <c r="CT35" s="4067"/>
      <c r="CU35" s="4067"/>
      <c r="CV35" s="4067"/>
      <c r="CW35" s="1945"/>
      <c r="CX35" s="4067" t="str">
        <f>IF(TITLE_NUMBER_PR_CHANGE="",IF(TITLE_NUMBER_PR="","",TITLE_NUMBER_PR),TITLE_NUMBER_PR_CHANGE)</f>
        <v>761-1/201-1</v>
      </c>
      <c r="CY35" s="4067"/>
      <c r="CZ35" s="4067"/>
      <c r="DA35" s="4067"/>
      <c r="DB35" s="4067"/>
      <c r="DC35" s="4067"/>
      <c r="DD35" s="4067"/>
      <c r="DE35" s="1945"/>
      <c r="DF35" s="4067" t="str">
        <f>IF(TITLE_NUMBER_PR_CHANGE="",IF(TITLE_NUMBER_PR="","",TITLE_NUMBER_PR),TITLE_NUMBER_PR_CHANGE)</f>
        <v>761-1/201-1</v>
      </c>
      <c r="DG35" s="4067"/>
      <c r="DH35" s="4067"/>
      <c r="DI35" s="4067"/>
      <c r="DJ35" s="4067"/>
      <c r="DK35" s="4067"/>
      <c r="DL35" s="4067"/>
      <c r="DM35" s="1945"/>
      <c r="DN35" s="4067" t="str">
        <f>IF(TITLE_NUMBER_PR_CHANGE="",IF(TITLE_NUMBER_PR="","",TITLE_NUMBER_PR),TITLE_NUMBER_PR_CHANGE)</f>
        <v>761-1/201-1</v>
      </c>
      <c r="DO35" s="4067"/>
      <c r="DP35" s="4067"/>
      <c r="DQ35" s="4067"/>
      <c r="DR35" s="4067"/>
      <c r="DS35" s="4067"/>
      <c r="DT35" s="4067"/>
      <c r="DU35" s="1945"/>
      <c r="DV35" s="4067" t="str">
        <f>IF(TITLE_NUMBER_PR_CHANGE="",IF(TITLE_NUMBER_PR="","",TITLE_NUMBER_PR),TITLE_NUMBER_PR_CHANGE)</f>
        <v>761-1/201-1</v>
      </c>
      <c r="DW35" s="4067"/>
      <c r="DX35" s="4067"/>
      <c r="DY35" s="4067"/>
      <c r="DZ35" s="4067"/>
      <c r="EA35" s="4067"/>
      <c r="EB35" s="4067"/>
      <c r="EC35" s="1945"/>
      <c r="ED35" s="4067" t="str">
        <f>IF(TITLE_NUMBER_PR_CHANGE="",IF(TITLE_NUMBER_PR="","",TITLE_NUMBER_PR),TITLE_NUMBER_PR_CHANGE)</f>
        <v>761-1/201-1</v>
      </c>
      <c r="EE35" s="4067"/>
      <c r="EF35" s="4067"/>
      <c r="EG35" s="4067"/>
      <c r="EH35" s="4067"/>
      <c r="EI35" s="4067"/>
      <c r="EJ35" s="4067"/>
      <c r="EK35" s="1945"/>
      <c r="EL35" s="4067" t="str">
        <f>IF(TITLE_NUMBER_PR_CHANGE="",IF(TITLE_NUMBER_PR="","",TITLE_NUMBER_PR),TITLE_NUMBER_PR_CHANGE)</f>
        <v>761-1/201-1</v>
      </c>
      <c r="EM35" s="4067"/>
      <c r="EN35" s="4067"/>
      <c r="EO35" s="4067"/>
      <c r="EP35" s="4067"/>
      <c r="EQ35" s="4067"/>
      <c r="ER35" s="4067"/>
      <c r="ES35" s="1945"/>
      <c r="ET35" s="4067" t="str">
        <f>IF(TITLE_NUMBER_PR_CHANGE="",IF(TITLE_NUMBER_PR="","",TITLE_NUMBER_PR),TITLE_NUMBER_PR_CHANGE)</f>
        <v>761-1/201-1</v>
      </c>
      <c r="EU35" s="4067"/>
      <c r="EV35" s="4067"/>
      <c r="EW35" s="4067"/>
      <c r="EX35" s="4067"/>
      <c r="EY35" s="4067"/>
      <c r="EZ35" s="4067"/>
      <c r="FA35" s="1945"/>
      <c r="FB35" s="4067" t="str">
        <f>IF(TITLE_NUMBER_PR_CHANGE="",IF(TITLE_NUMBER_PR="","",TITLE_NUMBER_PR),TITLE_NUMBER_PR_CHANGE)</f>
        <v>761-1/201-1</v>
      </c>
      <c r="FC35" s="4067"/>
      <c r="FD35" s="4067"/>
      <c r="FE35" s="4067"/>
      <c r="FF35" s="4067"/>
      <c r="FG35" s="4067"/>
      <c r="FH35" s="4067"/>
      <c r="FI35" s="1945"/>
      <c r="FJ35" s="4067" t="str">
        <f>IF(TITLE_NUMBER_PR_CHANGE="",IF(TITLE_NUMBER_PR="","",TITLE_NUMBER_PR),TITLE_NUMBER_PR_CHANGE)</f>
        <v>761-1/201-1</v>
      </c>
      <c r="FK35" s="4067"/>
      <c r="FL35" s="4067"/>
      <c r="FM35" s="4067"/>
      <c r="FN35" s="4067"/>
      <c r="FO35" s="4067"/>
      <c r="FP35" s="4067"/>
      <c r="FQ35" s="1945"/>
      <c r="FR35" s="4067" t="str">
        <f>IF(TITLE_NUMBER_PR_CHANGE="",IF(TITLE_NUMBER_PR="","",TITLE_NUMBER_PR),TITLE_NUMBER_PR_CHANGE)</f>
        <v>761-1/201-1</v>
      </c>
      <c r="FS35" s="4067"/>
      <c r="FT35" s="4067"/>
      <c r="FU35" s="4067"/>
      <c r="FV35" s="4067"/>
      <c r="FW35" s="4067"/>
      <c r="FX35" s="4067"/>
      <c r="FY35" s="1945"/>
      <c r="FZ35" s="4067" t="str">
        <f>IF(TITLE_NUMBER_PR_CHANGE="",IF(TITLE_NUMBER_PR="","",TITLE_NUMBER_PR),TITLE_NUMBER_PR_CHANGE)</f>
        <v>761-1/201-1</v>
      </c>
      <c r="GA35" s="4067"/>
      <c r="GB35" s="4067"/>
      <c r="GC35" s="4067"/>
      <c r="GD35" s="4067"/>
      <c r="GE35" s="4067"/>
      <c r="GF35" s="4067"/>
      <c r="GG35" s="1945"/>
      <c r="GH35" s="4067" t="str">
        <f>IF(TITLE_NUMBER_PR_CHANGE="",IF(TITLE_NUMBER_PR="","",TITLE_NUMBER_PR),TITLE_NUMBER_PR_CHANGE)</f>
        <v>761-1/201-1</v>
      </c>
      <c r="GI35" s="4067"/>
      <c r="GJ35" s="4067"/>
      <c r="GK35" s="4067"/>
      <c r="GL35" s="4067"/>
      <c r="GM35" s="4067"/>
      <c r="GN35" s="4067"/>
      <c r="GO35" s="1945"/>
      <c r="GP35" s="4067" t="str">
        <f>IF(TITLE_NUMBER_PR_CHANGE="",IF(TITLE_NUMBER_PR="","",TITLE_NUMBER_PR),TITLE_NUMBER_PR_CHANGE)</f>
        <v>761-1/201-1</v>
      </c>
      <c r="GQ35" s="4067"/>
      <c r="GR35" s="4067"/>
      <c r="GS35" s="4067"/>
      <c r="GT35" s="4067"/>
      <c r="GU35" s="4067"/>
      <c r="GV35" s="4067"/>
      <c r="GW35" s="1945"/>
      <c r="GX35" s="4067" t="str">
        <f>IF(TITLE_NUMBER_PR_CHANGE="",IF(TITLE_NUMBER_PR="","",TITLE_NUMBER_PR),TITLE_NUMBER_PR_CHANGE)</f>
        <v>761-1/201-1</v>
      </c>
      <c r="GY35" s="4067"/>
      <c r="GZ35" s="4067"/>
      <c r="HA35" s="4067"/>
      <c r="HB35" s="4067"/>
      <c r="HC35" s="4067"/>
      <c r="HD35" s="4067"/>
      <c r="HE35" s="1945"/>
      <c r="HF35" s="4067" t="str">
        <f>IF(TITLE_NUMBER_PR_CHANGE="",IF(TITLE_NUMBER_PR="","",TITLE_NUMBER_PR),TITLE_NUMBER_PR_CHANGE)</f>
        <v>761-1/201-1</v>
      </c>
      <c r="HG35" s="4067"/>
      <c r="HH35" s="4067"/>
      <c r="HI35" s="4067"/>
      <c r="HJ35" s="4067"/>
      <c r="HK35" s="4067"/>
      <c r="HL35" s="4067"/>
      <c r="HM35" s="1945"/>
      <c r="HN35" s="4067" t="str">
        <f>IF(TITLE_NUMBER_PR_CHANGE="",IF(TITLE_NUMBER_PR="","",TITLE_NUMBER_PR),TITLE_NUMBER_PR_CHANGE)</f>
        <v>761-1/201-1</v>
      </c>
      <c r="HO35" s="4067"/>
      <c r="HP35" s="4067"/>
      <c r="HQ35" s="4067"/>
      <c r="HR35" s="4067"/>
      <c r="HS35" s="4067"/>
      <c r="HT35" s="4067"/>
      <c r="HU35" s="1945"/>
      <c r="HV35" s="4067" t="str">
        <f>IF(TITLE_NUMBER_PR_CHANGE="",IF(TITLE_NUMBER_PR="","",TITLE_NUMBER_PR),TITLE_NUMBER_PR_CHANGE)</f>
        <v>761-1/201-1</v>
      </c>
      <c r="HW35" s="4067"/>
      <c r="HX35" s="4067"/>
      <c r="HY35" s="4067"/>
      <c r="HZ35" s="4067"/>
      <c r="IA35" s="4067"/>
      <c r="IB35" s="4067"/>
      <c r="IC35" s="1945"/>
      <c r="ID35" s="253"/>
      <c r="IE35" s="200"/>
      <c r="IF35" s="296"/>
      <c r="IG35" s="296"/>
      <c r="IH35" s="296"/>
      <c r="II35" s="296"/>
      <c r="IJ35" s="296"/>
    </row>
    <row r="36" spans="1:244" s="2564" customFormat="1" ht="0" hidden="1" customHeight="1">
      <c r="A36" s="1284"/>
      <c r="B36" s="1284"/>
      <c r="C36" s="1284"/>
      <c r="D36" s="1284"/>
      <c r="E36" s="1284"/>
      <c r="F36" s="1284"/>
      <c r="G36" s="1284"/>
      <c r="H36" s="1284"/>
      <c r="I36" s="1284"/>
      <c r="J36" s="1284"/>
      <c r="K36" s="1284"/>
      <c r="L36" s="1285"/>
      <c r="M36" s="1284"/>
      <c r="N36" s="1284"/>
      <c r="O36" s="1284"/>
      <c r="S36" s="249"/>
      <c r="T36" s="249"/>
      <c r="U36" s="1124"/>
      <c r="V36" s="253"/>
      <c r="W36" s="253"/>
      <c r="X36" s="253"/>
      <c r="Y36" s="253"/>
      <c r="Z36" s="253"/>
      <c r="AA36" s="253"/>
      <c r="AB36" s="253"/>
      <c r="AC36" s="198" t="s">
        <v>416</v>
      </c>
      <c r="AD36" s="253"/>
      <c r="AE36" s="253"/>
      <c r="AF36" s="253"/>
      <c r="AG36" s="253"/>
      <c r="AH36" s="253"/>
      <c r="AI36" s="253"/>
      <c r="AJ36" s="253"/>
      <c r="AK36" s="198" t="s">
        <v>416</v>
      </c>
      <c r="AL36" s="1945"/>
      <c r="AM36" s="1945"/>
      <c r="AN36" s="1945"/>
      <c r="AO36" s="1945"/>
      <c r="AP36" s="1945"/>
      <c r="AQ36" s="1945"/>
      <c r="AR36" s="1945"/>
      <c r="AS36" s="2566" t="s">
        <v>416</v>
      </c>
      <c r="AT36" s="1945"/>
      <c r="AU36" s="1945"/>
      <c r="AV36" s="1945"/>
      <c r="AW36" s="1945"/>
      <c r="AX36" s="1945"/>
      <c r="AY36" s="1945"/>
      <c r="AZ36" s="1945"/>
      <c r="BA36" s="2566" t="s">
        <v>416</v>
      </c>
      <c r="BB36" s="1945"/>
      <c r="BC36" s="1945"/>
      <c r="BD36" s="1945"/>
      <c r="BE36" s="1945"/>
      <c r="BF36" s="1945"/>
      <c r="BG36" s="1945"/>
      <c r="BH36" s="1945"/>
      <c r="BI36" s="2566" t="s">
        <v>416</v>
      </c>
      <c r="BJ36" s="1945"/>
      <c r="BK36" s="1945"/>
      <c r="BL36" s="1945"/>
      <c r="BM36" s="1945"/>
      <c r="BN36" s="1945"/>
      <c r="BO36" s="1945"/>
      <c r="BP36" s="1945"/>
      <c r="BQ36" s="2566" t="s">
        <v>416</v>
      </c>
      <c r="BR36" s="1945"/>
      <c r="BS36" s="1945"/>
      <c r="BT36" s="1945"/>
      <c r="BU36" s="1945"/>
      <c r="BV36" s="1945"/>
      <c r="BW36" s="1945"/>
      <c r="BX36" s="1945"/>
      <c r="BY36" s="2566" t="s">
        <v>416</v>
      </c>
      <c r="BZ36" s="1945"/>
      <c r="CA36" s="1945"/>
      <c r="CB36" s="1945"/>
      <c r="CC36" s="1945"/>
      <c r="CD36" s="1945"/>
      <c r="CE36" s="1945"/>
      <c r="CF36" s="1945"/>
      <c r="CG36" s="2566" t="s">
        <v>416</v>
      </c>
      <c r="CH36" s="1945"/>
      <c r="CI36" s="1945"/>
      <c r="CJ36" s="1945"/>
      <c r="CK36" s="1945"/>
      <c r="CL36" s="1945"/>
      <c r="CM36" s="1945"/>
      <c r="CN36" s="1945"/>
      <c r="CO36" s="2566" t="s">
        <v>416</v>
      </c>
      <c r="CP36" s="1945"/>
      <c r="CQ36" s="1945"/>
      <c r="CR36" s="1945"/>
      <c r="CS36" s="1945"/>
      <c r="CT36" s="1945"/>
      <c r="CU36" s="1945"/>
      <c r="CV36" s="1945"/>
      <c r="CW36" s="2566" t="s">
        <v>416</v>
      </c>
      <c r="CX36" s="1945"/>
      <c r="CY36" s="1945"/>
      <c r="CZ36" s="1945"/>
      <c r="DA36" s="1945"/>
      <c r="DB36" s="1945"/>
      <c r="DC36" s="1945"/>
      <c r="DD36" s="1945"/>
      <c r="DE36" s="2566" t="s">
        <v>416</v>
      </c>
      <c r="DF36" s="1945"/>
      <c r="DG36" s="1945"/>
      <c r="DH36" s="1945"/>
      <c r="DI36" s="1945"/>
      <c r="DJ36" s="1945"/>
      <c r="DK36" s="1945"/>
      <c r="DL36" s="1945"/>
      <c r="DM36" s="2566" t="s">
        <v>416</v>
      </c>
      <c r="DN36" s="1945"/>
      <c r="DO36" s="1945"/>
      <c r="DP36" s="1945"/>
      <c r="DQ36" s="1945"/>
      <c r="DR36" s="1945"/>
      <c r="DS36" s="1945"/>
      <c r="DT36" s="1945"/>
      <c r="DU36" s="2566" t="s">
        <v>416</v>
      </c>
      <c r="DV36" s="1945"/>
      <c r="DW36" s="1945"/>
      <c r="DX36" s="1945"/>
      <c r="DY36" s="1945"/>
      <c r="DZ36" s="1945"/>
      <c r="EA36" s="1945"/>
      <c r="EB36" s="1945"/>
      <c r="EC36" s="2566" t="s">
        <v>416</v>
      </c>
      <c r="ED36" s="1945"/>
      <c r="EE36" s="1945"/>
      <c r="EF36" s="1945"/>
      <c r="EG36" s="1945"/>
      <c r="EH36" s="1945"/>
      <c r="EI36" s="1945"/>
      <c r="EJ36" s="1945"/>
      <c r="EK36" s="2566" t="s">
        <v>416</v>
      </c>
      <c r="EL36" s="1945"/>
      <c r="EM36" s="1945"/>
      <c r="EN36" s="1945"/>
      <c r="EO36" s="1945"/>
      <c r="EP36" s="1945"/>
      <c r="EQ36" s="1945"/>
      <c r="ER36" s="1945"/>
      <c r="ES36" s="2566" t="s">
        <v>416</v>
      </c>
      <c r="ET36" s="1945"/>
      <c r="EU36" s="1945"/>
      <c r="EV36" s="1945"/>
      <c r="EW36" s="1945"/>
      <c r="EX36" s="1945"/>
      <c r="EY36" s="1945"/>
      <c r="EZ36" s="1945"/>
      <c r="FA36" s="2566" t="s">
        <v>416</v>
      </c>
      <c r="FB36" s="1945"/>
      <c r="FC36" s="1945"/>
      <c r="FD36" s="1945"/>
      <c r="FE36" s="1945"/>
      <c r="FF36" s="1945"/>
      <c r="FG36" s="1945"/>
      <c r="FH36" s="1945"/>
      <c r="FI36" s="2566" t="s">
        <v>416</v>
      </c>
      <c r="FJ36" s="1945"/>
      <c r="FK36" s="1945"/>
      <c r="FL36" s="1945"/>
      <c r="FM36" s="1945"/>
      <c r="FN36" s="1945"/>
      <c r="FO36" s="1945"/>
      <c r="FP36" s="1945"/>
      <c r="FQ36" s="2566" t="s">
        <v>416</v>
      </c>
      <c r="FR36" s="1945"/>
      <c r="FS36" s="1945"/>
      <c r="FT36" s="1945"/>
      <c r="FU36" s="1945"/>
      <c r="FV36" s="1945"/>
      <c r="FW36" s="1945"/>
      <c r="FX36" s="1945"/>
      <c r="FY36" s="2566" t="s">
        <v>416</v>
      </c>
      <c r="FZ36" s="1945"/>
      <c r="GA36" s="1945"/>
      <c r="GB36" s="1945"/>
      <c r="GC36" s="1945"/>
      <c r="GD36" s="1945"/>
      <c r="GE36" s="1945"/>
      <c r="GF36" s="1945"/>
      <c r="GG36" s="2566" t="s">
        <v>416</v>
      </c>
      <c r="GH36" s="1945"/>
      <c r="GI36" s="1945"/>
      <c r="GJ36" s="1945"/>
      <c r="GK36" s="1945"/>
      <c r="GL36" s="1945"/>
      <c r="GM36" s="1945"/>
      <c r="GN36" s="1945"/>
      <c r="GO36" s="2566" t="s">
        <v>416</v>
      </c>
      <c r="GP36" s="1945"/>
      <c r="GQ36" s="1945"/>
      <c r="GR36" s="1945"/>
      <c r="GS36" s="1945"/>
      <c r="GT36" s="1945"/>
      <c r="GU36" s="1945"/>
      <c r="GV36" s="1945"/>
      <c r="GW36" s="2566" t="s">
        <v>416</v>
      </c>
      <c r="GX36" s="1945"/>
      <c r="GY36" s="1945"/>
      <c r="GZ36" s="1945"/>
      <c r="HA36" s="1945"/>
      <c r="HB36" s="1945"/>
      <c r="HC36" s="1945"/>
      <c r="HD36" s="1945"/>
      <c r="HE36" s="2566" t="s">
        <v>416</v>
      </c>
      <c r="HF36" s="1945"/>
      <c r="HG36" s="1945"/>
      <c r="HH36" s="1945"/>
      <c r="HI36" s="1945"/>
      <c r="HJ36" s="1945"/>
      <c r="HK36" s="1945"/>
      <c r="HL36" s="1945"/>
      <c r="HM36" s="2566" t="s">
        <v>416</v>
      </c>
      <c r="HN36" s="1945"/>
      <c r="HO36" s="1945"/>
      <c r="HP36" s="1945"/>
      <c r="HQ36" s="1945"/>
      <c r="HR36" s="1945"/>
      <c r="HS36" s="1945"/>
      <c r="HT36" s="1945"/>
      <c r="HU36" s="2566" t="s">
        <v>416</v>
      </c>
      <c r="HV36" s="1945"/>
      <c r="HW36" s="1945"/>
      <c r="HX36" s="1945"/>
      <c r="HY36" s="1945"/>
      <c r="HZ36" s="1945"/>
      <c r="IA36" s="1945"/>
      <c r="IB36" s="1945"/>
      <c r="IC36" s="2566" t="s">
        <v>416</v>
      </c>
      <c r="IF36" s="296"/>
      <c r="IG36" s="296"/>
      <c r="IH36" s="296"/>
      <c r="II36" s="296"/>
      <c r="IJ36" s="296"/>
    </row>
    <row r="37" spans="1:244" ht="14.25" customHeight="1">
      <c r="Q37" s="305"/>
      <c r="R37" s="305"/>
      <c r="S37" s="1195"/>
      <c r="T37" s="290"/>
      <c r="U37" s="1153"/>
      <c r="V37" s="4068"/>
      <c r="W37" s="4068"/>
      <c r="X37" s="4068"/>
      <c r="Y37" s="4068"/>
      <c r="Z37" s="4068"/>
      <c r="AA37" s="4068"/>
      <c r="AB37" s="4068"/>
      <c r="AC37" s="4068"/>
      <c r="AD37" s="4068"/>
      <c r="AE37" s="4068"/>
      <c r="AF37" s="4068"/>
      <c r="AG37" s="4068"/>
      <c r="AH37" s="4068"/>
      <c r="AI37" s="4068"/>
      <c r="AJ37" s="4068"/>
      <c r="AK37" s="4068"/>
      <c r="AL37" s="4068" t="s">
        <v>417</v>
      </c>
      <c r="AM37" s="4068"/>
      <c r="AN37" s="4068"/>
      <c r="AO37" s="4068"/>
      <c r="AP37" s="4068"/>
      <c r="AQ37" s="4068"/>
      <c r="AR37" s="4068"/>
      <c r="AS37" s="4068"/>
      <c r="AT37" s="4068" t="s">
        <v>417</v>
      </c>
      <c r="AU37" s="4068"/>
      <c r="AV37" s="4068"/>
      <c r="AW37" s="4068"/>
      <c r="AX37" s="4068"/>
      <c r="AY37" s="4068"/>
      <c r="AZ37" s="4068"/>
      <c r="BA37" s="4068"/>
      <c r="BB37" s="4068" t="s">
        <v>417</v>
      </c>
      <c r="BC37" s="4068"/>
      <c r="BD37" s="4068"/>
      <c r="BE37" s="4068"/>
      <c r="BF37" s="4068"/>
      <c r="BG37" s="4068"/>
      <c r="BH37" s="4068"/>
      <c r="BI37" s="4068"/>
      <c r="BJ37" s="4068" t="s">
        <v>417</v>
      </c>
      <c r="BK37" s="4068"/>
      <c r="BL37" s="4068"/>
      <c r="BM37" s="4068"/>
      <c r="BN37" s="4068"/>
      <c r="BO37" s="4068"/>
      <c r="BP37" s="4068"/>
      <c r="BQ37" s="4068"/>
      <c r="BR37" s="4068" t="s">
        <v>417</v>
      </c>
      <c r="BS37" s="4068"/>
      <c r="BT37" s="4068"/>
      <c r="BU37" s="4068"/>
      <c r="BV37" s="4068"/>
      <c r="BW37" s="4068"/>
      <c r="BX37" s="4068"/>
      <c r="BY37" s="4068"/>
      <c r="BZ37" s="4068" t="s">
        <v>417</v>
      </c>
      <c r="CA37" s="4068"/>
      <c r="CB37" s="4068"/>
      <c r="CC37" s="4068"/>
      <c r="CD37" s="4068"/>
      <c r="CE37" s="4068"/>
      <c r="CF37" s="4068"/>
      <c r="CG37" s="4068"/>
      <c r="CH37" s="4068" t="s">
        <v>417</v>
      </c>
      <c r="CI37" s="4068"/>
      <c r="CJ37" s="4068"/>
      <c r="CK37" s="4068"/>
      <c r="CL37" s="4068"/>
      <c r="CM37" s="4068"/>
      <c r="CN37" s="4068"/>
      <c r="CO37" s="4068"/>
      <c r="CP37" s="4068" t="s">
        <v>417</v>
      </c>
      <c r="CQ37" s="4068"/>
      <c r="CR37" s="4068"/>
      <c r="CS37" s="4068"/>
      <c r="CT37" s="4068"/>
      <c r="CU37" s="4068"/>
      <c r="CV37" s="4068"/>
      <c r="CW37" s="4068"/>
      <c r="CX37" s="4068" t="s">
        <v>417</v>
      </c>
      <c r="CY37" s="4068"/>
      <c r="CZ37" s="4068"/>
      <c r="DA37" s="4068"/>
      <c r="DB37" s="4068"/>
      <c r="DC37" s="4068"/>
      <c r="DD37" s="4068"/>
      <c r="DE37" s="4068"/>
      <c r="DF37" s="4068" t="s">
        <v>417</v>
      </c>
      <c r="DG37" s="4068"/>
      <c r="DH37" s="4068"/>
      <c r="DI37" s="4068"/>
      <c r="DJ37" s="4068"/>
      <c r="DK37" s="4068"/>
      <c r="DL37" s="4068"/>
      <c r="DM37" s="4068"/>
      <c r="DN37" s="4068" t="s">
        <v>417</v>
      </c>
      <c r="DO37" s="4068"/>
      <c r="DP37" s="4068"/>
      <c r="DQ37" s="4068"/>
      <c r="DR37" s="4068"/>
      <c r="DS37" s="4068"/>
      <c r="DT37" s="4068"/>
      <c r="DU37" s="4068"/>
      <c r="DV37" s="4068" t="s">
        <v>417</v>
      </c>
      <c r="DW37" s="4068"/>
      <c r="DX37" s="4068"/>
      <c r="DY37" s="4068"/>
      <c r="DZ37" s="4068"/>
      <c r="EA37" s="4068"/>
      <c r="EB37" s="4068"/>
      <c r="EC37" s="4068"/>
      <c r="ED37" s="4068" t="s">
        <v>417</v>
      </c>
      <c r="EE37" s="4068"/>
      <c r="EF37" s="4068"/>
      <c r="EG37" s="4068"/>
      <c r="EH37" s="4068"/>
      <c r="EI37" s="4068"/>
      <c r="EJ37" s="4068"/>
      <c r="EK37" s="4068"/>
      <c r="EL37" s="4068" t="s">
        <v>417</v>
      </c>
      <c r="EM37" s="4068"/>
      <c r="EN37" s="4068"/>
      <c r="EO37" s="4068"/>
      <c r="EP37" s="4068"/>
      <c r="EQ37" s="4068"/>
      <c r="ER37" s="4068"/>
      <c r="ES37" s="4068"/>
      <c r="ET37" s="4068" t="s">
        <v>417</v>
      </c>
      <c r="EU37" s="4068"/>
      <c r="EV37" s="4068"/>
      <c r="EW37" s="4068"/>
      <c r="EX37" s="4068"/>
      <c r="EY37" s="4068"/>
      <c r="EZ37" s="4068"/>
      <c r="FA37" s="4068"/>
      <c r="FB37" s="4068" t="s">
        <v>417</v>
      </c>
      <c r="FC37" s="4068"/>
      <c r="FD37" s="4068"/>
      <c r="FE37" s="4068"/>
      <c r="FF37" s="4068"/>
      <c r="FG37" s="4068"/>
      <c r="FH37" s="4068"/>
      <c r="FI37" s="4068"/>
      <c r="FJ37" s="4068" t="s">
        <v>417</v>
      </c>
      <c r="FK37" s="4068"/>
      <c r="FL37" s="4068"/>
      <c r="FM37" s="4068"/>
      <c r="FN37" s="4068"/>
      <c r="FO37" s="4068"/>
      <c r="FP37" s="4068"/>
      <c r="FQ37" s="4068"/>
      <c r="FR37" s="4068" t="s">
        <v>417</v>
      </c>
      <c r="FS37" s="4068"/>
      <c r="FT37" s="4068"/>
      <c r="FU37" s="4068"/>
      <c r="FV37" s="4068"/>
      <c r="FW37" s="4068"/>
      <c r="FX37" s="4068"/>
      <c r="FY37" s="4068"/>
      <c r="FZ37" s="4068" t="s">
        <v>417</v>
      </c>
      <c r="GA37" s="4068"/>
      <c r="GB37" s="4068"/>
      <c r="GC37" s="4068"/>
      <c r="GD37" s="4068"/>
      <c r="GE37" s="4068"/>
      <c r="GF37" s="4068"/>
      <c r="GG37" s="4068"/>
      <c r="GH37" s="4068" t="s">
        <v>417</v>
      </c>
      <c r="GI37" s="4068"/>
      <c r="GJ37" s="4068"/>
      <c r="GK37" s="4068"/>
      <c r="GL37" s="4068"/>
      <c r="GM37" s="4068"/>
      <c r="GN37" s="4068"/>
      <c r="GO37" s="4068"/>
      <c r="GP37" s="4068" t="s">
        <v>417</v>
      </c>
      <c r="GQ37" s="4068"/>
      <c r="GR37" s="4068"/>
      <c r="GS37" s="4068"/>
      <c r="GT37" s="4068"/>
      <c r="GU37" s="4068"/>
      <c r="GV37" s="4068"/>
      <c r="GW37" s="4068"/>
      <c r="GX37" s="4068" t="s">
        <v>417</v>
      </c>
      <c r="GY37" s="4068"/>
      <c r="GZ37" s="4068"/>
      <c r="HA37" s="4068"/>
      <c r="HB37" s="4068"/>
      <c r="HC37" s="4068"/>
      <c r="HD37" s="4068"/>
      <c r="HE37" s="4068"/>
      <c r="HF37" s="4068" t="s">
        <v>417</v>
      </c>
      <c r="HG37" s="4068"/>
      <c r="HH37" s="4068"/>
      <c r="HI37" s="4068"/>
      <c r="HJ37" s="4068"/>
      <c r="HK37" s="4068"/>
      <c r="HL37" s="4068"/>
      <c r="HM37" s="4068"/>
      <c r="HN37" s="4068" t="s">
        <v>417</v>
      </c>
      <c r="HO37" s="4068"/>
      <c r="HP37" s="4068"/>
      <c r="HQ37" s="4068"/>
      <c r="HR37" s="4068"/>
      <c r="HS37" s="4068"/>
      <c r="HT37" s="4068"/>
      <c r="HU37" s="4068"/>
      <c r="HV37" s="4068" t="s">
        <v>417</v>
      </c>
      <c r="HW37" s="4068"/>
      <c r="HX37" s="4068"/>
      <c r="HY37" s="4068"/>
      <c r="HZ37" s="4068"/>
      <c r="IA37" s="4068"/>
      <c r="IB37" s="4068"/>
      <c r="IC37" s="4068"/>
    </row>
    <row r="38" spans="1:244" ht="14.25" customHeight="1">
      <c r="Q38" s="305"/>
      <c r="R38" s="305"/>
      <c r="S38" s="3946" t="s">
        <v>290</v>
      </c>
      <c r="T38" s="3946"/>
      <c r="U38" s="3946"/>
      <c r="V38" s="3946"/>
      <c r="W38" s="3946"/>
      <c r="X38" s="3946"/>
      <c r="Y38" s="3946"/>
      <c r="Z38" s="3946"/>
      <c r="AA38" s="3946"/>
      <c r="AB38" s="3946"/>
      <c r="AC38" s="3946"/>
      <c r="AD38" s="3946"/>
      <c r="AE38" s="3946"/>
      <c r="AF38" s="3946"/>
      <c r="AG38" s="3946"/>
      <c r="AH38" s="3946"/>
      <c r="AI38" s="3946"/>
      <c r="AJ38" s="3946"/>
      <c r="AK38" s="3946"/>
      <c r="AL38" s="3946" t="s">
        <v>290</v>
      </c>
      <c r="AM38" s="3946"/>
      <c r="AN38" s="3946"/>
      <c r="AO38" s="3946"/>
      <c r="AP38" s="3946"/>
      <c r="AQ38" s="3946"/>
      <c r="AR38" s="3946"/>
      <c r="AS38" s="3946"/>
      <c r="AT38" s="3946" t="s">
        <v>290</v>
      </c>
      <c r="AU38" s="3946"/>
      <c r="AV38" s="3946"/>
      <c r="AW38" s="3946"/>
      <c r="AX38" s="3946"/>
      <c r="AY38" s="3946"/>
      <c r="AZ38" s="3946"/>
      <c r="BA38" s="3946"/>
      <c r="BB38" s="3946" t="s">
        <v>290</v>
      </c>
      <c r="BC38" s="3946"/>
      <c r="BD38" s="3946"/>
      <c r="BE38" s="3946"/>
      <c r="BF38" s="3946"/>
      <c r="BG38" s="3946"/>
      <c r="BH38" s="3946"/>
      <c r="BI38" s="3946"/>
      <c r="BJ38" s="3946" t="s">
        <v>290</v>
      </c>
      <c r="BK38" s="3946"/>
      <c r="BL38" s="3946"/>
      <c r="BM38" s="3946"/>
      <c r="BN38" s="3946"/>
      <c r="BO38" s="3946"/>
      <c r="BP38" s="3946"/>
      <c r="BQ38" s="3946"/>
      <c r="BR38" s="3946" t="s">
        <v>290</v>
      </c>
      <c r="BS38" s="3946"/>
      <c r="BT38" s="3946"/>
      <c r="BU38" s="3946"/>
      <c r="BV38" s="3946"/>
      <c r="BW38" s="3946"/>
      <c r="BX38" s="3946"/>
      <c r="BY38" s="3946"/>
      <c r="BZ38" s="3946" t="s">
        <v>290</v>
      </c>
      <c r="CA38" s="3946"/>
      <c r="CB38" s="3946"/>
      <c r="CC38" s="3946"/>
      <c r="CD38" s="3946"/>
      <c r="CE38" s="3946"/>
      <c r="CF38" s="3946"/>
      <c r="CG38" s="3946"/>
      <c r="CH38" s="3946" t="s">
        <v>290</v>
      </c>
      <c r="CI38" s="3946"/>
      <c r="CJ38" s="3946"/>
      <c r="CK38" s="3946"/>
      <c r="CL38" s="3946"/>
      <c r="CM38" s="3946"/>
      <c r="CN38" s="3946"/>
      <c r="CO38" s="3946"/>
      <c r="CP38" s="3946" t="s">
        <v>290</v>
      </c>
      <c r="CQ38" s="3946"/>
      <c r="CR38" s="3946"/>
      <c r="CS38" s="3946"/>
      <c r="CT38" s="3946"/>
      <c r="CU38" s="3946"/>
      <c r="CV38" s="3946"/>
      <c r="CW38" s="3946"/>
      <c r="CX38" s="3946" t="s">
        <v>290</v>
      </c>
      <c r="CY38" s="3946"/>
      <c r="CZ38" s="3946"/>
      <c r="DA38" s="3946"/>
      <c r="DB38" s="3946"/>
      <c r="DC38" s="3946"/>
      <c r="DD38" s="3946"/>
      <c r="DE38" s="3946"/>
      <c r="DF38" s="3946" t="s">
        <v>290</v>
      </c>
      <c r="DG38" s="3946"/>
      <c r="DH38" s="3946"/>
      <c r="DI38" s="3946"/>
      <c r="DJ38" s="3946"/>
      <c r="DK38" s="3946"/>
      <c r="DL38" s="3946"/>
      <c r="DM38" s="3946"/>
      <c r="DN38" s="3946" t="s">
        <v>290</v>
      </c>
      <c r="DO38" s="3946"/>
      <c r="DP38" s="3946"/>
      <c r="DQ38" s="3946"/>
      <c r="DR38" s="3946"/>
      <c r="DS38" s="3946"/>
      <c r="DT38" s="3946"/>
      <c r="DU38" s="3946"/>
      <c r="DV38" s="3946" t="s">
        <v>290</v>
      </c>
      <c r="DW38" s="3946"/>
      <c r="DX38" s="3946"/>
      <c r="DY38" s="3946"/>
      <c r="DZ38" s="3946"/>
      <c r="EA38" s="3946"/>
      <c r="EB38" s="3946"/>
      <c r="EC38" s="3946"/>
      <c r="ED38" s="3946" t="s">
        <v>290</v>
      </c>
      <c r="EE38" s="3946"/>
      <c r="EF38" s="3946"/>
      <c r="EG38" s="3946"/>
      <c r="EH38" s="3946"/>
      <c r="EI38" s="3946"/>
      <c r="EJ38" s="3946"/>
      <c r="EK38" s="3946"/>
      <c r="EL38" s="3946" t="s">
        <v>290</v>
      </c>
      <c r="EM38" s="3946"/>
      <c r="EN38" s="3946"/>
      <c r="EO38" s="3946"/>
      <c r="EP38" s="3946"/>
      <c r="EQ38" s="3946"/>
      <c r="ER38" s="3946"/>
      <c r="ES38" s="3946"/>
      <c r="ET38" s="3946" t="s">
        <v>290</v>
      </c>
      <c r="EU38" s="3946"/>
      <c r="EV38" s="3946"/>
      <c r="EW38" s="3946"/>
      <c r="EX38" s="3946"/>
      <c r="EY38" s="3946"/>
      <c r="EZ38" s="3946"/>
      <c r="FA38" s="3946"/>
      <c r="FB38" s="3946" t="s">
        <v>290</v>
      </c>
      <c r="FC38" s="3946"/>
      <c r="FD38" s="3946"/>
      <c r="FE38" s="3946"/>
      <c r="FF38" s="3946"/>
      <c r="FG38" s="3946"/>
      <c r="FH38" s="3946"/>
      <c r="FI38" s="3946"/>
      <c r="FJ38" s="3946" t="s">
        <v>290</v>
      </c>
      <c r="FK38" s="3946"/>
      <c r="FL38" s="3946"/>
      <c r="FM38" s="3946"/>
      <c r="FN38" s="3946"/>
      <c r="FO38" s="3946"/>
      <c r="FP38" s="3946"/>
      <c r="FQ38" s="3946"/>
      <c r="FR38" s="3946" t="s">
        <v>290</v>
      </c>
      <c r="FS38" s="3946"/>
      <c r="FT38" s="3946"/>
      <c r="FU38" s="3946"/>
      <c r="FV38" s="3946"/>
      <c r="FW38" s="3946"/>
      <c r="FX38" s="3946"/>
      <c r="FY38" s="3946"/>
      <c r="FZ38" s="3946" t="s">
        <v>290</v>
      </c>
      <c r="GA38" s="3946"/>
      <c r="GB38" s="3946"/>
      <c r="GC38" s="3946"/>
      <c r="GD38" s="3946"/>
      <c r="GE38" s="3946"/>
      <c r="GF38" s="3946"/>
      <c r="GG38" s="3946"/>
      <c r="GH38" s="3946" t="s">
        <v>290</v>
      </c>
      <c r="GI38" s="3946"/>
      <c r="GJ38" s="3946"/>
      <c r="GK38" s="3946"/>
      <c r="GL38" s="3946"/>
      <c r="GM38" s="3946"/>
      <c r="GN38" s="3946"/>
      <c r="GO38" s="3946"/>
      <c r="GP38" s="3946" t="s">
        <v>290</v>
      </c>
      <c r="GQ38" s="3946"/>
      <c r="GR38" s="3946"/>
      <c r="GS38" s="3946"/>
      <c r="GT38" s="3946"/>
      <c r="GU38" s="3946"/>
      <c r="GV38" s="3946"/>
      <c r="GW38" s="3946"/>
      <c r="GX38" s="3946" t="s">
        <v>290</v>
      </c>
      <c r="GY38" s="3946"/>
      <c r="GZ38" s="3946"/>
      <c r="HA38" s="3946"/>
      <c r="HB38" s="3946"/>
      <c r="HC38" s="3946"/>
      <c r="HD38" s="3946"/>
      <c r="HE38" s="3946"/>
      <c r="HF38" s="3946" t="s">
        <v>290</v>
      </c>
      <c r="HG38" s="3946"/>
      <c r="HH38" s="3946"/>
      <c r="HI38" s="3946"/>
      <c r="HJ38" s="3946"/>
      <c r="HK38" s="3946"/>
      <c r="HL38" s="3946"/>
      <c r="HM38" s="3946"/>
      <c r="HN38" s="3946" t="s">
        <v>290</v>
      </c>
      <c r="HO38" s="3946"/>
      <c r="HP38" s="3946"/>
      <c r="HQ38" s="3946"/>
      <c r="HR38" s="3946"/>
      <c r="HS38" s="3946"/>
      <c r="HT38" s="3946"/>
      <c r="HU38" s="3946"/>
      <c r="HV38" s="3946" t="s">
        <v>290</v>
      </c>
      <c r="HW38" s="3946"/>
      <c r="HX38" s="3946"/>
      <c r="HY38" s="3946"/>
      <c r="HZ38" s="3946"/>
      <c r="IA38" s="3946"/>
      <c r="IB38" s="3946"/>
      <c r="IC38" s="3946"/>
      <c r="ID38" s="3946"/>
      <c r="IE38" s="3946"/>
    </row>
    <row r="39" spans="1:244" ht="14.25" customHeight="1">
      <c r="Q39" s="305"/>
      <c r="R39" s="305"/>
      <c r="S39" s="4082" t="s">
        <v>86</v>
      </c>
      <c r="T39" s="4033" t="s">
        <v>418</v>
      </c>
      <c r="U39" s="220"/>
      <c r="V39" s="4083" t="s">
        <v>419</v>
      </c>
      <c r="W39" s="4084"/>
      <c r="X39" s="4084"/>
      <c r="Y39" s="4084"/>
      <c r="Z39" s="4084"/>
      <c r="AA39" s="4084"/>
      <c r="AB39" s="4085"/>
      <c r="AC39" s="4086" t="s">
        <v>420</v>
      </c>
      <c r="AD39" s="4083" t="s">
        <v>419</v>
      </c>
      <c r="AE39" s="4084"/>
      <c r="AF39" s="4084"/>
      <c r="AG39" s="4084"/>
      <c r="AH39" s="4084"/>
      <c r="AI39" s="4084"/>
      <c r="AJ39" s="4085"/>
      <c r="AK39" s="4086" t="s">
        <v>421</v>
      </c>
      <c r="AL39" s="4083" t="s">
        <v>419</v>
      </c>
      <c r="AM39" s="4084"/>
      <c r="AN39" s="4084"/>
      <c r="AO39" s="4084"/>
      <c r="AP39" s="4084"/>
      <c r="AQ39" s="4084"/>
      <c r="AR39" s="4085"/>
      <c r="AS39" s="4086" t="s">
        <v>420</v>
      </c>
      <c r="AT39" s="4083" t="s">
        <v>419</v>
      </c>
      <c r="AU39" s="4084"/>
      <c r="AV39" s="4084"/>
      <c r="AW39" s="4084"/>
      <c r="AX39" s="4084"/>
      <c r="AY39" s="4084"/>
      <c r="AZ39" s="4085"/>
      <c r="BA39" s="4086" t="s">
        <v>420</v>
      </c>
      <c r="BB39" s="4083" t="s">
        <v>419</v>
      </c>
      <c r="BC39" s="4084"/>
      <c r="BD39" s="4084"/>
      <c r="BE39" s="4084"/>
      <c r="BF39" s="4084"/>
      <c r="BG39" s="4084"/>
      <c r="BH39" s="4085"/>
      <c r="BI39" s="4086" t="s">
        <v>420</v>
      </c>
      <c r="BJ39" s="4083" t="s">
        <v>419</v>
      </c>
      <c r="BK39" s="4084"/>
      <c r="BL39" s="4084"/>
      <c r="BM39" s="4084"/>
      <c r="BN39" s="4084"/>
      <c r="BO39" s="4084"/>
      <c r="BP39" s="4085"/>
      <c r="BQ39" s="4086" t="s">
        <v>420</v>
      </c>
      <c r="BR39" s="4083" t="s">
        <v>419</v>
      </c>
      <c r="BS39" s="4084"/>
      <c r="BT39" s="4084"/>
      <c r="BU39" s="4084"/>
      <c r="BV39" s="4084"/>
      <c r="BW39" s="4084"/>
      <c r="BX39" s="4085"/>
      <c r="BY39" s="4086" t="s">
        <v>420</v>
      </c>
      <c r="BZ39" s="4083" t="s">
        <v>419</v>
      </c>
      <c r="CA39" s="4084"/>
      <c r="CB39" s="4084"/>
      <c r="CC39" s="4084"/>
      <c r="CD39" s="4084"/>
      <c r="CE39" s="4084"/>
      <c r="CF39" s="4085"/>
      <c r="CG39" s="4086" t="s">
        <v>420</v>
      </c>
      <c r="CH39" s="4083" t="s">
        <v>419</v>
      </c>
      <c r="CI39" s="4084"/>
      <c r="CJ39" s="4084"/>
      <c r="CK39" s="4084"/>
      <c r="CL39" s="4084"/>
      <c r="CM39" s="4084"/>
      <c r="CN39" s="4085"/>
      <c r="CO39" s="4086" t="s">
        <v>420</v>
      </c>
      <c r="CP39" s="4083" t="s">
        <v>419</v>
      </c>
      <c r="CQ39" s="4084"/>
      <c r="CR39" s="4084"/>
      <c r="CS39" s="4084"/>
      <c r="CT39" s="4084"/>
      <c r="CU39" s="4084"/>
      <c r="CV39" s="4085"/>
      <c r="CW39" s="4086" t="s">
        <v>420</v>
      </c>
      <c r="CX39" s="4083" t="s">
        <v>419</v>
      </c>
      <c r="CY39" s="4084"/>
      <c r="CZ39" s="4084"/>
      <c r="DA39" s="4084"/>
      <c r="DB39" s="4084"/>
      <c r="DC39" s="4084"/>
      <c r="DD39" s="4085"/>
      <c r="DE39" s="4086" t="s">
        <v>420</v>
      </c>
      <c r="DF39" s="4083" t="s">
        <v>419</v>
      </c>
      <c r="DG39" s="4084"/>
      <c r="DH39" s="4084"/>
      <c r="DI39" s="4084"/>
      <c r="DJ39" s="4084"/>
      <c r="DK39" s="4084"/>
      <c r="DL39" s="4085"/>
      <c r="DM39" s="4086" t="s">
        <v>420</v>
      </c>
      <c r="DN39" s="4083" t="s">
        <v>419</v>
      </c>
      <c r="DO39" s="4084"/>
      <c r="DP39" s="4084"/>
      <c r="DQ39" s="4084"/>
      <c r="DR39" s="4084"/>
      <c r="DS39" s="4084"/>
      <c r="DT39" s="4085"/>
      <c r="DU39" s="4086" t="s">
        <v>420</v>
      </c>
      <c r="DV39" s="4083" t="s">
        <v>419</v>
      </c>
      <c r="DW39" s="4084"/>
      <c r="DX39" s="4084"/>
      <c r="DY39" s="4084"/>
      <c r="DZ39" s="4084"/>
      <c r="EA39" s="4084"/>
      <c r="EB39" s="4085"/>
      <c r="EC39" s="4086" t="s">
        <v>420</v>
      </c>
      <c r="ED39" s="4083" t="s">
        <v>419</v>
      </c>
      <c r="EE39" s="4084"/>
      <c r="EF39" s="4084"/>
      <c r="EG39" s="4084"/>
      <c r="EH39" s="4084"/>
      <c r="EI39" s="4084"/>
      <c r="EJ39" s="4085"/>
      <c r="EK39" s="4086" t="s">
        <v>420</v>
      </c>
      <c r="EL39" s="4083" t="s">
        <v>419</v>
      </c>
      <c r="EM39" s="4084"/>
      <c r="EN39" s="4084"/>
      <c r="EO39" s="4084"/>
      <c r="EP39" s="4084"/>
      <c r="EQ39" s="4084"/>
      <c r="ER39" s="4085"/>
      <c r="ES39" s="4086" t="s">
        <v>420</v>
      </c>
      <c r="ET39" s="4083" t="s">
        <v>419</v>
      </c>
      <c r="EU39" s="4084"/>
      <c r="EV39" s="4084"/>
      <c r="EW39" s="4084"/>
      <c r="EX39" s="4084"/>
      <c r="EY39" s="4084"/>
      <c r="EZ39" s="4085"/>
      <c r="FA39" s="4086" t="s">
        <v>420</v>
      </c>
      <c r="FB39" s="4083" t="s">
        <v>419</v>
      </c>
      <c r="FC39" s="4084"/>
      <c r="FD39" s="4084"/>
      <c r="FE39" s="4084"/>
      <c r="FF39" s="4084"/>
      <c r="FG39" s="4084"/>
      <c r="FH39" s="4085"/>
      <c r="FI39" s="4086" t="s">
        <v>420</v>
      </c>
      <c r="FJ39" s="4083" t="s">
        <v>419</v>
      </c>
      <c r="FK39" s="4084"/>
      <c r="FL39" s="4084"/>
      <c r="FM39" s="4084"/>
      <c r="FN39" s="4084"/>
      <c r="FO39" s="4084"/>
      <c r="FP39" s="4085"/>
      <c r="FQ39" s="4086" t="s">
        <v>420</v>
      </c>
      <c r="FR39" s="4083" t="s">
        <v>419</v>
      </c>
      <c r="FS39" s="4084"/>
      <c r="FT39" s="4084"/>
      <c r="FU39" s="4084"/>
      <c r="FV39" s="4084"/>
      <c r="FW39" s="4084"/>
      <c r="FX39" s="4085"/>
      <c r="FY39" s="4086" t="s">
        <v>420</v>
      </c>
      <c r="FZ39" s="4083" t="s">
        <v>419</v>
      </c>
      <c r="GA39" s="4084"/>
      <c r="GB39" s="4084"/>
      <c r="GC39" s="4084"/>
      <c r="GD39" s="4084"/>
      <c r="GE39" s="4084"/>
      <c r="GF39" s="4085"/>
      <c r="GG39" s="4086" t="s">
        <v>420</v>
      </c>
      <c r="GH39" s="4083" t="s">
        <v>419</v>
      </c>
      <c r="GI39" s="4084"/>
      <c r="GJ39" s="4084"/>
      <c r="GK39" s="4084"/>
      <c r="GL39" s="4084"/>
      <c r="GM39" s="4084"/>
      <c r="GN39" s="4085"/>
      <c r="GO39" s="4086" t="s">
        <v>420</v>
      </c>
      <c r="GP39" s="4083" t="s">
        <v>419</v>
      </c>
      <c r="GQ39" s="4084"/>
      <c r="GR39" s="4084"/>
      <c r="GS39" s="4084"/>
      <c r="GT39" s="4084"/>
      <c r="GU39" s="4084"/>
      <c r="GV39" s="4085"/>
      <c r="GW39" s="4086" t="s">
        <v>420</v>
      </c>
      <c r="GX39" s="4083" t="s">
        <v>419</v>
      </c>
      <c r="GY39" s="4084"/>
      <c r="GZ39" s="4084"/>
      <c r="HA39" s="4084"/>
      <c r="HB39" s="4084"/>
      <c r="HC39" s="4084"/>
      <c r="HD39" s="4085"/>
      <c r="HE39" s="4086" t="s">
        <v>420</v>
      </c>
      <c r="HF39" s="4083" t="s">
        <v>419</v>
      </c>
      <c r="HG39" s="4084"/>
      <c r="HH39" s="4084"/>
      <c r="HI39" s="4084"/>
      <c r="HJ39" s="4084"/>
      <c r="HK39" s="4084"/>
      <c r="HL39" s="4085"/>
      <c r="HM39" s="4086" t="s">
        <v>420</v>
      </c>
      <c r="HN39" s="4083" t="s">
        <v>419</v>
      </c>
      <c r="HO39" s="4084"/>
      <c r="HP39" s="4084"/>
      <c r="HQ39" s="4084"/>
      <c r="HR39" s="4084"/>
      <c r="HS39" s="4084"/>
      <c r="HT39" s="4085"/>
      <c r="HU39" s="4086" t="s">
        <v>420</v>
      </c>
      <c r="HV39" s="4083" t="s">
        <v>419</v>
      </c>
      <c r="HW39" s="4084"/>
      <c r="HX39" s="4084"/>
      <c r="HY39" s="4084"/>
      <c r="HZ39" s="4084"/>
      <c r="IA39" s="4084"/>
      <c r="IB39" s="4085"/>
      <c r="IC39" s="4086" t="s">
        <v>420</v>
      </c>
      <c r="ID39" s="4089" t="s">
        <v>422</v>
      </c>
      <c r="IE39" s="3946"/>
    </row>
    <row r="40" spans="1:244" ht="33.75" customHeight="1">
      <c r="Q40" s="305"/>
      <c r="R40" s="305"/>
      <c r="S40" s="4082"/>
      <c r="T40" s="4033"/>
      <c r="U40" s="938"/>
      <c r="V40" s="4003" t="s">
        <v>423</v>
      </c>
      <c r="W40" s="4092" t="s">
        <v>424</v>
      </c>
      <c r="X40" s="3918" t="s">
        <v>425</v>
      </c>
      <c r="Y40" s="3917"/>
      <c r="Z40" s="3918" t="s">
        <v>426</v>
      </c>
      <c r="AA40" s="3923"/>
      <c r="AB40" s="3917"/>
      <c r="AC40" s="4087"/>
      <c r="AD40" s="4003" t="s">
        <v>423</v>
      </c>
      <c r="AE40" s="4092" t="s">
        <v>424</v>
      </c>
      <c r="AF40" s="3918" t="s">
        <v>425</v>
      </c>
      <c r="AG40" s="3917"/>
      <c r="AH40" s="3918" t="s">
        <v>426</v>
      </c>
      <c r="AI40" s="3923"/>
      <c r="AJ40" s="3917"/>
      <c r="AK40" s="4087"/>
      <c r="AL40" s="4003" t="s">
        <v>423</v>
      </c>
      <c r="AM40" s="4092" t="s">
        <v>424</v>
      </c>
      <c r="AN40" s="3918" t="s">
        <v>425</v>
      </c>
      <c r="AO40" s="3917"/>
      <c r="AP40" s="3918" t="s">
        <v>426</v>
      </c>
      <c r="AQ40" s="3923"/>
      <c r="AR40" s="3917"/>
      <c r="AS40" s="4087"/>
      <c r="AT40" s="4003" t="s">
        <v>423</v>
      </c>
      <c r="AU40" s="4092" t="s">
        <v>424</v>
      </c>
      <c r="AV40" s="3918" t="s">
        <v>425</v>
      </c>
      <c r="AW40" s="3917"/>
      <c r="AX40" s="3918" t="s">
        <v>426</v>
      </c>
      <c r="AY40" s="3923"/>
      <c r="AZ40" s="3917"/>
      <c r="BA40" s="4087"/>
      <c r="BB40" s="4003" t="s">
        <v>423</v>
      </c>
      <c r="BC40" s="4092" t="s">
        <v>424</v>
      </c>
      <c r="BD40" s="3918" t="s">
        <v>425</v>
      </c>
      <c r="BE40" s="3917"/>
      <c r="BF40" s="3918" t="s">
        <v>426</v>
      </c>
      <c r="BG40" s="3923"/>
      <c r="BH40" s="3917"/>
      <c r="BI40" s="4087"/>
      <c r="BJ40" s="4003" t="s">
        <v>423</v>
      </c>
      <c r="BK40" s="4092" t="s">
        <v>424</v>
      </c>
      <c r="BL40" s="3918" t="s">
        <v>425</v>
      </c>
      <c r="BM40" s="3917"/>
      <c r="BN40" s="3918" t="s">
        <v>426</v>
      </c>
      <c r="BO40" s="3923"/>
      <c r="BP40" s="3917"/>
      <c r="BQ40" s="4087"/>
      <c r="BR40" s="4003" t="s">
        <v>423</v>
      </c>
      <c r="BS40" s="4092" t="s">
        <v>424</v>
      </c>
      <c r="BT40" s="3918" t="s">
        <v>425</v>
      </c>
      <c r="BU40" s="3917"/>
      <c r="BV40" s="3918" t="s">
        <v>426</v>
      </c>
      <c r="BW40" s="3923"/>
      <c r="BX40" s="3917"/>
      <c r="BY40" s="4087"/>
      <c r="BZ40" s="4003" t="s">
        <v>423</v>
      </c>
      <c r="CA40" s="4092" t="s">
        <v>424</v>
      </c>
      <c r="CB40" s="3918" t="s">
        <v>425</v>
      </c>
      <c r="CC40" s="3917"/>
      <c r="CD40" s="3918" t="s">
        <v>426</v>
      </c>
      <c r="CE40" s="3923"/>
      <c r="CF40" s="3917"/>
      <c r="CG40" s="4087"/>
      <c r="CH40" s="4003" t="s">
        <v>423</v>
      </c>
      <c r="CI40" s="4092" t="s">
        <v>424</v>
      </c>
      <c r="CJ40" s="3918" t="s">
        <v>425</v>
      </c>
      <c r="CK40" s="3917"/>
      <c r="CL40" s="3918" t="s">
        <v>426</v>
      </c>
      <c r="CM40" s="3923"/>
      <c r="CN40" s="3917"/>
      <c r="CO40" s="4087"/>
      <c r="CP40" s="4003" t="s">
        <v>423</v>
      </c>
      <c r="CQ40" s="4092" t="s">
        <v>424</v>
      </c>
      <c r="CR40" s="3918" t="s">
        <v>425</v>
      </c>
      <c r="CS40" s="3917"/>
      <c r="CT40" s="3918" t="s">
        <v>426</v>
      </c>
      <c r="CU40" s="3923"/>
      <c r="CV40" s="3917"/>
      <c r="CW40" s="4087"/>
      <c r="CX40" s="4003" t="s">
        <v>423</v>
      </c>
      <c r="CY40" s="4092" t="s">
        <v>424</v>
      </c>
      <c r="CZ40" s="3918" t="s">
        <v>425</v>
      </c>
      <c r="DA40" s="3917"/>
      <c r="DB40" s="3918" t="s">
        <v>426</v>
      </c>
      <c r="DC40" s="3923"/>
      <c r="DD40" s="3917"/>
      <c r="DE40" s="4087"/>
      <c r="DF40" s="4003" t="s">
        <v>423</v>
      </c>
      <c r="DG40" s="4092" t="s">
        <v>424</v>
      </c>
      <c r="DH40" s="3918" t="s">
        <v>425</v>
      </c>
      <c r="DI40" s="3917"/>
      <c r="DJ40" s="3918" t="s">
        <v>426</v>
      </c>
      <c r="DK40" s="3923"/>
      <c r="DL40" s="3917"/>
      <c r="DM40" s="4087"/>
      <c r="DN40" s="4003" t="s">
        <v>423</v>
      </c>
      <c r="DO40" s="4092" t="s">
        <v>424</v>
      </c>
      <c r="DP40" s="3918" t="s">
        <v>425</v>
      </c>
      <c r="DQ40" s="3917"/>
      <c r="DR40" s="3918" t="s">
        <v>426</v>
      </c>
      <c r="DS40" s="3923"/>
      <c r="DT40" s="3917"/>
      <c r="DU40" s="4087"/>
      <c r="DV40" s="4003" t="s">
        <v>423</v>
      </c>
      <c r="DW40" s="4092" t="s">
        <v>424</v>
      </c>
      <c r="DX40" s="3918" t="s">
        <v>425</v>
      </c>
      <c r="DY40" s="3917"/>
      <c r="DZ40" s="3918" t="s">
        <v>426</v>
      </c>
      <c r="EA40" s="3923"/>
      <c r="EB40" s="3917"/>
      <c r="EC40" s="4087"/>
      <c r="ED40" s="4003" t="s">
        <v>423</v>
      </c>
      <c r="EE40" s="4092" t="s">
        <v>424</v>
      </c>
      <c r="EF40" s="3918" t="s">
        <v>425</v>
      </c>
      <c r="EG40" s="3917"/>
      <c r="EH40" s="3918" t="s">
        <v>426</v>
      </c>
      <c r="EI40" s="3923"/>
      <c r="EJ40" s="3917"/>
      <c r="EK40" s="4087"/>
      <c r="EL40" s="4003" t="s">
        <v>423</v>
      </c>
      <c r="EM40" s="4092" t="s">
        <v>424</v>
      </c>
      <c r="EN40" s="3918" t="s">
        <v>425</v>
      </c>
      <c r="EO40" s="3917"/>
      <c r="EP40" s="3918" t="s">
        <v>426</v>
      </c>
      <c r="EQ40" s="3923"/>
      <c r="ER40" s="3917"/>
      <c r="ES40" s="4087"/>
      <c r="ET40" s="4003" t="s">
        <v>423</v>
      </c>
      <c r="EU40" s="4092" t="s">
        <v>424</v>
      </c>
      <c r="EV40" s="3918" t="s">
        <v>425</v>
      </c>
      <c r="EW40" s="3917"/>
      <c r="EX40" s="3918" t="s">
        <v>426</v>
      </c>
      <c r="EY40" s="3923"/>
      <c r="EZ40" s="3917"/>
      <c r="FA40" s="4087"/>
      <c r="FB40" s="4003" t="s">
        <v>423</v>
      </c>
      <c r="FC40" s="4092" t="s">
        <v>424</v>
      </c>
      <c r="FD40" s="3918" t="s">
        <v>425</v>
      </c>
      <c r="FE40" s="3917"/>
      <c r="FF40" s="3918" t="s">
        <v>426</v>
      </c>
      <c r="FG40" s="3923"/>
      <c r="FH40" s="3917"/>
      <c r="FI40" s="4087"/>
      <c r="FJ40" s="4003" t="s">
        <v>423</v>
      </c>
      <c r="FK40" s="4092" t="s">
        <v>424</v>
      </c>
      <c r="FL40" s="3918" t="s">
        <v>425</v>
      </c>
      <c r="FM40" s="3917"/>
      <c r="FN40" s="3918" t="s">
        <v>426</v>
      </c>
      <c r="FO40" s="3923"/>
      <c r="FP40" s="3917"/>
      <c r="FQ40" s="4087"/>
      <c r="FR40" s="4003" t="s">
        <v>423</v>
      </c>
      <c r="FS40" s="4092" t="s">
        <v>424</v>
      </c>
      <c r="FT40" s="3918" t="s">
        <v>425</v>
      </c>
      <c r="FU40" s="3917"/>
      <c r="FV40" s="3918" t="s">
        <v>426</v>
      </c>
      <c r="FW40" s="3923"/>
      <c r="FX40" s="3917"/>
      <c r="FY40" s="4087"/>
      <c r="FZ40" s="4003" t="s">
        <v>423</v>
      </c>
      <c r="GA40" s="4092" t="s">
        <v>424</v>
      </c>
      <c r="GB40" s="3918" t="s">
        <v>425</v>
      </c>
      <c r="GC40" s="3917"/>
      <c r="GD40" s="3918" t="s">
        <v>426</v>
      </c>
      <c r="GE40" s="3923"/>
      <c r="GF40" s="3917"/>
      <c r="GG40" s="4087"/>
      <c r="GH40" s="4003" t="s">
        <v>423</v>
      </c>
      <c r="GI40" s="4092" t="s">
        <v>424</v>
      </c>
      <c r="GJ40" s="3918" t="s">
        <v>425</v>
      </c>
      <c r="GK40" s="3917"/>
      <c r="GL40" s="3918" t="s">
        <v>426</v>
      </c>
      <c r="GM40" s="3923"/>
      <c r="GN40" s="3917"/>
      <c r="GO40" s="4087"/>
      <c r="GP40" s="4003" t="s">
        <v>423</v>
      </c>
      <c r="GQ40" s="4092" t="s">
        <v>424</v>
      </c>
      <c r="GR40" s="3918" t="s">
        <v>425</v>
      </c>
      <c r="GS40" s="3917"/>
      <c r="GT40" s="3918" t="s">
        <v>426</v>
      </c>
      <c r="GU40" s="3923"/>
      <c r="GV40" s="3917"/>
      <c r="GW40" s="4087"/>
      <c r="GX40" s="4003" t="s">
        <v>423</v>
      </c>
      <c r="GY40" s="4092" t="s">
        <v>424</v>
      </c>
      <c r="GZ40" s="3918" t="s">
        <v>425</v>
      </c>
      <c r="HA40" s="3917"/>
      <c r="HB40" s="3918" t="s">
        <v>426</v>
      </c>
      <c r="HC40" s="3923"/>
      <c r="HD40" s="3917"/>
      <c r="HE40" s="4087"/>
      <c r="HF40" s="4003" t="s">
        <v>423</v>
      </c>
      <c r="HG40" s="4092" t="s">
        <v>424</v>
      </c>
      <c r="HH40" s="3918" t="s">
        <v>425</v>
      </c>
      <c r="HI40" s="3917"/>
      <c r="HJ40" s="3918" t="s">
        <v>426</v>
      </c>
      <c r="HK40" s="3923"/>
      <c r="HL40" s="3917"/>
      <c r="HM40" s="4087"/>
      <c r="HN40" s="4003" t="s">
        <v>423</v>
      </c>
      <c r="HO40" s="4092" t="s">
        <v>424</v>
      </c>
      <c r="HP40" s="3918" t="s">
        <v>425</v>
      </c>
      <c r="HQ40" s="3917"/>
      <c r="HR40" s="3918" t="s">
        <v>426</v>
      </c>
      <c r="HS40" s="3923"/>
      <c r="HT40" s="3917"/>
      <c r="HU40" s="4087"/>
      <c r="HV40" s="4003" t="s">
        <v>423</v>
      </c>
      <c r="HW40" s="4092" t="s">
        <v>424</v>
      </c>
      <c r="HX40" s="3918" t="s">
        <v>425</v>
      </c>
      <c r="HY40" s="3917"/>
      <c r="HZ40" s="3918" t="s">
        <v>426</v>
      </c>
      <c r="IA40" s="3923"/>
      <c r="IB40" s="3917"/>
      <c r="IC40" s="4087"/>
      <c r="ID40" s="4090"/>
      <c r="IE40" s="3946"/>
    </row>
    <row r="41" spans="1:244" ht="33.75" customHeight="1">
      <c r="A41" s="1286"/>
      <c r="B41" s="1286" t="s">
        <v>133</v>
      </c>
      <c r="C41" s="1286" t="s">
        <v>134</v>
      </c>
      <c r="D41" s="1286" t="s">
        <v>135</v>
      </c>
      <c r="E41" s="1280" t="s">
        <v>427</v>
      </c>
      <c r="F41" s="1280" t="s">
        <v>428</v>
      </c>
      <c r="G41" s="1280" t="s">
        <v>429</v>
      </c>
      <c r="H41" s="1280" t="s">
        <v>430</v>
      </c>
      <c r="I41" s="1280" t="s">
        <v>431</v>
      </c>
      <c r="J41" s="1280" t="s">
        <v>432</v>
      </c>
      <c r="K41" s="1280" t="s">
        <v>433</v>
      </c>
      <c r="L41" s="1280" t="s">
        <v>407</v>
      </c>
      <c r="Q41" s="305"/>
      <c r="R41" s="305"/>
      <c r="S41" s="4082"/>
      <c r="T41" s="4033"/>
      <c r="U41" s="221"/>
      <c r="V41" s="4053"/>
      <c r="W41" s="4093"/>
      <c r="X41" s="1128" t="s">
        <v>434</v>
      </c>
      <c r="Y41" s="1128" t="s">
        <v>435</v>
      </c>
      <c r="Z41" s="1127" t="s">
        <v>436</v>
      </c>
      <c r="AA41" s="4042" t="s">
        <v>437</v>
      </c>
      <c r="AB41" s="4044"/>
      <c r="AC41" s="4088"/>
      <c r="AD41" s="4053"/>
      <c r="AE41" s="4093"/>
      <c r="AF41" s="1128" t="s">
        <v>434</v>
      </c>
      <c r="AG41" s="1128" t="s">
        <v>435</v>
      </c>
      <c r="AH41" s="1231" t="s">
        <v>436</v>
      </c>
      <c r="AI41" s="4042" t="s">
        <v>437</v>
      </c>
      <c r="AJ41" s="4044"/>
      <c r="AK41" s="4088"/>
      <c r="AL41" s="4053"/>
      <c r="AM41" s="4093"/>
      <c r="AN41" s="2567" t="s">
        <v>434</v>
      </c>
      <c r="AO41" s="2567" t="s">
        <v>435</v>
      </c>
      <c r="AP41" s="2567" t="s">
        <v>436</v>
      </c>
      <c r="AQ41" s="4042" t="s">
        <v>437</v>
      </c>
      <c r="AR41" s="4044"/>
      <c r="AS41" s="4088"/>
      <c r="AT41" s="4053"/>
      <c r="AU41" s="4093"/>
      <c r="AV41" s="2567" t="s">
        <v>434</v>
      </c>
      <c r="AW41" s="2567" t="s">
        <v>435</v>
      </c>
      <c r="AX41" s="2567" t="s">
        <v>436</v>
      </c>
      <c r="AY41" s="4042" t="s">
        <v>437</v>
      </c>
      <c r="AZ41" s="4044"/>
      <c r="BA41" s="4088"/>
      <c r="BB41" s="4053"/>
      <c r="BC41" s="4093"/>
      <c r="BD41" s="2567" t="s">
        <v>434</v>
      </c>
      <c r="BE41" s="2567" t="s">
        <v>435</v>
      </c>
      <c r="BF41" s="2567" t="s">
        <v>436</v>
      </c>
      <c r="BG41" s="4042" t="s">
        <v>437</v>
      </c>
      <c r="BH41" s="4044"/>
      <c r="BI41" s="4088"/>
      <c r="BJ41" s="4053"/>
      <c r="BK41" s="4093"/>
      <c r="BL41" s="2567" t="s">
        <v>434</v>
      </c>
      <c r="BM41" s="2567" t="s">
        <v>435</v>
      </c>
      <c r="BN41" s="2567" t="s">
        <v>436</v>
      </c>
      <c r="BO41" s="4042" t="s">
        <v>437</v>
      </c>
      <c r="BP41" s="4044"/>
      <c r="BQ41" s="4088"/>
      <c r="BR41" s="4053"/>
      <c r="BS41" s="4093"/>
      <c r="BT41" s="2567" t="s">
        <v>434</v>
      </c>
      <c r="BU41" s="2567" t="s">
        <v>435</v>
      </c>
      <c r="BV41" s="2567" t="s">
        <v>436</v>
      </c>
      <c r="BW41" s="4042" t="s">
        <v>437</v>
      </c>
      <c r="BX41" s="4044"/>
      <c r="BY41" s="4088"/>
      <c r="BZ41" s="4053"/>
      <c r="CA41" s="4093"/>
      <c r="CB41" s="2567" t="s">
        <v>434</v>
      </c>
      <c r="CC41" s="2567" t="s">
        <v>435</v>
      </c>
      <c r="CD41" s="2567" t="s">
        <v>436</v>
      </c>
      <c r="CE41" s="4042" t="s">
        <v>437</v>
      </c>
      <c r="CF41" s="4044"/>
      <c r="CG41" s="4088"/>
      <c r="CH41" s="4053"/>
      <c r="CI41" s="4093"/>
      <c r="CJ41" s="2567" t="s">
        <v>434</v>
      </c>
      <c r="CK41" s="2567" t="s">
        <v>435</v>
      </c>
      <c r="CL41" s="2567" t="s">
        <v>436</v>
      </c>
      <c r="CM41" s="4042" t="s">
        <v>437</v>
      </c>
      <c r="CN41" s="4044"/>
      <c r="CO41" s="4088"/>
      <c r="CP41" s="4053"/>
      <c r="CQ41" s="4093"/>
      <c r="CR41" s="2567" t="s">
        <v>434</v>
      </c>
      <c r="CS41" s="2567" t="s">
        <v>435</v>
      </c>
      <c r="CT41" s="2567" t="s">
        <v>436</v>
      </c>
      <c r="CU41" s="4042" t="s">
        <v>437</v>
      </c>
      <c r="CV41" s="4044"/>
      <c r="CW41" s="4088"/>
      <c r="CX41" s="4053"/>
      <c r="CY41" s="4093"/>
      <c r="CZ41" s="2567" t="s">
        <v>434</v>
      </c>
      <c r="DA41" s="2567" t="s">
        <v>435</v>
      </c>
      <c r="DB41" s="2567" t="s">
        <v>436</v>
      </c>
      <c r="DC41" s="4042" t="s">
        <v>437</v>
      </c>
      <c r="DD41" s="4044"/>
      <c r="DE41" s="4088"/>
      <c r="DF41" s="4053"/>
      <c r="DG41" s="4093"/>
      <c r="DH41" s="2567" t="s">
        <v>434</v>
      </c>
      <c r="DI41" s="2567" t="s">
        <v>435</v>
      </c>
      <c r="DJ41" s="2567" t="s">
        <v>436</v>
      </c>
      <c r="DK41" s="4042" t="s">
        <v>437</v>
      </c>
      <c r="DL41" s="4044"/>
      <c r="DM41" s="4088"/>
      <c r="DN41" s="4053"/>
      <c r="DO41" s="4093"/>
      <c r="DP41" s="2567" t="s">
        <v>434</v>
      </c>
      <c r="DQ41" s="2567" t="s">
        <v>435</v>
      </c>
      <c r="DR41" s="2567" t="s">
        <v>436</v>
      </c>
      <c r="DS41" s="4042" t="s">
        <v>437</v>
      </c>
      <c r="DT41" s="4044"/>
      <c r="DU41" s="4088"/>
      <c r="DV41" s="4053"/>
      <c r="DW41" s="4093"/>
      <c r="DX41" s="2567" t="s">
        <v>434</v>
      </c>
      <c r="DY41" s="2567" t="s">
        <v>435</v>
      </c>
      <c r="DZ41" s="2567" t="s">
        <v>436</v>
      </c>
      <c r="EA41" s="4042" t="s">
        <v>437</v>
      </c>
      <c r="EB41" s="4044"/>
      <c r="EC41" s="4088"/>
      <c r="ED41" s="4053"/>
      <c r="EE41" s="4093"/>
      <c r="EF41" s="2567" t="s">
        <v>434</v>
      </c>
      <c r="EG41" s="2567" t="s">
        <v>435</v>
      </c>
      <c r="EH41" s="2567" t="s">
        <v>436</v>
      </c>
      <c r="EI41" s="4042" t="s">
        <v>437</v>
      </c>
      <c r="EJ41" s="4044"/>
      <c r="EK41" s="4088"/>
      <c r="EL41" s="4053"/>
      <c r="EM41" s="4093"/>
      <c r="EN41" s="2567" t="s">
        <v>434</v>
      </c>
      <c r="EO41" s="2567" t="s">
        <v>435</v>
      </c>
      <c r="EP41" s="2567" t="s">
        <v>436</v>
      </c>
      <c r="EQ41" s="4042" t="s">
        <v>437</v>
      </c>
      <c r="ER41" s="4044"/>
      <c r="ES41" s="4088"/>
      <c r="ET41" s="4053"/>
      <c r="EU41" s="4093"/>
      <c r="EV41" s="2567" t="s">
        <v>434</v>
      </c>
      <c r="EW41" s="2567" t="s">
        <v>435</v>
      </c>
      <c r="EX41" s="2567" t="s">
        <v>436</v>
      </c>
      <c r="EY41" s="4042" t="s">
        <v>437</v>
      </c>
      <c r="EZ41" s="4044"/>
      <c r="FA41" s="4088"/>
      <c r="FB41" s="4053"/>
      <c r="FC41" s="4093"/>
      <c r="FD41" s="2567" t="s">
        <v>434</v>
      </c>
      <c r="FE41" s="2567" t="s">
        <v>435</v>
      </c>
      <c r="FF41" s="2567" t="s">
        <v>436</v>
      </c>
      <c r="FG41" s="4042" t="s">
        <v>437</v>
      </c>
      <c r="FH41" s="4044"/>
      <c r="FI41" s="4088"/>
      <c r="FJ41" s="4053"/>
      <c r="FK41" s="4093"/>
      <c r="FL41" s="2567" t="s">
        <v>434</v>
      </c>
      <c r="FM41" s="2567" t="s">
        <v>435</v>
      </c>
      <c r="FN41" s="2567" t="s">
        <v>436</v>
      </c>
      <c r="FO41" s="4042" t="s">
        <v>437</v>
      </c>
      <c r="FP41" s="4044"/>
      <c r="FQ41" s="4088"/>
      <c r="FR41" s="4053"/>
      <c r="FS41" s="4093"/>
      <c r="FT41" s="2567" t="s">
        <v>434</v>
      </c>
      <c r="FU41" s="2567" t="s">
        <v>435</v>
      </c>
      <c r="FV41" s="2567" t="s">
        <v>436</v>
      </c>
      <c r="FW41" s="4042" t="s">
        <v>437</v>
      </c>
      <c r="FX41" s="4044"/>
      <c r="FY41" s="4088"/>
      <c r="FZ41" s="4053"/>
      <c r="GA41" s="4093"/>
      <c r="GB41" s="2567" t="s">
        <v>434</v>
      </c>
      <c r="GC41" s="2567" t="s">
        <v>435</v>
      </c>
      <c r="GD41" s="2567" t="s">
        <v>436</v>
      </c>
      <c r="GE41" s="4042" t="s">
        <v>437</v>
      </c>
      <c r="GF41" s="4044"/>
      <c r="GG41" s="4088"/>
      <c r="GH41" s="4053"/>
      <c r="GI41" s="4093"/>
      <c r="GJ41" s="2567" t="s">
        <v>434</v>
      </c>
      <c r="GK41" s="2567" t="s">
        <v>435</v>
      </c>
      <c r="GL41" s="2567" t="s">
        <v>436</v>
      </c>
      <c r="GM41" s="4042" t="s">
        <v>437</v>
      </c>
      <c r="GN41" s="4044"/>
      <c r="GO41" s="4088"/>
      <c r="GP41" s="4053"/>
      <c r="GQ41" s="4093"/>
      <c r="GR41" s="2567" t="s">
        <v>434</v>
      </c>
      <c r="GS41" s="2567" t="s">
        <v>435</v>
      </c>
      <c r="GT41" s="2567" t="s">
        <v>436</v>
      </c>
      <c r="GU41" s="4042" t="s">
        <v>437</v>
      </c>
      <c r="GV41" s="4044"/>
      <c r="GW41" s="4088"/>
      <c r="GX41" s="4053"/>
      <c r="GY41" s="4093"/>
      <c r="GZ41" s="2567" t="s">
        <v>434</v>
      </c>
      <c r="HA41" s="2567" t="s">
        <v>435</v>
      </c>
      <c r="HB41" s="2567" t="s">
        <v>436</v>
      </c>
      <c r="HC41" s="4042" t="s">
        <v>437</v>
      </c>
      <c r="HD41" s="4044"/>
      <c r="HE41" s="4088"/>
      <c r="HF41" s="4053"/>
      <c r="HG41" s="4093"/>
      <c r="HH41" s="2567" t="s">
        <v>434</v>
      </c>
      <c r="HI41" s="2567" t="s">
        <v>435</v>
      </c>
      <c r="HJ41" s="2567" t="s">
        <v>436</v>
      </c>
      <c r="HK41" s="4042" t="s">
        <v>437</v>
      </c>
      <c r="HL41" s="4044"/>
      <c r="HM41" s="4088"/>
      <c r="HN41" s="4053"/>
      <c r="HO41" s="4093"/>
      <c r="HP41" s="2567" t="s">
        <v>434</v>
      </c>
      <c r="HQ41" s="2567" t="s">
        <v>435</v>
      </c>
      <c r="HR41" s="2567" t="s">
        <v>436</v>
      </c>
      <c r="HS41" s="4042" t="s">
        <v>437</v>
      </c>
      <c r="HT41" s="4044"/>
      <c r="HU41" s="4088"/>
      <c r="HV41" s="4053"/>
      <c r="HW41" s="4093"/>
      <c r="HX41" s="2567" t="s">
        <v>434</v>
      </c>
      <c r="HY41" s="2567" t="s">
        <v>435</v>
      </c>
      <c r="HZ41" s="2567" t="s">
        <v>436</v>
      </c>
      <c r="IA41" s="4042" t="s">
        <v>437</v>
      </c>
      <c r="IB41" s="4044"/>
      <c r="IC41" s="4088"/>
      <c r="ID41" s="4091"/>
      <c r="IE41" s="3946"/>
    </row>
    <row r="42" spans="1:244" s="1820"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107</v>
      </c>
      <c r="T42" s="1172" t="s">
        <v>108</v>
      </c>
      <c r="U42" s="1154" t="str">
        <f ca="1">OFFSET(U42,0,-1)</f>
        <v>2</v>
      </c>
      <c r="V42" s="1173">
        <f ca="1">OFFSET(V42,0,-1)+1</f>
        <v>3</v>
      </c>
      <c r="W42" s="1173"/>
      <c r="X42" s="1173">
        <f ca="1">OFFSET(X42,0,-1)+1</f>
        <v>1</v>
      </c>
      <c r="Y42" s="1173">
        <f ca="1">OFFSET(Y42,0,-1)+1</f>
        <v>2</v>
      </c>
      <c r="Z42" s="1173">
        <f ca="1">OFFSET(Z42,0,-1)+1</f>
        <v>3</v>
      </c>
      <c r="AA42" s="4081">
        <f ca="1">OFFSET(AA42,0,-1)+1</f>
        <v>4</v>
      </c>
      <c r="AB42" s="4081"/>
      <c r="AC42" s="1173">
        <f ca="1">OFFSET(AC42,0,-2)+1</f>
        <v>5</v>
      </c>
      <c r="AD42" s="1230">
        <f ca="1">OFFSET(AD42,0,-1)+1</f>
        <v>6</v>
      </c>
      <c r="AE42" s="1230"/>
      <c r="AF42" s="1230">
        <f ca="1">OFFSET(AF42,0,-1)+1</f>
        <v>1</v>
      </c>
      <c r="AG42" s="1230">
        <f ca="1">OFFSET(AG42,0,-1)+1</f>
        <v>2</v>
      </c>
      <c r="AH42" s="1230">
        <f ca="1">OFFSET(AH42,0,-1)+1</f>
        <v>3</v>
      </c>
      <c r="AI42" s="4081">
        <f ca="1">OFFSET(AI42,0,-1)+1</f>
        <v>4</v>
      </c>
      <c r="AJ42" s="4081"/>
      <c r="AK42" s="1230">
        <f ca="1">OFFSET(AK42,0,-2)+1</f>
        <v>5</v>
      </c>
      <c r="AL42" s="2569">
        <f ca="1">OFFSET(AL42,0,-1)+1</f>
        <v>6</v>
      </c>
      <c r="AM42" s="2569"/>
      <c r="AN42" s="2569">
        <f ca="1">OFFSET(AN42,0,-1)+1</f>
        <v>1</v>
      </c>
      <c r="AO42" s="2569">
        <f ca="1">OFFSET(AO42,0,-1)+1</f>
        <v>2</v>
      </c>
      <c r="AP42" s="2569">
        <f ca="1">OFFSET(AP42,0,-1)+1</f>
        <v>3</v>
      </c>
      <c r="AQ42" s="4081">
        <f ca="1">OFFSET(AQ42,0,-1)+1</f>
        <v>4</v>
      </c>
      <c r="AR42" s="4081"/>
      <c r="AS42" s="2569">
        <f ca="1">OFFSET(AS42,0,-2)+1</f>
        <v>5</v>
      </c>
      <c r="AT42" s="2569">
        <f ca="1">OFFSET(AT42,0,-1)+1</f>
        <v>6</v>
      </c>
      <c r="AU42" s="2569"/>
      <c r="AV42" s="2569">
        <f ca="1">OFFSET(AV42,0,-1)+1</f>
        <v>1</v>
      </c>
      <c r="AW42" s="2569">
        <f ca="1">OFFSET(AW42,0,-1)+1</f>
        <v>2</v>
      </c>
      <c r="AX42" s="2569">
        <f ca="1">OFFSET(AX42,0,-1)+1</f>
        <v>3</v>
      </c>
      <c r="AY42" s="4081">
        <f ca="1">OFFSET(AY42,0,-1)+1</f>
        <v>4</v>
      </c>
      <c r="AZ42" s="4081"/>
      <c r="BA42" s="2569">
        <f ca="1">OFFSET(BA42,0,-2)+1</f>
        <v>5</v>
      </c>
      <c r="BB42" s="2569">
        <f ca="1">OFFSET(BB42,0,-1)+1</f>
        <v>6</v>
      </c>
      <c r="BC42" s="2569"/>
      <c r="BD42" s="2569">
        <f ca="1">OFFSET(BD42,0,-1)+1</f>
        <v>1</v>
      </c>
      <c r="BE42" s="2569">
        <f ca="1">OFFSET(BE42,0,-1)+1</f>
        <v>2</v>
      </c>
      <c r="BF42" s="2569">
        <f ca="1">OFFSET(BF42,0,-1)+1</f>
        <v>3</v>
      </c>
      <c r="BG42" s="4081">
        <f ca="1">OFFSET(BG42,0,-1)+1</f>
        <v>4</v>
      </c>
      <c r="BH42" s="4081"/>
      <c r="BI42" s="2569">
        <f ca="1">OFFSET(BI42,0,-2)+1</f>
        <v>5</v>
      </c>
      <c r="BJ42" s="2569">
        <f ca="1">OFFSET(BJ42,0,-1)+1</f>
        <v>6</v>
      </c>
      <c r="BK42" s="2569"/>
      <c r="BL42" s="2569">
        <f ca="1">OFFSET(BL42,0,-1)+1</f>
        <v>1</v>
      </c>
      <c r="BM42" s="2569">
        <f ca="1">OFFSET(BM42,0,-1)+1</f>
        <v>2</v>
      </c>
      <c r="BN42" s="2569">
        <f ca="1">OFFSET(BN42,0,-1)+1</f>
        <v>3</v>
      </c>
      <c r="BO42" s="4081">
        <f ca="1">OFFSET(BO42,0,-1)+1</f>
        <v>4</v>
      </c>
      <c r="BP42" s="4081"/>
      <c r="BQ42" s="2569">
        <f ca="1">OFFSET(BQ42,0,-2)+1</f>
        <v>5</v>
      </c>
      <c r="BR42" s="2569">
        <f ca="1">OFFSET(BR42,0,-1)+1</f>
        <v>6</v>
      </c>
      <c r="BS42" s="2569"/>
      <c r="BT42" s="2569">
        <f ca="1">OFFSET(BT42,0,-1)+1</f>
        <v>1</v>
      </c>
      <c r="BU42" s="2569">
        <f ca="1">OFFSET(BU42,0,-1)+1</f>
        <v>2</v>
      </c>
      <c r="BV42" s="2569">
        <f ca="1">OFFSET(BV42,0,-1)+1</f>
        <v>3</v>
      </c>
      <c r="BW42" s="4081">
        <f ca="1">OFFSET(BW42,0,-1)+1</f>
        <v>4</v>
      </c>
      <c r="BX42" s="4081"/>
      <c r="BY42" s="2569">
        <f ca="1">OFFSET(BY42,0,-2)+1</f>
        <v>5</v>
      </c>
      <c r="BZ42" s="2569">
        <f ca="1">OFFSET(BZ42,0,-1)+1</f>
        <v>6</v>
      </c>
      <c r="CA42" s="2569"/>
      <c r="CB42" s="2569">
        <f ca="1">OFFSET(CB42,0,-1)+1</f>
        <v>1</v>
      </c>
      <c r="CC42" s="2569">
        <f ca="1">OFFSET(CC42,0,-1)+1</f>
        <v>2</v>
      </c>
      <c r="CD42" s="2569">
        <f ca="1">OFFSET(CD42,0,-1)+1</f>
        <v>3</v>
      </c>
      <c r="CE42" s="4081">
        <f ca="1">OFFSET(CE42,0,-1)+1</f>
        <v>4</v>
      </c>
      <c r="CF42" s="4081"/>
      <c r="CG42" s="2569">
        <f ca="1">OFFSET(CG42,0,-2)+1</f>
        <v>5</v>
      </c>
      <c r="CH42" s="2569">
        <f ca="1">OFFSET(CH42,0,-1)+1</f>
        <v>6</v>
      </c>
      <c r="CI42" s="2569"/>
      <c r="CJ42" s="2569">
        <f ca="1">OFFSET(CJ42,0,-1)+1</f>
        <v>1</v>
      </c>
      <c r="CK42" s="2569">
        <f ca="1">OFFSET(CK42,0,-1)+1</f>
        <v>2</v>
      </c>
      <c r="CL42" s="2569">
        <f ca="1">OFFSET(CL42,0,-1)+1</f>
        <v>3</v>
      </c>
      <c r="CM42" s="4081">
        <f ca="1">OFFSET(CM42,0,-1)+1</f>
        <v>4</v>
      </c>
      <c r="CN42" s="4081"/>
      <c r="CO42" s="2569">
        <f ca="1">OFFSET(CO42,0,-2)+1</f>
        <v>5</v>
      </c>
      <c r="CP42" s="2569">
        <f ca="1">OFFSET(CP42,0,-1)+1</f>
        <v>6</v>
      </c>
      <c r="CQ42" s="2569"/>
      <c r="CR42" s="2569">
        <f ca="1">OFFSET(CR42,0,-1)+1</f>
        <v>1</v>
      </c>
      <c r="CS42" s="2569">
        <f ca="1">OFFSET(CS42,0,-1)+1</f>
        <v>2</v>
      </c>
      <c r="CT42" s="2569">
        <f ca="1">OFFSET(CT42,0,-1)+1</f>
        <v>3</v>
      </c>
      <c r="CU42" s="4081">
        <f ca="1">OFFSET(CU42,0,-1)+1</f>
        <v>4</v>
      </c>
      <c r="CV42" s="4081"/>
      <c r="CW42" s="2569">
        <f ca="1">OFFSET(CW42,0,-2)+1</f>
        <v>5</v>
      </c>
      <c r="CX42" s="2569">
        <f ca="1">OFFSET(CX42,0,-1)+1</f>
        <v>6</v>
      </c>
      <c r="CY42" s="2569"/>
      <c r="CZ42" s="2569">
        <f ca="1">OFFSET(CZ42,0,-1)+1</f>
        <v>1</v>
      </c>
      <c r="DA42" s="2569">
        <f ca="1">OFFSET(DA42,0,-1)+1</f>
        <v>2</v>
      </c>
      <c r="DB42" s="2569">
        <f ca="1">OFFSET(DB42,0,-1)+1</f>
        <v>3</v>
      </c>
      <c r="DC42" s="4081">
        <f ca="1">OFFSET(DC42,0,-1)+1</f>
        <v>4</v>
      </c>
      <c r="DD42" s="4081"/>
      <c r="DE42" s="2569">
        <f ca="1">OFFSET(DE42,0,-2)+1</f>
        <v>5</v>
      </c>
      <c r="DF42" s="2569">
        <f ca="1">OFFSET(DF42,0,-1)+1</f>
        <v>6</v>
      </c>
      <c r="DG42" s="2569"/>
      <c r="DH42" s="2569">
        <f ca="1">OFFSET(DH42,0,-1)+1</f>
        <v>1</v>
      </c>
      <c r="DI42" s="2569">
        <f ca="1">OFFSET(DI42,0,-1)+1</f>
        <v>2</v>
      </c>
      <c r="DJ42" s="2569">
        <f ca="1">OFFSET(DJ42,0,-1)+1</f>
        <v>3</v>
      </c>
      <c r="DK42" s="4081">
        <f ca="1">OFFSET(DK42,0,-1)+1</f>
        <v>4</v>
      </c>
      <c r="DL42" s="4081"/>
      <c r="DM42" s="2569">
        <f ca="1">OFFSET(DM42,0,-2)+1</f>
        <v>5</v>
      </c>
      <c r="DN42" s="2569">
        <f ca="1">OFFSET(DN42,0,-1)+1</f>
        <v>6</v>
      </c>
      <c r="DO42" s="2569"/>
      <c r="DP42" s="2569">
        <f ca="1">OFFSET(DP42,0,-1)+1</f>
        <v>1</v>
      </c>
      <c r="DQ42" s="2569">
        <f ca="1">OFFSET(DQ42,0,-1)+1</f>
        <v>2</v>
      </c>
      <c r="DR42" s="2569">
        <f ca="1">OFFSET(DR42,0,-1)+1</f>
        <v>3</v>
      </c>
      <c r="DS42" s="4081">
        <f ca="1">OFFSET(DS42,0,-1)+1</f>
        <v>4</v>
      </c>
      <c r="DT42" s="4081"/>
      <c r="DU42" s="2569">
        <f ca="1">OFFSET(DU42,0,-2)+1</f>
        <v>5</v>
      </c>
      <c r="DV42" s="2569">
        <f ca="1">OFFSET(DV42,0,-1)+1</f>
        <v>6</v>
      </c>
      <c r="DW42" s="2569"/>
      <c r="DX42" s="2569">
        <f ca="1">OFFSET(DX42,0,-1)+1</f>
        <v>1</v>
      </c>
      <c r="DY42" s="2569">
        <f ca="1">OFFSET(DY42,0,-1)+1</f>
        <v>2</v>
      </c>
      <c r="DZ42" s="2569">
        <f ca="1">OFFSET(DZ42,0,-1)+1</f>
        <v>3</v>
      </c>
      <c r="EA42" s="4081">
        <f ca="1">OFFSET(EA42,0,-1)+1</f>
        <v>4</v>
      </c>
      <c r="EB42" s="4081"/>
      <c r="EC42" s="2569">
        <f ca="1">OFFSET(EC42,0,-2)+1</f>
        <v>5</v>
      </c>
      <c r="ED42" s="2569">
        <f ca="1">OFFSET(ED42,0,-1)+1</f>
        <v>6</v>
      </c>
      <c r="EE42" s="2569"/>
      <c r="EF42" s="2569">
        <f ca="1">OFFSET(EF42,0,-1)+1</f>
        <v>1</v>
      </c>
      <c r="EG42" s="2569">
        <f ca="1">OFFSET(EG42,0,-1)+1</f>
        <v>2</v>
      </c>
      <c r="EH42" s="2569">
        <f ca="1">OFFSET(EH42,0,-1)+1</f>
        <v>3</v>
      </c>
      <c r="EI42" s="4081">
        <f ca="1">OFFSET(EI42,0,-1)+1</f>
        <v>4</v>
      </c>
      <c r="EJ42" s="4081"/>
      <c r="EK42" s="2569">
        <f ca="1">OFFSET(EK42,0,-2)+1</f>
        <v>5</v>
      </c>
      <c r="EL42" s="2569">
        <f ca="1">OFFSET(EL42,0,-1)+1</f>
        <v>6</v>
      </c>
      <c r="EM42" s="2569"/>
      <c r="EN42" s="2569">
        <f ca="1">OFFSET(EN42,0,-1)+1</f>
        <v>1</v>
      </c>
      <c r="EO42" s="2569">
        <f ca="1">OFFSET(EO42,0,-1)+1</f>
        <v>2</v>
      </c>
      <c r="EP42" s="2569">
        <f ca="1">OFFSET(EP42,0,-1)+1</f>
        <v>3</v>
      </c>
      <c r="EQ42" s="4081">
        <f ca="1">OFFSET(EQ42,0,-1)+1</f>
        <v>4</v>
      </c>
      <c r="ER42" s="4081"/>
      <c r="ES42" s="2569">
        <f ca="1">OFFSET(ES42,0,-2)+1</f>
        <v>5</v>
      </c>
      <c r="ET42" s="2569">
        <f ca="1">OFFSET(ET42,0,-1)+1</f>
        <v>6</v>
      </c>
      <c r="EU42" s="2569"/>
      <c r="EV42" s="2569">
        <f ca="1">OFFSET(EV42,0,-1)+1</f>
        <v>1</v>
      </c>
      <c r="EW42" s="2569">
        <f ca="1">OFFSET(EW42,0,-1)+1</f>
        <v>2</v>
      </c>
      <c r="EX42" s="2569">
        <f ca="1">OFFSET(EX42,0,-1)+1</f>
        <v>3</v>
      </c>
      <c r="EY42" s="4081">
        <f ca="1">OFFSET(EY42,0,-1)+1</f>
        <v>4</v>
      </c>
      <c r="EZ42" s="4081"/>
      <c r="FA42" s="2569">
        <f ca="1">OFFSET(FA42,0,-2)+1</f>
        <v>5</v>
      </c>
      <c r="FB42" s="2569">
        <f ca="1">OFFSET(FB42,0,-1)+1</f>
        <v>6</v>
      </c>
      <c r="FC42" s="2569"/>
      <c r="FD42" s="2569">
        <f ca="1">OFFSET(FD42,0,-1)+1</f>
        <v>1</v>
      </c>
      <c r="FE42" s="2569">
        <f ca="1">OFFSET(FE42,0,-1)+1</f>
        <v>2</v>
      </c>
      <c r="FF42" s="2569">
        <f ca="1">OFFSET(FF42,0,-1)+1</f>
        <v>3</v>
      </c>
      <c r="FG42" s="4081">
        <f ca="1">OFFSET(FG42,0,-1)+1</f>
        <v>4</v>
      </c>
      <c r="FH42" s="4081"/>
      <c r="FI42" s="2569">
        <f ca="1">OFFSET(FI42,0,-2)+1</f>
        <v>5</v>
      </c>
      <c r="FJ42" s="2569">
        <f ca="1">OFFSET(FJ42,0,-1)+1</f>
        <v>6</v>
      </c>
      <c r="FK42" s="2569"/>
      <c r="FL42" s="2569">
        <f ca="1">OFFSET(FL42,0,-1)+1</f>
        <v>1</v>
      </c>
      <c r="FM42" s="2569">
        <f ca="1">OFFSET(FM42,0,-1)+1</f>
        <v>2</v>
      </c>
      <c r="FN42" s="2569">
        <f ca="1">OFFSET(FN42,0,-1)+1</f>
        <v>3</v>
      </c>
      <c r="FO42" s="4081">
        <f ca="1">OFFSET(FO42,0,-1)+1</f>
        <v>4</v>
      </c>
      <c r="FP42" s="4081"/>
      <c r="FQ42" s="2569">
        <f ca="1">OFFSET(FQ42,0,-2)+1</f>
        <v>5</v>
      </c>
      <c r="FR42" s="2569">
        <f ca="1">OFFSET(FR42,0,-1)+1</f>
        <v>6</v>
      </c>
      <c r="FS42" s="2569"/>
      <c r="FT42" s="2569">
        <f ca="1">OFFSET(FT42,0,-1)+1</f>
        <v>1</v>
      </c>
      <c r="FU42" s="2569">
        <f ca="1">OFFSET(FU42,0,-1)+1</f>
        <v>2</v>
      </c>
      <c r="FV42" s="2569">
        <f ca="1">OFFSET(FV42,0,-1)+1</f>
        <v>3</v>
      </c>
      <c r="FW42" s="4081">
        <f ca="1">OFFSET(FW42,0,-1)+1</f>
        <v>4</v>
      </c>
      <c r="FX42" s="4081"/>
      <c r="FY42" s="2569">
        <f ca="1">OFFSET(FY42,0,-2)+1</f>
        <v>5</v>
      </c>
      <c r="FZ42" s="2569">
        <f ca="1">OFFSET(FZ42,0,-1)+1</f>
        <v>6</v>
      </c>
      <c r="GA42" s="2569"/>
      <c r="GB42" s="2569">
        <f ca="1">OFFSET(GB42,0,-1)+1</f>
        <v>1</v>
      </c>
      <c r="GC42" s="2569">
        <f ca="1">OFFSET(GC42,0,-1)+1</f>
        <v>2</v>
      </c>
      <c r="GD42" s="2569">
        <f ca="1">OFFSET(GD42,0,-1)+1</f>
        <v>3</v>
      </c>
      <c r="GE42" s="4081">
        <f ca="1">OFFSET(GE42,0,-1)+1</f>
        <v>4</v>
      </c>
      <c r="GF42" s="4081"/>
      <c r="GG42" s="2569">
        <f ca="1">OFFSET(GG42,0,-2)+1</f>
        <v>5</v>
      </c>
      <c r="GH42" s="2569">
        <f ca="1">OFFSET(GH42,0,-1)+1</f>
        <v>6</v>
      </c>
      <c r="GI42" s="2569"/>
      <c r="GJ42" s="2569">
        <f ca="1">OFFSET(GJ42,0,-1)+1</f>
        <v>1</v>
      </c>
      <c r="GK42" s="2569">
        <f ca="1">OFFSET(GK42,0,-1)+1</f>
        <v>2</v>
      </c>
      <c r="GL42" s="2569">
        <f ca="1">OFFSET(GL42,0,-1)+1</f>
        <v>3</v>
      </c>
      <c r="GM42" s="4081">
        <f ca="1">OFFSET(GM42,0,-1)+1</f>
        <v>4</v>
      </c>
      <c r="GN42" s="4081"/>
      <c r="GO42" s="2569">
        <f ca="1">OFFSET(GO42,0,-2)+1</f>
        <v>5</v>
      </c>
      <c r="GP42" s="2569">
        <f ca="1">OFFSET(GP42,0,-1)+1</f>
        <v>6</v>
      </c>
      <c r="GQ42" s="2569"/>
      <c r="GR42" s="2569">
        <f ca="1">OFFSET(GR42,0,-1)+1</f>
        <v>1</v>
      </c>
      <c r="GS42" s="2569">
        <f ca="1">OFFSET(GS42,0,-1)+1</f>
        <v>2</v>
      </c>
      <c r="GT42" s="2569">
        <f ca="1">OFFSET(GT42,0,-1)+1</f>
        <v>3</v>
      </c>
      <c r="GU42" s="4081">
        <f ca="1">OFFSET(GU42,0,-1)+1</f>
        <v>4</v>
      </c>
      <c r="GV42" s="4081"/>
      <c r="GW42" s="2569">
        <f ca="1">OFFSET(GW42,0,-2)+1</f>
        <v>5</v>
      </c>
      <c r="GX42" s="2569">
        <f ca="1">OFFSET(GX42,0,-1)+1</f>
        <v>6</v>
      </c>
      <c r="GY42" s="2569"/>
      <c r="GZ42" s="2569">
        <f ca="1">OFFSET(GZ42,0,-1)+1</f>
        <v>1</v>
      </c>
      <c r="HA42" s="2569">
        <f ca="1">OFFSET(HA42,0,-1)+1</f>
        <v>2</v>
      </c>
      <c r="HB42" s="2569">
        <f ca="1">OFFSET(HB42,0,-1)+1</f>
        <v>3</v>
      </c>
      <c r="HC42" s="4081">
        <f ca="1">OFFSET(HC42,0,-1)+1</f>
        <v>4</v>
      </c>
      <c r="HD42" s="4081"/>
      <c r="HE42" s="2569">
        <f ca="1">OFFSET(HE42,0,-2)+1</f>
        <v>5</v>
      </c>
      <c r="HF42" s="2569">
        <f ca="1">OFFSET(HF42,0,-1)+1</f>
        <v>6</v>
      </c>
      <c r="HG42" s="2569"/>
      <c r="HH42" s="2569">
        <f ca="1">OFFSET(HH42,0,-1)+1</f>
        <v>1</v>
      </c>
      <c r="HI42" s="2569">
        <f ca="1">OFFSET(HI42,0,-1)+1</f>
        <v>2</v>
      </c>
      <c r="HJ42" s="2569">
        <f ca="1">OFFSET(HJ42,0,-1)+1</f>
        <v>3</v>
      </c>
      <c r="HK42" s="4081">
        <f ca="1">OFFSET(HK42,0,-1)+1</f>
        <v>4</v>
      </c>
      <c r="HL42" s="4081"/>
      <c r="HM42" s="2569">
        <f ca="1">OFFSET(HM42,0,-2)+1</f>
        <v>5</v>
      </c>
      <c r="HN42" s="2569">
        <f ca="1">OFFSET(HN42,0,-1)+1</f>
        <v>6</v>
      </c>
      <c r="HO42" s="2569"/>
      <c r="HP42" s="2569">
        <f ca="1">OFFSET(HP42,0,-1)+1</f>
        <v>1</v>
      </c>
      <c r="HQ42" s="2569">
        <f ca="1">OFFSET(HQ42,0,-1)+1</f>
        <v>2</v>
      </c>
      <c r="HR42" s="2569">
        <f ca="1">OFFSET(HR42,0,-1)+1</f>
        <v>3</v>
      </c>
      <c r="HS42" s="4081">
        <f ca="1">OFFSET(HS42,0,-1)+1</f>
        <v>4</v>
      </c>
      <c r="HT42" s="4081"/>
      <c r="HU42" s="2569">
        <f ca="1">OFFSET(HU42,0,-2)+1</f>
        <v>5</v>
      </c>
      <c r="HV42" s="2569">
        <f ca="1">OFFSET(HV42,0,-1)+1</f>
        <v>6</v>
      </c>
      <c r="HW42" s="2569"/>
      <c r="HX42" s="2569">
        <f ca="1">OFFSET(HX42,0,-1)+1</f>
        <v>1</v>
      </c>
      <c r="HY42" s="2569">
        <f ca="1">OFFSET(HY42,0,-1)+1</f>
        <v>2</v>
      </c>
      <c r="HZ42" s="2569">
        <f ca="1">OFFSET(HZ42,0,-1)+1</f>
        <v>3</v>
      </c>
      <c r="IA42" s="4081">
        <f ca="1">OFFSET(IA42,0,-1)+1</f>
        <v>4</v>
      </c>
      <c r="IB42" s="4081"/>
      <c r="IC42" s="2569">
        <f ca="1">OFFSET(IC42,0,-2)+1</f>
        <v>5</v>
      </c>
      <c r="ID42" s="1154">
        <f ca="1">OFFSET(ID42,0,-1)</f>
        <v>5</v>
      </c>
      <c r="IE42" s="1173">
        <f ca="1">OFFSET(IE42,0,-1)+1</f>
        <v>6</v>
      </c>
      <c r="IF42" s="437"/>
      <c r="IG42" s="437"/>
      <c r="IH42" s="437"/>
      <c r="II42" s="437"/>
      <c r="IJ42" s="437"/>
    </row>
    <row r="43" spans="1:244" ht="23.25" customHeight="1">
      <c r="A43" s="1279" t="s">
        <v>154</v>
      </c>
      <c r="B43" s="1279"/>
      <c r="C43" s="1279"/>
      <c r="D43" s="1279"/>
      <c r="E43" s="4074">
        <v>1</v>
      </c>
      <c r="F43" s="1279"/>
      <c r="G43" s="1279"/>
      <c r="H43" s="1279"/>
      <c r="I43" s="1279"/>
      <c r="J43" s="1279"/>
      <c r="K43" s="1279"/>
      <c r="L43" s="1280"/>
      <c r="M43" s="1281"/>
      <c r="N43" s="1281"/>
      <c r="O43" s="1281"/>
      <c r="P43" s="286"/>
      <c r="Q43" s="285"/>
      <c r="R43" s="280"/>
      <c r="S43" s="1132">
        <f>INDEX(PT_DIFFERENTIATION_NUM_NTAR,MATCH(A43,PT_DIFFERENTIATION_NTAR_ID,0))</f>
        <v>0</v>
      </c>
      <c r="T43" s="217" t="s">
        <v>121</v>
      </c>
      <c r="U43" s="219"/>
      <c r="V43" s="4060"/>
      <c r="W43" s="4061"/>
      <c r="X43" s="4061"/>
      <c r="Y43" s="4061"/>
      <c r="Z43" s="4061"/>
      <c r="AA43" s="4061"/>
      <c r="AB43" s="4061"/>
      <c r="AC43" s="4062"/>
      <c r="AD43" s="4060" t="str">
        <f>INDEX(PT_DIFFERENTIATION_NTAR,MATCH(A43,PT_DIFFERENTIATION_NTAR_ID,0))</f>
        <v/>
      </c>
      <c r="AE43" s="4061"/>
      <c r="AF43" s="4061"/>
      <c r="AG43" s="4061"/>
      <c r="AH43" s="4061"/>
      <c r="AI43" s="4061"/>
      <c r="AJ43" s="4061"/>
      <c r="AK43" s="4061"/>
      <c r="AL43" s="4060"/>
      <c r="AM43" s="4061"/>
      <c r="AN43" s="4061"/>
      <c r="AO43" s="4061"/>
      <c r="AP43" s="4061"/>
      <c r="AQ43" s="4061"/>
      <c r="AR43" s="4061"/>
      <c r="AS43" s="4062"/>
      <c r="AT43" s="4060"/>
      <c r="AU43" s="4061"/>
      <c r="AV43" s="4061"/>
      <c r="AW43" s="4061"/>
      <c r="AX43" s="4061"/>
      <c r="AY43" s="4061"/>
      <c r="AZ43" s="4061"/>
      <c r="BA43" s="4062"/>
      <c r="BB43" s="4060"/>
      <c r="BC43" s="4061"/>
      <c r="BD43" s="4061"/>
      <c r="BE43" s="4061"/>
      <c r="BF43" s="4061"/>
      <c r="BG43" s="4061"/>
      <c r="BH43" s="4061"/>
      <c r="BI43" s="4062"/>
      <c r="BJ43" s="4060"/>
      <c r="BK43" s="4061"/>
      <c r="BL43" s="4061"/>
      <c r="BM43" s="4061"/>
      <c r="BN43" s="4061"/>
      <c r="BO43" s="4061"/>
      <c r="BP43" s="4061"/>
      <c r="BQ43" s="4062"/>
      <c r="BR43" s="4060"/>
      <c r="BS43" s="4061"/>
      <c r="BT43" s="4061"/>
      <c r="BU43" s="4061"/>
      <c r="BV43" s="4061"/>
      <c r="BW43" s="4061"/>
      <c r="BX43" s="4061"/>
      <c r="BY43" s="4062"/>
      <c r="BZ43" s="4060"/>
      <c r="CA43" s="4061"/>
      <c r="CB43" s="4061"/>
      <c r="CC43" s="4061"/>
      <c r="CD43" s="4061"/>
      <c r="CE43" s="4061"/>
      <c r="CF43" s="4061"/>
      <c r="CG43" s="4062"/>
      <c r="CH43" s="4060"/>
      <c r="CI43" s="4061"/>
      <c r="CJ43" s="4061"/>
      <c r="CK43" s="4061"/>
      <c r="CL43" s="4061"/>
      <c r="CM43" s="4061"/>
      <c r="CN43" s="4061"/>
      <c r="CO43" s="4062"/>
      <c r="CP43" s="4060"/>
      <c r="CQ43" s="4061"/>
      <c r="CR43" s="4061"/>
      <c r="CS43" s="4061"/>
      <c r="CT43" s="4061"/>
      <c r="CU43" s="4061"/>
      <c r="CV43" s="4061"/>
      <c r="CW43" s="4062"/>
      <c r="CX43" s="4060"/>
      <c r="CY43" s="4061"/>
      <c r="CZ43" s="4061"/>
      <c r="DA43" s="4061"/>
      <c r="DB43" s="4061"/>
      <c r="DC43" s="4061"/>
      <c r="DD43" s="4061"/>
      <c r="DE43" s="4062"/>
      <c r="DF43" s="4060"/>
      <c r="DG43" s="4061"/>
      <c r="DH43" s="4061"/>
      <c r="DI43" s="4061"/>
      <c r="DJ43" s="4061"/>
      <c r="DK43" s="4061"/>
      <c r="DL43" s="4061"/>
      <c r="DM43" s="4062"/>
      <c r="DN43" s="4060"/>
      <c r="DO43" s="4061"/>
      <c r="DP43" s="4061"/>
      <c r="DQ43" s="4061"/>
      <c r="DR43" s="4061"/>
      <c r="DS43" s="4061"/>
      <c r="DT43" s="4061"/>
      <c r="DU43" s="4062"/>
      <c r="DV43" s="4060"/>
      <c r="DW43" s="4061"/>
      <c r="DX43" s="4061"/>
      <c r="DY43" s="4061"/>
      <c r="DZ43" s="4061"/>
      <c r="EA43" s="4061"/>
      <c r="EB43" s="4061"/>
      <c r="EC43" s="4062"/>
      <c r="ED43" s="4060"/>
      <c r="EE43" s="4061"/>
      <c r="EF43" s="4061"/>
      <c r="EG43" s="4061"/>
      <c r="EH43" s="4061"/>
      <c r="EI43" s="4061"/>
      <c r="EJ43" s="4061"/>
      <c r="EK43" s="4062"/>
      <c r="EL43" s="4060"/>
      <c r="EM43" s="4061"/>
      <c r="EN43" s="4061"/>
      <c r="EO43" s="4061"/>
      <c r="EP43" s="4061"/>
      <c r="EQ43" s="4061"/>
      <c r="ER43" s="4061"/>
      <c r="ES43" s="4062"/>
      <c r="ET43" s="4060"/>
      <c r="EU43" s="4061"/>
      <c r="EV43" s="4061"/>
      <c r="EW43" s="4061"/>
      <c r="EX43" s="4061"/>
      <c r="EY43" s="4061"/>
      <c r="EZ43" s="4061"/>
      <c r="FA43" s="4062"/>
      <c r="FB43" s="4060"/>
      <c r="FC43" s="4061"/>
      <c r="FD43" s="4061"/>
      <c r="FE43" s="4061"/>
      <c r="FF43" s="4061"/>
      <c r="FG43" s="4061"/>
      <c r="FH43" s="4061"/>
      <c r="FI43" s="4062"/>
      <c r="FJ43" s="4060"/>
      <c r="FK43" s="4061"/>
      <c r="FL43" s="4061"/>
      <c r="FM43" s="4061"/>
      <c r="FN43" s="4061"/>
      <c r="FO43" s="4061"/>
      <c r="FP43" s="4061"/>
      <c r="FQ43" s="4062"/>
      <c r="FR43" s="4060"/>
      <c r="FS43" s="4061"/>
      <c r="FT43" s="4061"/>
      <c r="FU43" s="4061"/>
      <c r="FV43" s="4061"/>
      <c r="FW43" s="4061"/>
      <c r="FX43" s="4061"/>
      <c r="FY43" s="4062"/>
      <c r="FZ43" s="4060"/>
      <c r="GA43" s="4061"/>
      <c r="GB43" s="4061"/>
      <c r="GC43" s="4061"/>
      <c r="GD43" s="4061"/>
      <c r="GE43" s="4061"/>
      <c r="GF43" s="4061"/>
      <c r="GG43" s="4062"/>
      <c r="GH43" s="4060"/>
      <c r="GI43" s="4061"/>
      <c r="GJ43" s="4061"/>
      <c r="GK43" s="4061"/>
      <c r="GL43" s="4061"/>
      <c r="GM43" s="4061"/>
      <c r="GN43" s="4061"/>
      <c r="GO43" s="4062"/>
      <c r="GP43" s="4060"/>
      <c r="GQ43" s="4061"/>
      <c r="GR43" s="4061"/>
      <c r="GS43" s="4061"/>
      <c r="GT43" s="4061"/>
      <c r="GU43" s="4061"/>
      <c r="GV43" s="4061"/>
      <c r="GW43" s="4062"/>
      <c r="GX43" s="4060"/>
      <c r="GY43" s="4061"/>
      <c r="GZ43" s="4061"/>
      <c r="HA43" s="4061"/>
      <c r="HB43" s="4061"/>
      <c r="HC43" s="4061"/>
      <c r="HD43" s="4061"/>
      <c r="HE43" s="4062"/>
      <c r="HF43" s="4060"/>
      <c r="HG43" s="4061"/>
      <c r="HH43" s="4061"/>
      <c r="HI43" s="4061"/>
      <c r="HJ43" s="4061"/>
      <c r="HK43" s="4061"/>
      <c r="HL43" s="4061"/>
      <c r="HM43" s="4062"/>
      <c r="HN43" s="4060"/>
      <c r="HO43" s="4061"/>
      <c r="HP43" s="4061"/>
      <c r="HQ43" s="4061"/>
      <c r="HR43" s="4061"/>
      <c r="HS43" s="4061"/>
      <c r="HT43" s="4061"/>
      <c r="HU43" s="4062"/>
      <c r="HV43" s="4060"/>
      <c r="HW43" s="4061"/>
      <c r="HX43" s="4061"/>
      <c r="HY43" s="4061"/>
      <c r="HZ43" s="4061"/>
      <c r="IA43" s="4061"/>
      <c r="IB43" s="4061"/>
      <c r="IC43" s="4062"/>
      <c r="ID43" s="4062"/>
      <c r="IE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IG43" s="426"/>
      <c r="IH43" s="426" t="str">
        <f t="shared" ref="IH43:IH57" si="1">IF(T43="","",T43)</f>
        <v>Наименование тарифа</v>
      </c>
      <c r="II43" s="426"/>
      <c r="IJ43" s="426"/>
    </row>
    <row r="44" spans="1:244" ht="23.25" customHeight="1">
      <c r="A44" s="1279" t="s">
        <v>154</v>
      </c>
      <c r="B44" s="1279" t="s">
        <v>155</v>
      </c>
      <c r="C44" s="1279"/>
      <c r="D44" s="1279"/>
      <c r="E44" s="4075"/>
      <c r="F44" s="4074">
        <v>1</v>
      </c>
      <c r="G44" s="1279"/>
      <c r="H44" s="1279"/>
      <c r="I44" s="1279"/>
      <c r="J44" s="1279"/>
      <c r="K44" s="1279"/>
      <c r="L44" s="1280"/>
      <c r="M44" s="1281"/>
      <c r="N44" s="1281"/>
      <c r="O44" s="1281"/>
      <c r="P44" s="448"/>
      <c r="Q44" s="277"/>
      <c r="R44" s="278"/>
      <c r="S44" s="1132" t="str">
        <f>INDEX(PT_DIFFERENTIATION_NUM_TER,MATCH(B44,PT_DIFFERENTIATION_TER_ID,0))</f>
        <v>.</v>
      </c>
      <c r="T44" s="229" t="s">
        <v>389</v>
      </c>
      <c r="U44" s="219"/>
      <c r="V44" s="4060"/>
      <c r="W44" s="4061"/>
      <c r="X44" s="4061"/>
      <c r="Y44" s="4061"/>
      <c r="Z44" s="4061"/>
      <c r="AA44" s="4061"/>
      <c r="AB44" s="4061"/>
      <c r="AC44" s="4062"/>
      <c r="AD44" s="4060" t="str">
        <f>INDEX(PT_DIFFERENTIATION_TER,MATCH(B44,PT_DIFFERENTIATION_TER_ID,0))</f>
        <v/>
      </c>
      <c r="AE44" s="4061"/>
      <c r="AF44" s="4061"/>
      <c r="AG44" s="4061"/>
      <c r="AH44" s="4061"/>
      <c r="AI44" s="4061"/>
      <c r="AJ44" s="4061"/>
      <c r="AK44" s="4061"/>
      <c r="AL44" s="4060"/>
      <c r="AM44" s="4061"/>
      <c r="AN44" s="4061"/>
      <c r="AO44" s="4061"/>
      <c r="AP44" s="4061"/>
      <c r="AQ44" s="4061"/>
      <c r="AR44" s="4061"/>
      <c r="AS44" s="4062"/>
      <c r="AT44" s="4060"/>
      <c r="AU44" s="4061"/>
      <c r="AV44" s="4061"/>
      <c r="AW44" s="4061"/>
      <c r="AX44" s="4061"/>
      <c r="AY44" s="4061"/>
      <c r="AZ44" s="4061"/>
      <c r="BA44" s="4062"/>
      <c r="BB44" s="4060"/>
      <c r="BC44" s="4061"/>
      <c r="BD44" s="4061"/>
      <c r="BE44" s="4061"/>
      <c r="BF44" s="4061"/>
      <c r="BG44" s="4061"/>
      <c r="BH44" s="4061"/>
      <c r="BI44" s="4062"/>
      <c r="BJ44" s="4060"/>
      <c r="BK44" s="4061"/>
      <c r="BL44" s="4061"/>
      <c r="BM44" s="4061"/>
      <c r="BN44" s="4061"/>
      <c r="BO44" s="4061"/>
      <c r="BP44" s="4061"/>
      <c r="BQ44" s="4062"/>
      <c r="BR44" s="4060"/>
      <c r="BS44" s="4061"/>
      <c r="BT44" s="4061"/>
      <c r="BU44" s="4061"/>
      <c r="BV44" s="4061"/>
      <c r="BW44" s="4061"/>
      <c r="BX44" s="4061"/>
      <c r="BY44" s="4062"/>
      <c r="BZ44" s="4060"/>
      <c r="CA44" s="4061"/>
      <c r="CB44" s="4061"/>
      <c r="CC44" s="4061"/>
      <c r="CD44" s="4061"/>
      <c r="CE44" s="4061"/>
      <c r="CF44" s="4061"/>
      <c r="CG44" s="4062"/>
      <c r="CH44" s="4060"/>
      <c r="CI44" s="4061"/>
      <c r="CJ44" s="4061"/>
      <c r="CK44" s="4061"/>
      <c r="CL44" s="4061"/>
      <c r="CM44" s="4061"/>
      <c r="CN44" s="4061"/>
      <c r="CO44" s="4062"/>
      <c r="CP44" s="4060"/>
      <c r="CQ44" s="4061"/>
      <c r="CR44" s="4061"/>
      <c r="CS44" s="4061"/>
      <c r="CT44" s="4061"/>
      <c r="CU44" s="4061"/>
      <c r="CV44" s="4061"/>
      <c r="CW44" s="4062"/>
      <c r="CX44" s="4060"/>
      <c r="CY44" s="4061"/>
      <c r="CZ44" s="4061"/>
      <c r="DA44" s="4061"/>
      <c r="DB44" s="4061"/>
      <c r="DC44" s="4061"/>
      <c r="DD44" s="4061"/>
      <c r="DE44" s="4062"/>
      <c r="DF44" s="4060"/>
      <c r="DG44" s="4061"/>
      <c r="DH44" s="4061"/>
      <c r="DI44" s="4061"/>
      <c r="DJ44" s="4061"/>
      <c r="DK44" s="4061"/>
      <c r="DL44" s="4061"/>
      <c r="DM44" s="4062"/>
      <c r="DN44" s="4060"/>
      <c r="DO44" s="4061"/>
      <c r="DP44" s="4061"/>
      <c r="DQ44" s="4061"/>
      <c r="DR44" s="4061"/>
      <c r="DS44" s="4061"/>
      <c r="DT44" s="4061"/>
      <c r="DU44" s="4062"/>
      <c r="DV44" s="4060"/>
      <c r="DW44" s="4061"/>
      <c r="DX44" s="4061"/>
      <c r="DY44" s="4061"/>
      <c r="DZ44" s="4061"/>
      <c r="EA44" s="4061"/>
      <c r="EB44" s="4061"/>
      <c r="EC44" s="4062"/>
      <c r="ED44" s="4060"/>
      <c r="EE44" s="4061"/>
      <c r="EF44" s="4061"/>
      <c r="EG44" s="4061"/>
      <c r="EH44" s="4061"/>
      <c r="EI44" s="4061"/>
      <c r="EJ44" s="4061"/>
      <c r="EK44" s="4062"/>
      <c r="EL44" s="4060"/>
      <c r="EM44" s="4061"/>
      <c r="EN44" s="4061"/>
      <c r="EO44" s="4061"/>
      <c r="EP44" s="4061"/>
      <c r="EQ44" s="4061"/>
      <c r="ER44" s="4061"/>
      <c r="ES44" s="4062"/>
      <c r="ET44" s="4060"/>
      <c r="EU44" s="4061"/>
      <c r="EV44" s="4061"/>
      <c r="EW44" s="4061"/>
      <c r="EX44" s="4061"/>
      <c r="EY44" s="4061"/>
      <c r="EZ44" s="4061"/>
      <c r="FA44" s="4062"/>
      <c r="FB44" s="4060"/>
      <c r="FC44" s="4061"/>
      <c r="FD44" s="4061"/>
      <c r="FE44" s="4061"/>
      <c r="FF44" s="4061"/>
      <c r="FG44" s="4061"/>
      <c r="FH44" s="4061"/>
      <c r="FI44" s="4062"/>
      <c r="FJ44" s="4060"/>
      <c r="FK44" s="4061"/>
      <c r="FL44" s="4061"/>
      <c r="FM44" s="4061"/>
      <c r="FN44" s="4061"/>
      <c r="FO44" s="4061"/>
      <c r="FP44" s="4061"/>
      <c r="FQ44" s="4062"/>
      <c r="FR44" s="4060"/>
      <c r="FS44" s="4061"/>
      <c r="FT44" s="4061"/>
      <c r="FU44" s="4061"/>
      <c r="FV44" s="4061"/>
      <c r="FW44" s="4061"/>
      <c r="FX44" s="4061"/>
      <c r="FY44" s="4062"/>
      <c r="FZ44" s="4060"/>
      <c r="GA44" s="4061"/>
      <c r="GB44" s="4061"/>
      <c r="GC44" s="4061"/>
      <c r="GD44" s="4061"/>
      <c r="GE44" s="4061"/>
      <c r="GF44" s="4061"/>
      <c r="GG44" s="4062"/>
      <c r="GH44" s="4060"/>
      <c r="GI44" s="4061"/>
      <c r="GJ44" s="4061"/>
      <c r="GK44" s="4061"/>
      <c r="GL44" s="4061"/>
      <c r="GM44" s="4061"/>
      <c r="GN44" s="4061"/>
      <c r="GO44" s="4062"/>
      <c r="GP44" s="4060"/>
      <c r="GQ44" s="4061"/>
      <c r="GR44" s="4061"/>
      <c r="GS44" s="4061"/>
      <c r="GT44" s="4061"/>
      <c r="GU44" s="4061"/>
      <c r="GV44" s="4061"/>
      <c r="GW44" s="4062"/>
      <c r="GX44" s="4060"/>
      <c r="GY44" s="4061"/>
      <c r="GZ44" s="4061"/>
      <c r="HA44" s="4061"/>
      <c r="HB44" s="4061"/>
      <c r="HC44" s="4061"/>
      <c r="HD44" s="4061"/>
      <c r="HE44" s="4062"/>
      <c r="HF44" s="4060"/>
      <c r="HG44" s="4061"/>
      <c r="HH44" s="4061"/>
      <c r="HI44" s="4061"/>
      <c r="HJ44" s="4061"/>
      <c r="HK44" s="4061"/>
      <c r="HL44" s="4061"/>
      <c r="HM44" s="4062"/>
      <c r="HN44" s="4060"/>
      <c r="HO44" s="4061"/>
      <c r="HP44" s="4061"/>
      <c r="HQ44" s="4061"/>
      <c r="HR44" s="4061"/>
      <c r="HS44" s="4061"/>
      <c r="HT44" s="4061"/>
      <c r="HU44" s="4062"/>
      <c r="HV44" s="4060"/>
      <c r="HW44" s="4061"/>
      <c r="HX44" s="4061"/>
      <c r="HY44" s="4061"/>
      <c r="HZ44" s="4061"/>
      <c r="IA44" s="4061"/>
      <c r="IB44" s="4061"/>
      <c r="IC44" s="4062"/>
      <c r="ID44" s="4062"/>
      <c r="IE44" s="1177" t="s">
        <v>390</v>
      </c>
      <c r="IG44" s="426"/>
      <c r="IH44" s="426" t="str">
        <f t="shared" si="1"/>
        <v>Территория действия тарифа</v>
      </c>
      <c r="II44" s="426"/>
      <c r="IJ44" s="426"/>
    </row>
    <row r="45" spans="1:244" ht="23.25" customHeight="1">
      <c r="A45" s="1279" t="s">
        <v>154</v>
      </c>
      <c r="B45" s="1279" t="s">
        <v>155</v>
      </c>
      <c r="C45" s="1279" t="s">
        <v>156</v>
      </c>
      <c r="D45" s="1279"/>
      <c r="E45" s="4075"/>
      <c r="F45" s="4075"/>
      <c r="G45" s="4074">
        <v>1</v>
      </c>
      <c r="H45" s="1279"/>
      <c r="I45" s="1279"/>
      <c r="J45" s="1279"/>
      <c r="K45" s="1279"/>
      <c r="L45" s="1280"/>
      <c r="M45" s="1281"/>
      <c r="N45" s="1281"/>
      <c r="O45" s="1281"/>
      <c r="P45" s="279"/>
      <c r="Q45" s="277"/>
      <c r="R45" s="278"/>
      <c r="S45" s="1132" t="str">
        <f>INDEX(PT_DIFFERENTIATION_NUM_CS,MATCH(C45,PT_DIFFERENTIATION_CS_ID,0))</f>
        <v>..</v>
      </c>
      <c r="T45" s="230" t="s">
        <v>391</v>
      </c>
      <c r="U45" s="219"/>
      <c r="V45" s="4060"/>
      <c r="W45" s="4061"/>
      <c r="X45" s="4061"/>
      <c r="Y45" s="4061"/>
      <c r="Z45" s="4061"/>
      <c r="AA45" s="4061"/>
      <c r="AB45" s="4061"/>
      <c r="AC45" s="4062"/>
      <c r="AD45" s="4060" t="str">
        <f>INDEX(PT_DIFFERENTIATION_CS,MATCH(C45,PT_DIFFERENTIATION_CS_ID,0))</f>
        <v/>
      </c>
      <c r="AE45" s="4061"/>
      <c r="AF45" s="4061"/>
      <c r="AG45" s="4061"/>
      <c r="AH45" s="4061"/>
      <c r="AI45" s="4061"/>
      <c r="AJ45" s="4061"/>
      <c r="AK45" s="4061"/>
      <c r="AL45" s="4060"/>
      <c r="AM45" s="4061"/>
      <c r="AN45" s="4061"/>
      <c r="AO45" s="4061"/>
      <c r="AP45" s="4061"/>
      <c r="AQ45" s="4061"/>
      <c r="AR45" s="4061"/>
      <c r="AS45" s="4062"/>
      <c r="AT45" s="4060"/>
      <c r="AU45" s="4061"/>
      <c r="AV45" s="4061"/>
      <c r="AW45" s="4061"/>
      <c r="AX45" s="4061"/>
      <c r="AY45" s="4061"/>
      <c r="AZ45" s="4061"/>
      <c r="BA45" s="4062"/>
      <c r="BB45" s="4060"/>
      <c r="BC45" s="4061"/>
      <c r="BD45" s="4061"/>
      <c r="BE45" s="4061"/>
      <c r="BF45" s="4061"/>
      <c r="BG45" s="4061"/>
      <c r="BH45" s="4061"/>
      <c r="BI45" s="4062"/>
      <c r="BJ45" s="4060"/>
      <c r="BK45" s="4061"/>
      <c r="BL45" s="4061"/>
      <c r="BM45" s="4061"/>
      <c r="BN45" s="4061"/>
      <c r="BO45" s="4061"/>
      <c r="BP45" s="4061"/>
      <c r="BQ45" s="4062"/>
      <c r="BR45" s="4060"/>
      <c r="BS45" s="4061"/>
      <c r="BT45" s="4061"/>
      <c r="BU45" s="4061"/>
      <c r="BV45" s="4061"/>
      <c r="BW45" s="4061"/>
      <c r="BX45" s="4061"/>
      <c r="BY45" s="4062"/>
      <c r="BZ45" s="4060"/>
      <c r="CA45" s="4061"/>
      <c r="CB45" s="4061"/>
      <c r="CC45" s="4061"/>
      <c r="CD45" s="4061"/>
      <c r="CE45" s="4061"/>
      <c r="CF45" s="4061"/>
      <c r="CG45" s="4062"/>
      <c r="CH45" s="4060"/>
      <c r="CI45" s="4061"/>
      <c r="CJ45" s="4061"/>
      <c r="CK45" s="4061"/>
      <c r="CL45" s="4061"/>
      <c r="CM45" s="4061"/>
      <c r="CN45" s="4061"/>
      <c r="CO45" s="4062"/>
      <c r="CP45" s="4060"/>
      <c r="CQ45" s="4061"/>
      <c r="CR45" s="4061"/>
      <c r="CS45" s="4061"/>
      <c r="CT45" s="4061"/>
      <c r="CU45" s="4061"/>
      <c r="CV45" s="4061"/>
      <c r="CW45" s="4062"/>
      <c r="CX45" s="4060"/>
      <c r="CY45" s="4061"/>
      <c r="CZ45" s="4061"/>
      <c r="DA45" s="4061"/>
      <c r="DB45" s="4061"/>
      <c r="DC45" s="4061"/>
      <c r="DD45" s="4061"/>
      <c r="DE45" s="4062"/>
      <c r="DF45" s="4060"/>
      <c r="DG45" s="4061"/>
      <c r="DH45" s="4061"/>
      <c r="DI45" s="4061"/>
      <c r="DJ45" s="4061"/>
      <c r="DK45" s="4061"/>
      <c r="DL45" s="4061"/>
      <c r="DM45" s="4062"/>
      <c r="DN45" s="4060"/>
      <c r="DO45" s="4061"/>
      <c r="DP45" s="4061"/>
      <c r="DQ45" s="4061"/>
      <c r="DR45" s="4061"/>
      <c r="DS45" s="4061"/>
      <c r="DT45" s="4061"/>
      <c r="DU45" s="4062"/>
      <c r="DV45" s="4060"/>
      <c r="DW45" s="4061"/>
      <c r="DX45" s="4061"/>
      <c r="DY45" s="4061"/>
      <c r="DZ45" s="4061"/>
      <c r="EA45" s="4061"/>
      <c r="EB45" s="4061"/>
      <c r="EC45" s="4062"/>
      <c r="ED45" s="4060"/>
      <c r="EE45" s="4061"/>
      <c r="EF45" s="4061"/>
      <c r="EG45" s="4061"/>
      <c r="EH45" s="4061"/>
      <c r="EI45" s="4061"/>
      <c r="EJ45" s="4061"/>
      <c r="EK45" s="4062"/>
      <c r="EL45" s="4060"/>
      <c r="EM45" s="4061"/>
      <c r="EN45" s="4061"/>
      <c r="EO45" s="4061"/>
      <c r="EP45" s="4061"/>
      <c r="EQ45" s="4061"/>
      <c r="ER45" s="4061"/>
      <c r="ES45" s="4062"/>
      <c r="ET45" s="4060"/>
      <c r="EU45" s="4061"/>
      <c r="EV45" s="4061"/>
      <c r="EW45" s="4061"/>
      <c r="EX45" s="4061"/>
      <c r="EY45" s="4061"/>
      <c r="EZ45" s="4061"/>
      <c r="FA45" s="4062"/>
      <c r="FB45" s="4060"/>
      <c r="FC45" s="4061"/>
      <c r="FD45" s="4061"/>
      <c r="FE45" s="4061"/>
      <c r="FF45" s="4061"/>
      <c r="FG45" s="4061"/>
      <c r="FH45" s="4061"/>
      <c r="FI45" s="4062"/>
      <c r="FJ45" s="4060"/>
      <c r="FK45" s="4061"/>
      <c r="FL45" s="4061"/>
      <c r="FM45" s="4061"/>
      <c r="FN45" s="4061"/>
      <c r="FO45" s="4061"/>
      <c r="FP45" s="4061"/>
      <c r="FQ45" s="4062"/>
      <c r="FR45" s="4060"/>
      <c r="FS45" s="4061"/>
      <c r="FT45" s="4061"/>
      <c r="FU45" s="4061"/>
      <c r="FV45" s="4061"/>
      <c r="FW45" s="4061"/>
      <c r="FX45" s="4061"/>
      <c r="FY45" s="4062"/>
      <c r="FZ45" s="4060"/>
      <c r="GA45" s="4061"/>
      <c r="GB45" s="4061"/>
      <c r="GC45" s="4061"/>
      <c r="GD45" s="4061"/>
      <c r="GE45" s="4061"/>
      <c r="GF45" s="4061"/>
      <c r="GG45" s="4062"/>
      <c r="GH45" s="4060"/>
      <c r="GI45" s="4061"/>
      <c r="GJ45" s="4061"/>
      <c r="GK45" s="4061"/>
      <c r="GL45" s="4061"/>
      <c r="GM45" s="4061"/>
      <c r="GN45" s="4061"/>
      <c r="GO45" s="4062"/>
      <c r="GP45" s="4060"/>
      <c r="GQ45" s="4061"/>
      <c r="GR45" s="4061"/>
      <c r="GS45" s="4061"/>
      <c r="GT45" s="4061"/>
      <c r="GU45" s="4061"/>
      <c r="GV45" s="4061"/>
      <c r="GW45" s="4062"/>
      <c r="GX45" s="4060"/>
      <c r="GY45" s="4061"/>
      <c r="GZ45" s="4061"/>
      <c r="HA45" s="4061"/>
      <c r="HB45" s="4061"/>
      <c r="HC45" s="4061"/>
      <c r="HD45" s="4061"/>
      <c r="HE45" s="4062"/>
      <c r="HF45" s="4060"/>
      <c r="HG45" s="4061"/>
      <c r="HH45" s="4061"/>
      <c r="HI45" s="4061"/>
      <c r="HJ45" s="4061"/>
      <c r="HK45" s="4061"/>
      <c r="HL45" s="4061"/>
      <c r="HM45" s="4062"/>
      <c r="HN45" s="4060"/>
      <c r="HO45" s="4061"/>
      <c r="HP45" s="4061"/>
      <c r="HQ45" s="4061"/>
      <c r="HR45" s="4061"/>
      <c r="HS45" s="4061"/>
      <c r="HT45" s="4061"/>
      <c r="HU45" s="4062"/>
      <c r="HV45" s="4060"/>
      <c r="HW45" s="4061"/>
      <c r="HX45" s="4061"/>
      <c r="HY45" s="4061"/>
      <c r="HZ45" s="4061"/>
      <c r="IA45" s="4061"/>
      <c r="IB45" s="4061"/>
      <c r="IC45" s="4062"/>
      <c r="ID45" s="4062"/>
      <c r="IE45" s="1177" t="s">
        <v>392</v>
      </c>
      <c r="IG45" s="426"/>
      <c r="IH45" s="426" t="str">
        <f t="shared" si="1"/>
        <v xml:space="preserve">Наименование системы теплоснабжения </v>
      </c>
      <c r="II45" s="426"/>
      <c r="IJ45" s="426"/>
    </row>
    <row r="46" spans="1:244" ht="23.25" customHeight="1">
      <c r="A46" s="1279" t="s">
        <v>154</v>
      </c>
      <c r="B46" s="1279" t="s">
        <v>155</v>
      </c>
      <c r="C46" s="1279" t="s">
        <v>156</v>
      </c>
      <c r="D46" s="1279" t="s">
        <v>157</v>
      </c>
      <c r="E46" s="4075"/>
      <c r="F46" s="4075"/>
      <c r="G46" s="4075"/>
      <c r="H46" s="4074">
        <v>1</v>
      </c>
      <c r="I46" s="1279"/>
      <c r="J46" s="1279"/>
      <c r="K46" s="1279"/>
      <c r="L46" s="1280"/>
      <c r="M46" s="1281"/>
      <c r="N46" s="1281"/>
      <c r="O46" s="1281"/>
      <c r="P46" s="279"/>
      <c r="Q46" s="277"/>
      <c r="R46" s="278"/>
      <c r="S46" s="1132" t="str">
        <f>INDEX(PT_DIFFERENTIATION_NUM_IST_TE,MATCH(D46,PT_DIFFERENTIATION_IST_TE_ID,0))</f>
        <v>...</v>
      </c>
      <c r="T46" s="231" t="s">
        <v>393</v>
      </c>
      <c r="U46" s="219"/>
      <c r="V46" s="4060"/>
      <c r="W46" s="4061"/>
      <c r="X46" s="4061"/>
      <c r="Y46" s="4061"/>
      <c r="Z46" s="4061"/>
      <c r="AA46" s="4061"/>
      <c r="AB46" s="4061"/>
      <c r="AC46" s="4062"/>
      <c r="AD46" s="4060" t="str">
        <f>INDEX(PT_DIFFERENTIATION_IST_TE,MATCH(D46,PT_DIFFERENTIATION_IST_TE_ID,0))</f>
        <v/>
      </c>
      <c r="AE46" s="4061"/>
      <c r="AF46" s="4061"/>
      <c r="AG46" s="4061"/>
      <c r="AH46" s="4061"/>
      <c r="AI46" s="4061"/>
      <c r="AJ46" s="4061"/>
      <c r="AK46" s="4061"/>
      <c r="AL46" s="4060"/>
      <c r="AM46" s="4061"/>
      <c r="AN46" s="4061"/>
      <c r="AO46" s="4061"/>
      <c r="AP46" s="4061"/>
      <c r="AQ46" s="4061"/>
      <c r="AR46" s="4061"/>
      <c r="AS46" s="4062"/>
      <c r="AT46" s="4060"/>
      <c r="AU46" s="4061"/>
      <c r="AV46" s="4061"/>
      <c r="AW46" s="4061"/>
      <c r="AX46" s="4061"/>
      <c r="AY46" s="4061"/>
      <c r="AZ46" s="4061"/>
      <c r="BA46" s="4062"/>
      <c r="BB46" s="4060"/>
      <c r="BC46" s="4061"/>
      <c r="BD46" s="4061"/>
      <c r="BE46" s="4061"/>
      <c r="BF46" s="4061"/>
      <c r="BG46" s="4061"/>
      <c r="BH46" s="4061"/>
      <c r="BI46" s="4062"/>
      <c r="BJ46" s="4060"/>
      <c r="BK46" s="4061"/>
      <c r="BL46" s="4061"/>
      <c r="BM46" s="4061"/>
      <c r="BN46" s="4061"/>
      <c r="BO46" s="4061"/>
      <c r="BP46" s="4061"/>
      <c r="BQ46" s="4062"/>
      <c r="BR46" s="4060"/>
      <c r="BS46" s="4061"/>
      <c r="BT46" s="4061"/>
      <c r="BU46" s="4061"/>
      <c r="BV46" s="4061"/>
      <c r="BW46" s="4061"/>
      <c r="BX46" s="4061"/>
      <c r="BY46" s="4062"/>
      <c r="BZ46" s="4060"/>
      <c r="CA46" s="4061"/>
      <c r="CB46" s="4061"/>
      <c r="CC46" s="4061"/>
      <c r="CD46" s="4061"/>
      <c r="CE46" s="4061"/>
      <c r="CF46" s="4061"/>
      <c r="CG46" s="4062"/>
      <c r="CH46" s="4060"/>
      <c r="CI46" s="4061"/>
      <c r="CJ46" s="4061"/>
      <c r="CK46" s="4061"/>
      <c r="CL46" s="4061"/>
      <c r="CM46" s="4061"/>
      <c r="CN46" s="4061"/>
      <c r="CO46" s="4062"/>
      <c r="CP46" s="4060"/>
      <c r="CQ46" s="4061"/>
      <c r="CR46" s="4061"/>
      <c r="CS46" s="4061"/>
      <c r="CT46" s="4061"/>
      <c r="CU46" s="4061"/>
      <c r="CV46" s="4061"/>
      <c r="CW46" s="4062"/>
      <c r="CX46" s="4060"/>
      <c r="CY46" s="4061"/>
      <c r="CZ46" s="4061"/>
      <c r="DA46" s="4061"/>
      <c r="DB46" s="4061"/>
      <c r="DC46" s="4061"/>
      <c r="DD46" s="4061"/>
      <c r="DE46" s="4062"/>
      <c r="DF46" s="4060"/>
      <c r="DG46" s="4061"/>
      <c r="DH46" s="4061"/>
      <c r="DI46" s="4061"/>
      <c r="DJ46" s="4061"/>
      <c r="DK46" s="4061"/>
      <c r="DL46" s="4061"/>
      <c r="DM46" s="4062"/>
      <c r="DN46" s="4060"/>
      <c r="DO46" s="4061"/>
      <c r="DP46" s="4061"/>
      <c r="DQ46" s="4061"/>
      <c r="DR46" s="4061"/>
      <c r="DS46" s="4061"/>
      <c r="DT46" s="4061"/>
      <c r="DU46" s="4062"/>
      <c r="DV46" s="4060"/>
      <c r="DW46" s="4061"/>
      <c r="DX46" s="4061"/>
      <c r="DY46" s="4061"/>
      <c r="DZ46" s="4061"/>
      <c r="EA46" s="4061"/>
      <c r="EB46" s="4061"/>
      <c r="EC46" s="4062"/>
      <c r="ED46" s="4060"/>
      <c r="EE46" s="4061"/>
      <c r="EF46" s="4061"/>
      <c r="EG46" s="4061"/>
      <c r="EH46" s="4061"/>
      <c r="EI46" s="4061"/>
      <c r="EJ46" s="4061"/>
      <c r="EK46" s="4062"/>
      <c r="EL46" s="4060"/>
      <c r="EM46" s="4061"/>
      <c r="EN46" s="4061"/>
      <c r="EO46" s="4061"/>
      <c r="EP46" s="4061"/>
      <c r="EQ46" s="4061"/>
      <c r="ER46" s="4061"/>
      <c r="ES46" s="4062"/>
      <c r="ET46" s="4060"/>
      <c r="EU46" s="4061"/>
      <c r="EV46" s="4061"/>
      <c r="EW46" s="4061"/>
      <c r="EX46" s="4061"/>
      <c r="EY46" s="4061"/>
      <c r="EZ46" s="4061"/>
      <c r="FA46" s="4062"/>
      <c r="FB46" s="4060"/>
      <c r="FC46" s="4061"/>
      <c r="FD46" s="4061"/>
      <c r="FE46" s="4061"/>
      <c r="FF46" s="4061"/>
      <c r="FG46" s="4061"/>
      <c r="FH46" s="4061"/>
      <c r="FI46" s="4062"/>
      <c r="FJ46" s="4060"/>
      <c r="FK46" s="4061"/>
      <c r="FL46" s="4061"/>
      <c r="FM46" s="4061"/>
      <c r="FN46" s="4061"/>
      <c r="FO46" s="4061"/>
      <c r="FP46" s="4061"/>
      <c r="FQ46" s="4062"/>
      <c r="FR46" s="4060"/>
      <c r="FS46" s="4061"/>
      <c r="FT46" s="4061"/>
      <c r="FU46" s="4061"/>
      <c r="FV46" s="4061"/>
      <c r="FW46" s="4061"/>
      <c r="FX46" s="4061"/>
      <c r="FY46" s="4062"/>
      <c r="FZ46" s="4060"/>
      <c r="GA46" s="4061"/>
      <c r="GB46" s="4061"/>
      <c r="GC46" s="4061"/>
      <c r="GD46" s="4061"/>
      <c r="GE46" s="4061"/>
      <c r="GF46" s="4061"/>
      <c r="GG46" s="4062"/>
      <c r="GH46" s="4060"/>
      <c r="GI46" s="4061"/>
      <c r="GJ46" s="4061"/>
      <c r="GK46" s="4061"/>
      <c r="GL46" s="4061"/>
      <c r="GM46" s="4061"/>
      <c r="GN46" s="4061"/>
      <c r="GO46" s="4062"/>
      <c r="GP46" s="4060"/>
      <c r="GQ46" s="4061"/>
      <c r="GR46" s="4061"/>
      <c r="GS46" s="4061"/>
      <c r="GT46" s="4061"/>
      <c r="GU46" s="4061"/>
      <c r="GV46" s="4061"/>
      <c r="GW46" s="4062"/>
      <c r="GX46" s="4060"/>
      <c r="GY46" s="4061"/>
      <c r="GZ46" s="4061"/>
      <c r="HA46" s="4061"/>
      <c r="HB46" s="4061"/>
      <c r="HC46" s="4061"/>
      <c r="HD46" s="4061"/>
      <c r="HE46" s="4062"/>
      <c r="HF46" s="4060"/>
      <c r="HG46" s="4061"/>
      <c r="HH46" s="4061"/>
      <c r="HI46" s="4061"/>
      <c r="HJ46" s="4061"/>
      <c r="HK46" s="4061"/>
      <c r="HL46" s="4061"/>
      <c r="HM46" s="4062"/>
      <c r="HN46" s="4060"/>
      <c r="HO46" s="4061"/>
      <c r="HP46" s="4061"/>
      <c r="HQ46" s="4061"/>
      <c r="HR46" s="4061"/>
      <c r="HS46" s="4061"/>
      <c r="HT46" s="4061"/>
      <c r="HU46" s="4062"/>
      <c r="HV46" s="4060"/>
      <c r="HW46" s="4061"/>
      <c r="HX46" s="4061"/>
      <c r="HY46" s="4061"/>
      <c r="HZ46" s="4061"/>
      <c r="IA46" s="4061"/>
      <c r="IB46" s="4061"/>
      <c r="IC46" s="4062"/>
      <c r="ID46" s="4062"/>
      <c r="IE46" s="1177" t="s">
        <v>394</v>
      </c>
      <c r="IG46" s="426"/>
      <c r="IH46" s="426" t="str">
        <f t="shared" si="1"/>
        <v xml:space="preserve">Источник тепловой энергии  </v>
      </c>
      <c r="II46" s="426"/>
      <c r="IJ46" s="426"/>
    </row>
    <row r="47" spans="1:244" ht="47.25" customHeight="1">
      <c r="A47" s="1279" t="s">
        <v>154</v>
      </c>
      <c r="B47" s="1279" t="s">
        <v>155</v>
      </c>
      <c r="C47" s="1279" t="s">
        <v>156</v>
      </c>
      <c r="D47" s="1279" t="s">
        <v>157</v>
      </c>
      <c r="E47" s="4075"/>
      <c r="F47" s="4075"/>
      <c r="G47" s="4075"/>
      <c r="H47" s="4075"/>
      <c r="I47" s="4072" t="str">
        <f>S46&amp;".1"</f>
        <v>....1</v>
      </c>
      <c r="J47" s="1279"/>
      <c r="K47" s="1279"/>
      <c r="L47" s="1280" t="s">
        <v>395</v>
      </c>
      <c r="P47" s="4073">
        <v>1</v>
      </c>
      <c r="Q47" s="1126"/>
      <c r="R47" s="281"/>
      <c r="S47" s="1132" t="str">
        <f>$I47</f>
        <v>....1</v>
      </c>
      <c r="T47" s="204" t="s">
        <v>396</v>
      </c>
      <c r="U47" s="219"/>
      <c r="V47" s="4063"/>
      <c r="W47" s="4064"/>
      <c r="X47" s="4064"/>
      <c r="Y47" s="4064"/>
      <c r="Z47" s="4064"/>
      <c r="AA47" s="4064"/>
      <c r="AB47" s="4064"/>
      <c r="AC47" s="4065"/>
      <c r="AD47" s="4063" t="s">
        <v>438</v>
      </c>
      <c r="AE47" s="4064"/>
      <c r="AF47" s="4064"/>
      <c r="AG47" s="4064"/>
      <c r="AH47" s="4064"/>
      <c r="AI47" s="4064"/>
      <c r="AJ47" s="4064"/>
      <c r="AK47" s="4064"/>
      <c r="AL47" s="4063"/>
      <c r="AM47" s="4064"/>
      <c r="AN47" s="4064"/>
      <c r="AO47" s="4064"/>
      <c r="AP47" s="4064"/>
      <c r="AQ47" s="4064"/>
      <c r="AR47" s="4064"/>
      <c r="AS47" s="4065"/>
      <c r="AT47" s="4063"/>
      <c r="AU47" s="4064"/>
      <c r="AV47" s="4064"/>
      <c r="AW47" s="4064"/>
      <c r="AX47" s="4064"/>
      <c r="AY47" s="4064"/>
      <c r="AZ47" s="4064"/>
      <c r="BA47" s="4065"/>
      <c r="BB47" s="4063"/>
      <c r="BC47" s="4064"/>
      <c r="BD47" s="4064"/>
      <c r="BE47" s="4064"/>
      <c r="BF47" s="4064"/>
      <c r="BG47" s="4064"/>
      <c r="BH47" s="4064"/>
      <c r="BI47" s="4065"/>
      <c r="BJ47" s="4063"/>
      <c r="BK47" s="4064"/>
      <c r="BL47" s="4064"/>
      <c r="BM47" s="4064"/>
      <c r="BN47" s="4064"/>
      <c r="BO47" s="4064"/>
      <c r="BP47" s="4064"/>
      <c r="BQ47" s="4065"/>
      <c r="BR47" s="4063"/>
      <c r="BS47" s="4064"/>
      <c r="BT47" s="4064"/>
      <c r="BU47" s="4064"/>
      <c r="BV47" s="4064"/>
      <c r="BW47" s="4064"/>
      <c r="BX47" s="4064"/>
      <c r="BY47" s="4065"/>
      <c r="BZ47" s="4063"/>
      <c r="CA47" s="4064"/>
      <c r="CB47" s="4064"/>
      <c r="CC47" s="4064"/>
      <c r="CD47" s="4064"/>
      <c r="CE47" s="4064"/>
      <c r="CF47" s="4064"/>
      <c r="CG47" s="4065"/>
      <c r="CH47" s="4063"/>
      <c r="CI47" s="4064"/>
      <c r="CJ47" s="4064"/>
      <c r="CK47" s="4064"/>
      <c r="CL47" s="4064"/>
      <c r="CM47" s="4064"/>
      <c r="CN47" s="4064"/>
      <c r="CO47" s="4065"/>
      <c r="CP47" s="4063"/>
      <c r="CQ47" s="4064"/>
      <c r="CR47" s="4064"/>
      <c r="CS47" s="4064"/>
      <c r="CT47" s="4064"/>
      <c r="CU47" s="4064"/>
      <c r="CV47" s="4064"/>
      <c r="CW47" s="4065"/>
      <c r="CX47" s="4063"/>
      <c r="CY47" s="4064"/>
      <c r="CZ47" s="4064"/>
      <c r="DA47" s="4064"/>
      <c r="DB47" s="4064"/>
      <c r="DC47" s="4064"/>
      <c r="DD47" s="4064"/>
      <c r="DE47" s="4065"/>
      <c r="DF47" s="4063"/>
      <c r="DG47" s="4064"/>
      <c r="DH47" s="4064"/>
      <c r="DI47" s="4064"/>
      <c r="DJ47" s="4064"/>
      <c r="DK47" s="4064"/>
      <c r="DL47" s="4064"/>
      <c r="DM47" s="4065"/>
      <c r="DN47" s="4063"/>
      <c r="DO47" s="4064"/>
      <c r="DP47" s="4064"/>
      <c r="DQ47" s="4064"/>
      <c r="DR47" s="4064"/>
      <c r="DS47" s="4064"/>
      <c r="DT47" s="4064"/>
      <c r="DU47" s="4065"/>
      <c r="DV47" s="4063"/>
      <c r="DW47" s="4064"/>
      <c r="DX47" s="4064"/>
      <c r="DY47" s="4064"/>
      <c r="DZ47" s="4064"/>
      <c r="EA47" s="4064"/>
      <c r="EB47" s="4064"/>
      <c r="EC47" s="4065"/>
      <c r="ED47" s="4063"/>
      <c r="EE47" s="4064"/>
      <c r="EF47" s="4064"/>
      <c r="EG47" s="4064"/>
      <c r="EH47" s="4064"/>
      <c r="EI47" s="4064"/>
      <c r="EJ47" s="4064"/>
      <c r="EK47" s="4065"/>
      <c r="EL47" s="4063"/>
      <c r="EM47" s="4064"/>
      <c r="EN47" s="4064"/>
      <c r="EO47" s="4064"/>
      <c r="EP47" s="4064"/>
      <c r="EQ47" s="4064"/>
      <c r="ER47" s="4064"/>
      <c r="ES47" s="4065"/>
      <c r="ET47" s="4063"/>
      <c r="EU47" s="4064"/>
      <c r="EV47" s="4064"/>
      <c r="EW47" s="4064"/>
      <c r="EX47" s="4064"/>
      <c r="EY47" s="4064"/>
      <c r="EZ47" s="4064"/>
      <c r="FA47" s="4065"/>
      <c r="FB47" s="4063"/>
      <c r="FC47" s="4064"/>
      <c r="FD47" s="4064"/>
      <c r="FE47" s="4064"/>
      <c r="FF47" s="4064"/>
      <c r="FG47" s="4064"/>
      <c r="FH47" s="4064"/>
      <c r="FI47" s="4065"/>
      <c r="FJ47" s="4063"/>
      <c r="FK47" s="4064"/>
      <c r="FL47" s="4064"/>
      <c r="FM47" s="4064"/>
      <c r="FN47" s="4064"/>
      <c r="FO47" s="4064"/>
      <c r="FP47" s="4064"/>
      <c r="FQ47" s="4065"/>
      <c r="FR47" s="4063"/>
      <c r="FS47" s="4064"/>
      <c r="FT47" s="4064"/>
      <c r="FU47" s="4064"/>
      <c r="FV47" s="4064"/>
      <c r="FW47" s="4064"/>
      <c r="FX47" s="4064"/>
      <c r="FY47" s="4065"/>
      <c r="FZ47" s="4063"/>
      <c r="GA47" s="4064"/>
      <c r="GB47" s="4064"/>
      <c r="GC47" s="4064"/>
      <c r="GD47" s="4064"/>
      <c r="GE47" s="4064"/>
      <c r="GF47" s="4064"/>
      <c r="GG47" s="4065"/>
      <c r="GH47" s="4063"/>
      <c r="GI47" s="4064"/>
      <c r="GJ47" s="4064"/>
      <c r="GK47" s="4064"/>
      <c r="GL47" s="4064"/>
      <c r="GM47" s="4064"/>
      <c r="GN47" s="4064"/>
      <c r="GO47" s="4065"/>
      <c r="GP47" s="4063"/>
      <c r="GQ47" s="4064"/>
      <c r="GR47" s="4064"/>
      <c r="GS47" s="4064"/>
      <c r="GT47" s="4064"/>
      <c r="GU47" s="4064"/>
      <c r="GV47" s="4064"/>
      <c r="GW47" s="4065"/>
      <c r="GX47" s="4063"/>
      <c r="GY47" s="4064"/>
      <c r="GZ47" s="4064"/>
      <c r="HA47" s="4064"/>
      <c r="HB47" s="4064"/>
      <c r="HC47" s="4064"/>
      <c r="HD47" s="4064"/>
      <c r="HE47" s="4065"/>
      <c r="HF47" s="4063"/>
      <c r="HG47" s="4064"/>
      <c r="HH47" s="4064"/>
      <c r="HI47" s="4064"/>
      <c r="HJ47" s="4064"/>
      <c r="HK47" s="4064"/>
      <c r="HL47" s="4064"/>
      <c r="HM47" s="4065"/>
      <c r="HN47" s="4063"/>
      <c r="HO47" s="4064"/>
      <c r="HP47" s="4064"/>
      <c r="HQ47" s="4064"/>
      <c r="HR47" s="4064"/>
      <c r="HS47" s="4064"/>
      <c r="HT47" s="4064"/>
      <c r="HU47" s="4065"/>
      <c r="HV47" s="4063"/>
      <c r="HW47" s="4064"/>
      <c r="HX47" s="4064"/>
      <c r="HY47" s="4064"/>
      <c r="HZ47" s="4064"/>
      <c r="IA47" s="4064"/>
      <c r="IB47" s="4064"/>
      <c r="IC47" s="4065"/>
      <c r="ID47" s="4065"/>
      <c r="IE47" s="1177" t="s">
        <v>397</v>
      </c>
      <c r="IG47" s="426"/>
      <c r="IH47" s="426" t="str">
        <f t="shared" si="1"/>
        <v>Схема подключения теплопотребляющей установки к коллектору источника тепловой энергии</v>
      </c>
      <c r="II47" s="426"/>
      <c r="IJ47" s="426"/>
    </row>
    <row r="48" spans="1:244" ht="23.25" customHeight="1">
      <c r="A48" s="1279" t="s">
        <v>154</v>
      </c>
      <c r="B48" s="1279" t="s">
        <v>155</v>
      </c>
      <c r="C48" s="1279" t="s">
        <v>156</v>
      </c>
      <c r="D48" s="1279" t="s">
        <v>157</v>
      </c>
      <c r="E48" s="4075"/>
      <c r="F48" s="4075"/>
      <c r="G48" s="4075"/>
      <c r="H48" s="4075"/>
      <c r="I48" s="4095"/>
      <c r="J48" s="4072" t="str">
        <f>I47&amp;".1"</f>
        <v>....1.1</v>
      </c>
      <c r="K48" s="1279"/>
      <c r="L48" s="1280" t="s">
        <v>398</v>
      </c>
      <c r="P48" s="4073"/>
      <c r="Q48" s="4073">
        <v>1</v>
      </c>
      <c r="R48" s="282"/>
      <c r="S48" s="1132" t="str">
        <f>$J48</f>
        <v>....1.1</v>
      </c>
      <c r="T48" s="205" t="s">
        <v>399</v>
      </c>
      <c r="U48" s="219"/>
      <c r="V48" s="4063"/>
      <c r="W48" s="4064"/>
      <c r="X48" s="4064"/>
      <c r="Y48" s="4064"/>
      <c r="Z48" s="4064"/>
      <c r="AA48" s="4064"/>
      <c r="AB48" s="4064"/>
      <c r="AC48" s="4065"/>
      <c r="AD48" s="4063" t="s">
        <v>438</v>
      </c>
      <c r="AE48" s="4064"/>
      <c r="AF48" s="4064"/>
      <c r="AG48" s="4064"/>
      <c r="AH48" s="4064"/>
      <c r="AI48" s="4064"/>
      <c r="AJ48" s="4064"/>
      <c r="AK48" s="4064"/>
      <c r="AL48" s="4063"/>
      <c r="AM48" s="4064"/>
      <c r="AN48" s="4064"/>
      <c r="AO48" s="4064"/>
      <c r="AP48" s="4064"/>
      <c r="AQ48" s="4064"/>
      <c r="AR48" s="4064"/>
      <c r="AS48" s="4065"/>
      <c r="AT48" s="4063"/>
      <c r="AU48" s="4064"/>
      <c r="AV48" s="4064"/>
      <c r="AW48" s="4064"/>
      <c r="AX48" s="4064"/>
      <c r="AY48" s="4064"/>
      <c r="AZ48" s="4064"/>
      <c r="BA48" s="4065"/>
      <c r="BB48" s="4063"/>
      <c r="BC48" s="4064"/>
      <c r="BD48" s="4064"/>
      <c r="BE48" s="4064"/>
      <c r="BF48" s="4064"/>
      <c r="BG48" s="4064"/>
      <c r="BH48" s="4064"/>
      <c r="BI48" s="4065"/>
      <c r="BJ48" s="4063"/>
      <c r="BK48" s="4064"/>
      <c r="BL48" s="4064"/>
      <c r="BM48" s="4064"/>
      <c r="BN48" s="4064"/>
      <c r="BO48" s="4064"/>
      <c r="BP48" s="4064"/>
      <c r="BQ48" s="4065"/>
      <c r="BR48" s="4063"/>
      <c r="BS48" s="4064"/>
      <c r="BT48" s="4064"/>
      <c r="BU48" s="4064"/>
      <c r="BV48" s="4064"/>
      <c r="BW48" s="4064"/>
      <c r="BX48" s="4064"/>
      <c r="BY48" s="4065"/>
      <c r="BZ48" s="4063"/>
      <c r="CA48" s="4064"/>
      <c r="CB48" s="4064"/>
      <c r="CC48" s="4064"/>
      <c r="CD48" s="4064"/>
      <c r="CE48" s="4064"/>
      <c r="CF48" s="4064"/>
      <c r="CG48" s="4065"/>
      <c r="CH48" s="4063"/>
      <c r="CI48" s="4064"/>
      <c r="CJ48" s="4064"/>
      <c r="CK48" s="4064"/>
      <c r="CL48" s="4064"/>
      <c r="CM48" s="4064"/>
      <c r="CN48" s="4064"/>
      <c r="CO48" s="4065"/>
      <c r="CP48" s="4063"/>
      <c r="CQ48" s="4064"/>
      <c r="CR48" s="4064"/>
      <c r="CS48" s="4064"/>
      <c r="CT48" s="4064"/>
      <c r="CU48" s="4064"/>
      <c r="CV48" s="4064"/>
      <c r="CW48" s="4065"/>
      <c r="CX48" s="4063"/>
      <c r="CY48" s="4064"/>
      <c r="CZ48" s="4064"/>
      <c r="DA48" s="4064"/>
      <c r="DB48" s="4064"/>
      <c r="DC48" s="4064"/>
      <c r="DD48" s="4064"/>
      <c r="DE48" s="4065"/>
      <c r="DF48" s="4063"/>
      <c r="DG48" s="4064"/>
      <c r="DH48" s="4064"/>
      <c r="DI48" s="4064"/>
      <c r="DJ48" s="4064"/>
      <c r="DK48" s="4064"/>
      <c r="DL48" s="4064"/>
      <c r="DM48" s="4065"/>
      <c r="DN48" s="4063"/>
      <c r="DO48" s="4064"/>
      <c r="DP48" s="4064"/>
      <c r="DQ48" s="4064"/>
      <c r="DR48" s="4064"/>
      <c r="DS48" s="4064"/>
      <c r="DT48" s="4064"/>
      <c r="DU48" s="4065"/>
      <c r="DV48" s="4063"/>
      <c r="DW48" s="4064"/>
      <c r="DX48" s="4064"/>
      <c r="DY48" s="4064"/>
      <c r="DZ48" s="4064"/>
      <c r="EA48" s="4064"/>
      <c r="EB48" s="4064"/>
      <c r="EC48" s="4065"/>
      <c r="ED48" s="4063"/>
      <c r="EE48" s="4064"/>
      <c r="EF48" s="4064"/>
      <c r="EG48" s="4064"/>
      <c r="EH48" s="4064"/>
      <c r="EI48" s="4064"/>
      <c r="EJ48" s="4064"/>
      <c r="EK48" s="4065"/>
      <c r="EL48" s="4063"/>
      <c r="EM48" s="4064"/>
      <c r="EN48" s="4064"/>
      <c r="EO48" s="4064"/>
      <c r="EP48" s="4064"/>
      <c r="EQ48" s="4064"/>
      <c r="ER48" s="4064"/>
      <c r="ES48" s="4065"/>
      <c r="ET48" s="4063"/>
      <c r="EU48" s="4064"/>
      <c r="EV48" s="4064"/>
      <c r="EW48" s="4064"/>
      <c r="EX48" s="4064"/>
      <c r="EY48" s="4064"/>
      <c r="EZ48" s="4064"/>
      <c r="FA48" s="4065"/>
      <c r="FB48" s="4063"/>
      <c r="FC48" s="4064"/>
      <c r="FD48" s="4064"/>
      <c r="FE48" s="4064"/>
      <c r="FF48" s="4064"/>
      <c r="FG48" s="4064"/>
      <c r="FH48" s="4064"/>
      <c r="FI48" s="4065"/>
      <c r="FJ48" s="4063"/>
      <c r="FK48" s="4064"/>
      <c r="FL48" s="4064"/>
      <c r="FM48" s="4064"/>
      <c r="FN48" s="4064"/>
      <c r="FO48" s="4064"/>
      <c r="FP48" s="4064"/>
      <c r="FQ48" s="4065"/>
      <c r="FR48" s="4063"/>
      <c r="FS48" s="4064"/>
      <c r="FT48" s="4064"/>
      <c r="FU48" s="4064"/>
      <c r="FV48" s="4064"/>
      <c r="FW48" s="4064"/>
      <c r="FX48" s="4064"/>
      <c r="FY48" s="4065"/>
      <c r="FZ48" s="4063"/>
      <c r="GA48" s="4064"/>
      <c r="GB48" s="4064"/>
      <c r="GC48" s="4064"/>
      <c r="GD48" s="4064"/>
      <c r="GE48" s="4064"/>
      <c r="GF48" s="4064"/>
      <c r="GG48" s="4065"/>
      <c r="GH48" s="4063"/>
      <c r="GI48" s="4064"/>
      <c r="GJ48" s="4064"/>
      <c r="GK48" s="4064"/>
      <c r="GL48" s="4064"/>
      <c r="GM48" s="4064"/>
      <c r="GN48" s="4064"/>
      <c r="GO48" s="4065"/>
      <c r="GP48" s="4063"/>
      <c r="GQ48" s="4064"/>
      <c r="GR48" s="4064"/>
      <c r="GS48" s="4064"/>
      <c r="GT48" s="4064"/>
      <c r="GU48" s="4064"/>
      <c r="GV48" s="4064"/>
      <c r="GW48" s="4065"/>
      <c r="GX48" s="4063"/>
      <c r="GY48" s="4064"/>
      <c r="GZ48" s="4064"/>
      <c r="HA48" s="4064"/>
      <c r="HB48" s="4064"/>
      <c r="HC48" s="4064"/>
      <c r="HD48" s="4064"/>
      <c r="HE48" s="4065"/>
      <c r="HF48" s="4063"/>
      <c r="HG48" s="4064"/>
      <c r="HH48" s="4064"/>
      <c r="HI48" s="4064"/>
      <c r="HJ48" s="4064"/>
      <c r="HK48" s="4064"/>
      <c r="HL48" s="4064"/>
      <c r="HM48" s="4065"/>
      <c r="HN48" s="4063"/>
      <c r="HO48" s="4064"/>
      <c r="HP48" s="4064"/>
      <c r="HQ48" s="4064"/>
      <c r="HR48" s="4064"/>
      <c r="HS48" s="4064"/>
      <c r="HT48" s="4064"/>
      <c r="HU48" s="4065"/>
      <c r="HV48" s="4063"/>
      <c r="HW48" s="4064"/>
      <c r="HX48" s="4064"/>
      <c r="HY48" s="4064"/>
      <c r="HZ48" s="4064"/>
      <c r="IA48" s="4064"/>
      <c r="IB48" s="4064"/>
      <c r="IC48" s="4065"/>
      <c r="ID48" s="4065"/>
      <c r="IE48" s="1177" t="s">
        <v>400</v>
      </c>
      <c r="IG48" s="426"/>
      <c r="IH48" s="426" t="str">
        <f t="shared" si="1"/>
        <v>Группа потребителей</v>
      </c>
      <c r="II48" s="426"/>
      <c r="IJ48" s="426"/>
    </row>
    <row r="49" spans="1:244" ht="23.25" customHeight="1">
      <c r="A49" s="1279" t="s">
        <v>154</v>
      </c>
      <c r="B49" s="1279" t="s">
        <v>155</v>
      </c>
      <c r="C49" s="1279" t="s">
        <v>156</v>
      </c>
      <c r="D49" s="1279" t="s">
        <v>157</v>
      </c>
      <c r="E49" s="4075"/>
      <c r="F49" s="4075"/>
      <c r="G49" s="4075"/>
      <c r="H49" s="4075"/>
      <c r="I49" s="4095"/>
      <c r="J49" s="4095"/>
      <c r="K49" s="4072" t="str">
        <f>J48&amp;".1"</f>
        <v>....1.1.1</v>
      </c>
      <c r="L49" s="1280" t="s">
        <v>401</v>
      </c>
      <c r="P49" s="4073"/>
      <c r="Q49" s="4073"/>
      <c r="R49" s="282">
        <v>1</v>
      </c>
      <c r="S49" s="1132" t="str">
        <f>$K49</f>
        <v>....1.1.1</v>
      </c>
      <c r="T49" s="1264" t="s">
        <v>439</v>
      </c>
      <c r="U49" s="219"/>
      <c r="V49" s="2570"/>
      <c r="W49" s="2570"/>
      <c r="X49" s="2570"/>
      <c r="Y49" s="2571"/>
      <c r="Z49" s="4079"/>
      <c r="AA49" s="4080" t="s">
        <v>65</v>
      </c>
      <c r="AB49" s="4079"/>
      <c r="AC49" s="4080" t="s">
        <v>65</v>
      </c>
      <c r="AD49" s="668">
        <v>3285.92</v>
      </c>
      <c r="AE49" s="251"/>
      <c r="AF49" s="668"/>
      <c r="AG49" s="1176"/>
      <c r="AH49" s="4077">
        <v>45200.615324074075</v>
      </c>
      <c r="AI49" s="3927" t="s">
        <v>65</v>
      </c>
      <c r="AJ49" s="4096">
        <v>45291.615428240744</v>
      </c>
      <c r="AK49" s="3927" t="s">
        <v>65</v>
      </c>
      <c r="AL49" s="1946">
        <v>3116.12</v>
      </c>
      <c r="AM49" s="1947"/>
      <c r="AN49" s="1946"/>
      <c r="AO49" s="1948"/>
      <c r="AP49" s="4077">
        <v>45292.615578703706</v>
      </c>
      <c r="AQ49" s="3927" t="s">
        <v>65</v>
      </c>
      <c r="AR49" s="4077">
        <v>45657.615729166668</v>
      </c>
      <c r="AS49" s="3927" t="s">
        <v>65</v>
      </c>
      <c r="AT49" s="1946">
        <v>3262.86</v>
      </c>
      <c r="AU49" s="1947"/>
      <c r="AV49" s="1946"/>
      <c r="AW49" s="1948"/>
      <c r="AX49" s="4077">
        <v>45658.616597222222</v>
      </c>
      <c r="AY49" s="3927" t="s">
        <v>65</v>
      </c>
      <c r="AZ49" s="4077">
        <v>46022.616886574076</v>
      </c>
      <c r="BA49" s="3927" t="s">
        <v>65</v>
      </c>
      <c r="BB49" s="1946">
        <v>3297.49</v>
      </c>
      <c r="BC49" s="1947"/>
      <c r="BD49" s="1946"/>
      <c r="BE49" s="1948"/>
      <c r="BF49" s="4077">
        <v>46023.617488425924</v>
      </c>
      <c r="BG49" s="3927" t="s">
        <v>65</v>
      </c>
      <c r="BH49" s="4077">
        <v>46387.617766203701</v>
      </c>
      <c r="BI49" s="3927" t="s">
        <v>65</v>
      </c>
      <c r="BJ49" s="1946">
        <v>4834.66</v>
      </c>
      <c r="BK49" s="1947"/>
      <c r="BL49" s="1946"/>
      <c r="BM49" s="1948"/>
      <c r="BN49" s="4077">
        <v>46388.678101851852</v>
      </c>
      <c r="BO49" s="3927" t="s">
        <v>65</v>
      </c>
      <c r="BP49" s="4077">
        <v>46752.678194444445</v>
      </c>
      <c r="BQ49" s="3927" t="s">
        <v>65</v>
      </c>
      <c r="BR49" s="1946">
        <v>5130.1400000000003</v>
      </c>
      <c r="BS49" s="1947"/>
      <c r="BT49" s="1946"/>
      <c r="BU49" s="1948"/>
      <c r="BV49" s="4077">
        <v>46753.678356481483</v>
      </c>
      <c r="BW49" s="3927" t="s">
        <v>65</v>
      </c>
      <c r="BX49" s="4077">
        <v>47118.678460648145</v>
      </c>
      <c r="BY49" s="3927" t="s">
        <v>65</v>
      </c>
      <c r="BZ49" s="1946">
        <v>4765.38</v>
      </c>
      <c r="CA49" s="1947"/>
      <c r="CB49" s="1946"/>
      <c r="CC49" s="1948"/>
      <c r="CD49" s="4077">
        <v>47119.67864583333</v>
      </c>
      <c r="CE49" s="3927" t="s">
        <v>65</v>
      </c>
      <c r="CF49" s="4077">
        <v>47483.678773148145</v>
      </c>
      <c r="CG49" s="3927" t="s">
        <v>65</v>
      </c>
      <c r="CH49" s="1946">
        <v>4702.97</v>
      </c>
      <c r="CI49" s="1947"/>
      <c r="CJ49" s="1946"/>
      <c r="CK49" s="1948"/>
      <c r="CL49" s="4077">
        <v>47484.678946759261</v>
      </c>
      <c r="CM49" s="3927" t="s">
        <v>65</v>
      </c>
      <c r="CN49" s="4077">
        <v>47848.679062499999</v>
      </c>
      <c r="CO49" s="3927" t="s">
        <v>65</v>
      </c>
      <c r="CP49" s="1946">
        <v>4168.58</v>
      </c>
      <c r="CQ49" s="1947"/>
      <c r="CR49" s="1946"/>
      <c r="CS49" s="1948"/>
      <c r="CT49" s="4077">
        <v>47849.679351851853</v>
      </c>
      <c r="CU49" s="3927" t="s">
        <v>65</v>
      </c>
      <c r="CV49" s="4077">
        <v>48213.679479166669</v>
      </c>
      <c r="CW49" s="3927" t="s">
        <v>65</v>
      </c>
      <c r="CX49" s="1946">
        <v>4043.67</v>
      </c>
      <c r="CY49" s="1947"/>
      <c r="CZ49" s="1946"/>
      <c r="DA49" s="1948"/>
      <c r="DB49" s="4077">
        <v>48214.679722222223</v>
      </c>
      <c r="DC49" s="3927" t="s">
        <v>65</v>
      </c>
      <c r="DD49" s="4077">
        <v>48579.679861111108</v>
      </c>
      <c r="DE49" s="3927" t="s">
        <v>65</v>
      </c>
      <c r="DF49" s="1946">
        <v>4411.91</v>
      </c>
      <c r="DG49" s="1947"/>
      <c r="DH49" s="1946"/>
      <c r="DI49" s="1948"/>
      <c r="DJ49" s="4077">
        <v>48580.680069444446</v>
      </c>
      <c r="DK49" s="3927" t="s">
        <v>65</v>
      </c>
      <c r="DL49" s="4077">
        <v>48944.680219907408</v>
      </c>
      <c r="DM49" s="3927" t="s">
        <v>65</v>
      </c>
      <c r="DN49" s="1946">
        <v>4166.62</v>
      </c>
      <c r="DO49" s="1947"/>
      <c r="DP49" s="1946"/>
      <c r="DQ49" s="1948"/>
      <c r="DR49" s="4077">
        <v>48945.68037037037</v>
      </c>
      <c r="DS49" s="3927" t="s">
        <v>65</v>
      </c>
      <c r="DT49" s="4077">
        <v>49309.680543981478</v>
      </c>
      <c r="DU49" s="3927" t="s">
        <v>65</v>
      </c>
      <c r="DV49" s="1946">
        <v>4229.8100000000004</v>
      </c>
      <c r="DW49" s="1947"/>
      <c r="DX49" s="1946"/>
      <c r="DY49" s="1948"/>
      <c r="DZ49" s="4077">
        <v>49310.680694444447</v>
      </c>
      <c r="EA49" s="3927" t="s">
        <v>65</v>
      </c>
      <c r="EB49" s="4077">
        <v>49674.680891203701</v>
      </c>
      <c r="EC49" s="3927" t="s">
        <v>65</v>
      </c>
      <c r="ED49" s="1946">
        <v>3822.9</v>
      </c>
      <c r="EE49" s="1947"/>
      <c r="EF49" s="1946"/>
      <c r="EG49" s="1948"/>
      <c r="EH49" s="4077">
        <v>49675.68105324074</v>
      </c>
      <c r="EI49" s="3927" t="s">
        <v>65</v>
      </c>
      <c r="EJ49" s="4077">
        <v>49856.681180555555</v>
      </c>
      <c r="EK49" s="3927" t="s">
        <v>55</v>
      </c>
      <c r="EL49" s="2570"/>
      <c r="EM49" s="2570"/>
      <c r="EN49" s="2570"/>
      <c r="EO49" s="2571"/>
      <c r="EP49" s="4079"/>
      <c r="EQ49" s="4080" t="s">
        <v>65</v>
      </c>
      <c r="ER49" s="4079"/>
      <c r="ES49" s="4080" t="s">
        <v>65</v>
      </c>
      <c r="ET49" s="2570"/>
      <c r="EU49" s="2570"/>
      <c r="EV49" s="2570"/>
      <c r="EW49" s="2571"/>
      <c r="EX49" s="4079"/>
      <c r="EY49" s="4080" t="s">
        <v>65</v>
      </c>
      <c r="EZ49" s="4079"/>
      <c r="FA49" s="4080" t="s">
        <v>65</v>
      </c>
      <c r="FB49" s="2570"/>
      <c r="FC49" s="2570"/>
      <c r="FD49" s="2570"/>
      <c r="FE49" s="2571"/>
      <c r="FF49" s="4079"/>
      <c r="FG49" s="4080" t="s">
        <v>65</v>
      </c>
      <c r="FH49" s="4079"/>
      <c r="FI49" s="4080" t="s">
        <v>65</v>
      </c>
      <c r="FJ49" s="2570"/>
      <c r="FK49" s="2570"/>
      <c r="FL49" s="2570"/>
      <c r="FM49" s="2571"/>
      <c r="FN49" s="4079"/>
      <c r="FO49" s="4080" t="s">
        <v>65</v>
      </c>
      <c r="FP49" s="4079"/>
      <c r="FQ49" s="4080" t="s">
        <v>65</v>
      </c>
      <c r="FR49" s="2570"/>
      <c r="FS49" s="2570"/>
      <c r="FT49" s="2570"/>
      <c r="FU49" s="2571"/>
      <c r="FV49" s="4079"/>
      <c r="FW49" s="4080" t="s">
        <v>65</v>
      </c>
      <c r="FX49" s="4079"/>
      <c r="FY49" s="4080" t="s">
        <v>65</v>
      </c>
      <c r="FZ49" s="2570"/>
      <c r="GA49" s="2570"/>
      <c r="GB49" s="2570"/>
      <c r="GC49" s="2571"/>
      <c r="GD49" s="4079"/>
      <c r="GE49" s="4080" t="s">
        <v>65</v>
      </c>
      <c r="GF49" s="4079"/>
      <c r="GG49" s="4080" t="s">
        <v>65</v>
      </c>
      <c r="GH49" s="2570"/>
      <c r="GI49" s="2570"/>
      <c r="GJ49" s="2570"/>
      <c r="GK49" s="2571"/>
      <c r="GL49" s="4079"/>
      <c r="GM49" s="4080" t="s">
        <v>65</v>
      </c>
      <c r="GN49" s="4079"/>
      <c r="GO49" s="4080" t="s">
        <v>65</v>
      </c>
      <c r="GP49" s="2570"/>
      <c r="GQ49" s="2570"/>
      <c r="GR49" s="2570"/>
      <c r="GS49" s="2571"/>
      <c r="GT49" s="4079"/>
      <c r="GU49" s="4080" t="s">
        <v>65</v>
      </c>
      <c r="GV49" s="4079"/>
      <c r="GW49" s="4080" t="s">
        <v>65</v>
      </c>
      <c r="GX49" s="2570"/>
      <c r="GY49" s="2570"/>
      <c r="GZ49" s="2570"/>
      <c r="HA49" s="2571"/>
      <c r="HB49" s="4079"/>
      <c r="HC49" s="4080" t="s">
        <v>65</v>
      </c>
      <c r="HD49" s="4079"/>
      <c r="HE49" s="4080" t="s">
        <v>65</v>
      </c>
      <c r="HF49" s="2570"/>
      <c r="HG49" s="2570"/>
      <c r="HH49" s="2570"/>
      <c r="HI49" s="2571"/>
      <c r="HJ49" s="4079"/>
      <c r="HK49" s="4080" t="s">
        <v>65</v>
      </c>
      <c r="HL49" s="4079"/>
      <c r="HM49" s="4080" t="s">
        <v>65</v>
      </c>
      <c r="HN49" s="2570"/>
      <c r="HO49" s="2570"/>
      <c r="HP49" s="2570"/>
      <c r="HQ49" s="2571"/>
      <c r="HR49" s="4079"/>
      <c r="HS49" s="4080" t="s">
        <v>65</v>
      </c>
      <c r="HT49" s="4079"/>
      <c r="HU49" s="4080" t="s">
        <v>65</v>
      </c>
      <c r="HV49" s="2570"/>
      <c r="HW49" s="2570"/>
      <c r="HX49" s="2570"/>
      <c r="HY49" s="2571"/>
      <c r="HZ49" s="4079"/>
      <c r="IA49" s="4080" t="s">
        <v>65</v>
      </c>
      <c r="IB49" s="4079"/>
      <c r="IC49" s="4080" t="s">
        <v>65</v>
      </c>
      <c r="ID49" s="1265"/>
      <c r="IE49" s="4069" t="s">
        <v>402</v>
      </c>
      <c r="IF49" s="437" t="e">
        <f ca="1">STRCHECKDATE(V50:ID50)</f>
        <v>#NAME?</v>
      </c>
      <c r="IG49" s="426"/>
      <c r="IH49" s="426" t="str">
        <f t="shared" si="1"/>
        <v>вода</v>
      </c>
      <c r="II49" s="426"/>
      <c r="IJ49" s="426"/>
    </row>
    <row r="50" spans="1:244" ht="0.75" customHeight="1">
      <c r="A50" s="1279" t="s">
        <v>154</v>
      </c>
      <c r="B50" s="1279" t="s">
        <v>155</v>
      </c>
      <c r="C50" s="1279" t="s">
        <v>156</v>
      </c>
      <c r="D50" s="1279" t="s">
        <v>157</v>
      </c>
      <c r="E50" s="4075"/>
      <c r="F50" s="4075"/>
      <c r="G50" s="4075"/>
      <c r="H50" s="4075"/>
      <c r="I50" s="4095"/>
      <c r="J50" s="4095"/>
      <c r="K50" s="4072"/>
      <c r="L50" s="1280"/>
      <c r="P50" s="4073"/>
      <c r="Q50" s="4073"/>
      <c r="R50" s="282"/>
      <c r="S50" s="1130"/>
      <c r="T50" s="219"/>
      <c r="U50" s="219"/>
      <c r="V50" s="2570"/>
      <c r="W50" s="2570"/>
      <c r="X50" s="2570"/>
      <c r="Y50" s="1949" t="str">
        <f>Z49&amp;"-"&amp;AB49</f>
        <v>-</v>
      </c>
      <c r="Z50" s="4080"/>
      <c r="AA50" s="4080"/>
      <c r="AB50" s="4080"/>
      <c r="AC50" s="4080"/>
      <c r="AD50" s="251"/>
      <c r="AE50" s="251"/>
      <c r="AF50" s="251"/>
      <c r="AG50" s="255" t="str">
        <f>AH49&amp;"-"&amp;AJ49</f>
        <v>45200,6153240741-45291,6154282407</v>
      </c>
      <c r="AH50" s="4078"/>
      <c r="AI50" s="3927"/>
      <c r="AJ50" s="4097"/>
      <c r="AK50" s="3927"/>
      <c r="AL50" s="1947"/>
      <c r="AM50" s="1947"/>
      <c r="AN50" s="1947"/>
      <c r="AO50" s="1949" t="str">
        <f>AP49&amp;"-"&amp;AR49</f>
        <v>45292,6155787037-45657,6157291667</v>
      </c>
      <c r="AP50" s="4078"/>
      <c r="AQ50" s="3927"/>
      <c r="AR50" s="4078"/>
      <c r="AS50" s="3927"/>
      <c r="AT50" s="1947"/>
      <c r="AU50" s="1947"/>
      <c r="AV50" s="1947"/>
      <c r="AW50" s="1949" t="str">
        <f>AX49&amp;"-"&amp;AZ49</f>
        <v>45658,6165972222-46022,616886574</v>
      </c>
      <c r="AX50" s="4078"/>
      <c r="AY50" s="3927"/>
      <c r="AZ50" s="4078"/>
      <c r="BA50" s="3927"/>
      <c r="BB50" s="1947"/>
      <c r="BC50" s="1947"/>
      <c r="BD50" s="1947"/>
      <c r="BE50" s="1949" t="str">
        <f>BF49&amp;"-"&amp;BH49</f>
        <v>46023,6174884259-46387,6177662037</v>
      </c>
      <c r="BF50" s="4078"/>
      <c r="BG50" s="3927"/>
      <c r="BH50" s="4078"/>
      <c r="BI50" s="3927"/>
      <c r="BJ50" s="1947"/>
      <c r="BK50" s="1947"/>
      <c r="BL50" s="1947"/>
      <c r="BM50" s="1949" t="str">
        <f>BN49&amp;"-"&amp;BP49</f>
        <v>46388,6781018519-46752,6781944444</v>
      </c>
      <c r="BN50" s="4078"/>
      <c r="BO50" s="3927"/>
      <c r="BP50" s="4078"/>
      <c r="BQ50" s="3927"/>
      <c r="BR50" s="1947"/>
      <c r="BS50" s="1947"/>
      <c r="BT50" s="1947"/>
      <c r="BU50" s="1949" t="str">
        <f>BV49&amp;"-"&amp;BX49</f>
        <v>46753,6783564814-47118,6784606481</v>
      </c>
      <c r="BV50" s="4078"/>
      <c r="BW50" s="3927"/>
      <c r="BX50" s="4078"/>
      <c r="BY50" s="3927"/>
      <c r="BZ50" s="1947"/>
      <c r="CA50" s="1947"/>
      <c r="CB50" s="1947"/>
      <c r="CC50" s="1949" t="str">
        <f>CD49&amp;"-"&amp;CF49</f>
        <v>47119,6786458333-47483,6787731481</v>
      </c>
      <c r="CD50" s="4078"/>
      <c r="CE50" s="3927"/>
      <c r="CF50" s="4078"/>
      <c r="CG50" s="3927"/>
      <c r="CH50" s="1947"/>
      <c r="CI50" s="1947"/>
      <c r="CJ50" s="1947"/>
      <c r="CK50" s="1949" t="str">
        <f>CL49&amp;"-"&amp;CN49</f>
        <v>47484,6789467593-47848,6790625</v>
      </c>
      <c r="CL50" s="4078"/>
      <c r="CM50" s="3927"/>
      <c r="CN50" s="4078"/>
      <c r="CO50" s="3927"/>
      <c r="CP50" s="1947"/>
      <c r="CQ50" s="1947"/>
      <c r="CR50" s="1947"/>
      <c r="CS50" s="1949" t="str">
        <f>CT49&amp;"-"&amp;CV49</f>
        <v>47849,6793518519-48213,6794791667</v>
      </c>
      <c r="CT50" s="4078"/>
      <c r="CU50" s="3927"/>
      <c r="CV50" s="4078"/>
      <c r="CW50" s="3927"/>
      <c r="CX50" s="1947"/>
      <c r="CY50" s="1947"/>
      <c r="CZ50" s="1947"/>
      <c r="DA50" s="1949" t="str">
        <f>DB49&amp;"-"&amp;DD49</f>
        <v>48214,6797222222-48579,6798611111</v>
      </c>
      <c r="DB50" s="4078"/>
      <c r="DC50" s="3927"/>
      <c r="DD50" s="4078"/>
      <c r="DE50" s="3927"/>
      <c r="DF50" s="1947"/>
      <c r="DG50" s="1947"/>
      <c r="DH50" s="1947"/>
      <c r="DI50" s="1949" t="str">
        <f>DJ49&amp;"-"&amp;DL49</f>
        <v>48580,6800694444-48944,6802199074</v>
      </c>
      <c r="DJ50" s="4078"/>
      <c r="DK50" s="3927"/>
      <c r="DL50" s="4078"/>
      <c r="DM50" s="3927"/>
      <c r="DN50" s="1947"/>
      <c r="DO50" s="1947"/>
      <c r="DP50" s="1947"/>
      <c r="DQ50" s="1949" t="str">
        <f>DR49&amp;"-"&amp;DT49</f>
        <v>48945,6803703704-49309,6805439815</v>
      </c>
      <c r="DR50" s="4078"/>
      <c r="DS50" s="3927"/>
      <c r="DT50" s="4078"/>
      <c r="DU50" s="3927"/>
      <c r="DV50" s="1947"/>
      <c r="DW50" s="1947"/>
      <c r="DX50" s="1947"/>
      <c r="DY50" s="1949" t="str">
        <f>DZ49&amp;"-"&amp;EB49</f>
        <v>49310,6806944444-49674,6808912037</v>
      </c>
      <c r="DZ50" s="4078"/>
      <c r="EA50" s="3927"/>
      <c r="EB50" s="4078"/>
      <c r="EC50" s="3927"/>
      <c r="ED50" s="1947"/>
      <c r="EE50" s="1947"/>
      <c r="EF50" s="1947"/>
      <c r="EG50" s="1949" t="str">
        <f>EH49&amp;"-"&amp;EJ49</f>
        <v>49675,6810532407-49856,6811805556</v>
      </c>
      <c r="EH50" s="4078"/>
      <c r="EI50" s="3927"/>
      <c r="EJ50" s="4078"/>
      <c r="EK50" s="3927"/>
      <c r="EL50" s="2570"/>
      <c r="EM50" s="2570"/>
      <c r="EN50" s="2570"/>
      <c r="EO50" s="1949" t="str">
        <f>EP49&amp;"-"&amp;ER49</f>
        <v>-</v>
      </c>
      <c r="EP50" s="4080"/>
      <c r="EQ50" s="4080"/>
      <c r="ER50" s="4080"/>
      <c r="ES50" s="4080"/>
      <c r="ET50" s="2570"/>
      <c r="EU50" s="2570"/>
      <c r="EV50" s="2570"/>
      <c r="EW50" s="1949" t="str">
        <f>EX49&amp;"-"&amp;EZ49</f>
        <v>-</v>
      </c>
      <c r="EX50" s="4080"/>
      <c r="EY50" s="4080"/>
      <c r="EZ50" s="4080"/>
      <c r="FA50" s="4080"/>
      <c r="FB50" s="2570"/>
      <c r="FC50" s="2570"/>
      <c r="FD50" s="2570"/>
      <c r="FE50" s="1949" t="str">
        <f>FF49&amp;"-"&amp;FH49</f>
        <v>-</v>
      </c>
      <c r="FF50" s="4080"/>
      <c r="FG50" s="4080"/>
      <c r="FH50" s="4080"/>
      <c r="FI50" s="4080"/>
      <c r="FJ50" s="2570"/>
      <c r="FK50" s="2570"/>
      <c r="FL50" s="2570"/>
      <c r="FM50" s="1949" t="str">
        <f>FN49&amp;"-"&amp;FP49</f>
        <v>-</v>
      </c>
      <c r="FN50" s="4080"/>
      <c r="FO50" s="4080"/>
      <c r="FP50" s="4080"/>
      <c r="FQ50" s="4080"/>
      <c r="FR50" s="2570"/>
      <c r="FS50" s="2570"/>
      <c r="FT50" s="2570"/>
      <c r="FU50" s="1949" t="str">
        <f>FV49&amp;"-"&amp;FX49</f>
        <v>-</v>
      </c>
      <c r="FV50" s="4080"/>
      <c r="FW50" s="4080"/>
      <c r="FX50" s="4080"/>
      <c r="FY50" s="4080"/>
      <c r="FZ50" s="2570"/>
      <c r="GA50" s="2570"/>
      <c r="GB50" s="2570"/>
      <c r="GC50" s="1949" t="str">
        <f>GD49&amp;"-"&amp;GF49</f>
        <v>-</v>
      </c>
      <c r="GD50" s="4080"/>
      <c r="GE50" s="4080"/>
      <c r="GF50" s="4080"/>
      <c r="GG50" s="4080"/>
      <c r="GH50" s="2570"/>
      <c r="GI50" s="2570"/>
      <c r="GJ50" s="2570"/>
      <c r="GK50" s="1949" t="str">
        <f>GL49&amp;"-"&amp;GN49</f>
        <v>-</v>
      </c>
      <c r="GL50" s="4080"/>
      <c r="GM50" s="4080"/>
      <c r="GN50" s="4080"/>
      <c r="GO50" s="4080"/>
      <c r="GP50" s="2570"/>
      <c r="GQ50" s="2570"/>
      <c r="GR50" s="2570"/>
      <c r="GS50" s="1949" t="str">
        <f>GT49&amp;"-"&amp;GV49</f>
        <v>-</v>
      </c>
      <c r="GT50" s="4080"/>
      <c r="GU50" s="4080"/>
      <c r="GV50" s="4080"/>
      <c r="GW50" s="4080"/>
      <c r="GX50" s="2570"/>
      <c r="GY50" s="2570"/>
      <c r="GZ50" s="2570"/>
      <c r="HA50" s="1949" t="str">
        <f>HB49&amp;"-"&amp;HD49</f>
        <v>-</v>
      </c>
      <c r="HB50" s="4080"/>
      <c r="HC50" s="4080"/>
      <c r="HD50" s="4080"/>
      <c r="HE50" s="4080"/>
      <c r="HF50" s="2570"/>
      <c r="HG50" s="2570"/>
      <c r="HH50" s="2570"/>
      <c r="HI50" s="1949" t="str">
        <f>HJ49&amp;"-"&amp;HL49</f>
        <v>-</v>
      </c>
      <c r="HJ50" s="4080"/>
      <c r="HK50" s="4080"/>
      <c r="HL50" s="4080"/>
      <c r="HM50" s="4080"/>
      <c r="HN50" s="2570"/>
      <c r="HO50" s="2570"/>
      <c r="HP50" s="2570"/>
      <c r="HQ50" s="1949" t="str">
        <f>HR49&amp;"-"&amp;HT49</f>
        <v>-</v>
      </c>
      <c r="HR50" s="4080"/>
      <c r="HS50" s="4080"/>
      <c r="HT50" s="4080"/>
      <c r="HU50" s="4080"/>
      <c r="HV50" s="2570"/>
      <c r="HW50" s="2570"/>
      <c r="HX50" s="2570"/>
      <c r="HY50" s="1949" t="str">
        <f>HZ49&amp;"-"&amp;IB49</f>
        <v>-</v>
      </c>
      <c r="HZ50" s="4080"/>
      <c r="IA50" s="4080"/>
      <c r="IB50" s="4080"/>
      <c r="IC50" s="4080"/>
      <c r="ID50" s="1266"/>
      <c r="IE50" s="4070"/>
      <c r="IG50" s="426"/>
      <c r="IH50" s="426" t="str">
        <f t="shared" si="1"/>
        <v/>
      </c>
      <c r="II50" s="426"/>
      <c r="IJ50" s="426"/>
    </row>
    <row r="51" spans="1:244" ht="11.25" customHeight="1">
      <c r="A51" s="1279" t="s">
        <v>154</v>
      </c>
      <c r="B51" s="1279" t="s">
        <v>155</v>
      </c>
      <c r="C51" s="1279" t="s">
        <v>156</v>
      </c>
      <c r="D51" s="1279" t="s">
        <v>157</v>
      </c>
      <c r="E51" s="4075"/>
      <c r="F51" s="4075"/>
      <c r="G51" s="4075"/>
      <c r="H51" s="4075"/>
      <c r="I51" s="4095"/>
      <c r="J51" s="4072"/>
      <c r="K51" s="1279"/>
      <c r="L51" s="1280"/>
      <c r="P51" s="4073"/>
      <c r="Q51" s="4073"/>
      <c r="R51" s="281"/>
      <c r="S51" s="1198"/>
      <c r="T51" s="207" t="s">
        <v>403</v>
      </c>
      <c r="U51" s="295"/>
      <c r="V51" s="295"/>
      <c r="W51" s="295"/>
      <c r="X51" s="295"/>
      <c r="Y51" s="295"/>
      <c r="Z51" s="295"/>
      <c r="AA51" s="295"/>
      <c r="AB51" s="295"/>
      <c r="AC51" s="295"/>
      <c r="AD51" s="295"/>
      <c r="AE51" s="295"/>
      <c r="AF51" s="295"/>
      <c r="AG51" s="295"/>
      <c r="AH51" s="295"/>
      <c r="AI51" s="295"/>
      <c r="AJ51" s="295"/>
      <c r="AK51" s="295"/>
      <c r="AL51" s="2572"/>
      <c r="AM51" s="2573"/>
      <c r="AN51" s="2574"/>
      <c r="AO51" s="2575"/>
      <c r="AP51" s="2576"/>
      <c r="AQ51" s="2577"/>
      <c r="AR51" s="2578"/>
      <c r="AS51" s="2579"/>
      <c r="AT51" s="2580"/>
      <c r="AU51" s="2581"/>
      <c r="AV51" s="2582"/>
      <c r="AW51" s="2583"/>
      <c r="AX51" s="2584"/>
      <c r="AY51" s="2585"/>
      <c r="AZ51" s="2586"/>
      <c r="BA51" s="2587"/>
      <c r="BB51" s="2588"/>
      <c r="BC51" s="2589"/>
      <c r="BD51" s="2590"/>
      <c r="BE51" s="2591"/>
      <c r="BF51" s="2592"/>
      <c r="BG51" s="2593"/>
      <c r="BH51" s="2594"/>
      <c r="BI51" s="2595"/>
      <c r="BJ51" s="2596"/>
      <c r="BK51" s="2597"/>
      <c r="BL51" s="2598"/>
      <c r="BM51" s="2599"/>
      <c r="BN51" s="2600"/>
      <c r="BO51" s="2601"/>
      <c r="BP51" s="2602"/>
      <c r="BQ51" s="2603"/>
      <c r="BR51" s="2604"/>
      <c r="BS51" s="2605"/>
      <c r="BT51" s="2606"/>
      <c r="BU51" s="2607"/>
      <c r="BV51" s="2608"/>
      <c r="BW51" s="2609"/>
      <c r="BX51" s="2610"/>
      <c r="BY51" s="2611"/>
      <c r="BZ51" s="2612"/>
      <c r="CA51" s="2613"/>
      <c r="CB51" s="2614"/>
      <c r="CC51" s="2615"/>
      <c r="CD51" s="2616"/>
      <c r="CE51" s="2617"/>
      <c r="CF51" s="2618"/>
      <c r="CG51" s="2619"/>
      <c r="CH51" s="2620"/>
      <c r="CI51" s="2621"/>
      <c r="CJ51" s="2622"/>
      <c r="CK51" s="2623"/>
      <c r="CL51" s="2624"/>
      <c r="CM51" s="2625"/>
      <c r="CN51" s="2626"/>
      <c r="CO51" s="2627"/>
      <c r="CP51" s="2628"/>
      <c r="CQ51" s="2629"/>
      <c r="CR51" s="2630"/>
      <c r="CS51" s="2631"/>
      <c r="CT51" s="2632"/>
      <c r="CU51" s="2633"/>
      <c r="CV51" s="2634"/>
      <c r="CW51" s="2635"/>
      <c r="CX51" s="2636"/>
      <c r="CY51" s="2637"/>
      <c r="CZ51" s="2638"/>
      <c r="DA51" s="2639"/>
      <c r="DB51" s="2640"/>
      <c r="DC51" s="2641"/>
      <c r="DD51" s="2642"/>
      <c r="DE51" s="2643"/>
      <c r="DF51" s="2644"/>
      <c r="DG51" s="2645"/>
      <c r="DH51" s="2646"/>
      <c r="DI51" s="2647"/>
      <c r="DJ51" s="2648"/>
      <c r="DK51" s="2649"/>
      <c r="DL51" s="2650"/>
      <c r="DM51" s="2651"/>
      <c r="DN51" s="2652"/>
      <c r="DO51" s="2653"/>
      <c r="DP51" s="2654"/>
      <c r="DQ51" s="2655"/>
      <c r="DR51" s="2656"/>
      <c r="DS51" s="2657"/>
      <c r="DT51" s="2658"/>
      <c r="DU51" s="2659"/>
      <c r="DV51" s="2660"/>
      <c r="DW51" s="2661"/>
      <c r="DX51" s="2662"/>
      <c r="DY51" s="2663"/>
      <c r="DZ51" s="2664"/>
      <c r="EA51" s="2665"/>
      <c r="EB51" s="2666"/>
      <c r="EC51" s="2667"/>
      <c r="ED51" s="2668"/>
      <c r="EE51" s="2669"/>
      <c r="EF51" s="2670"/>
      <c r="EG51" s="2671"/>
      <c r="EH51" s="2672"/>
      <c r="EI51" s="2673"/>
      <c r="EJ51" s="2674"/>
      <c r="EK51" s="2675"/>
      <c r="EL51" s="2676"/>
      <c r="EM51" s="2677"/>
      <c r="EN51" s="2678"/>
      <c r="EO51" s="2679"/>
      <c r="EP51" s="2680"/>
      <c r="EQ51" s="2681"/>
      <c r="ER51" s="2682"/>
      <c r="ES51" s="2683"/>
      <c r="ET51" s="2684"/>
      <c r="EU51" s="2685"/>
      <c r="EV51" s="2686"/>
      <c r="EW51" s="2687"/>
      <c r="EX51" s="2688"/>
      <c r="EY51" s="2689"/>
      <c r="EZ51" s="2690"/>
      <c r="FA51" s="2691"/>
      <c r="FB51" s="2692"/>
      <c r="FC51" s="2693"/>
      <c r="FD51" s="2694"/>
      <c r="FE51" s="2695"/>
      <c r="FF51" s="2696"/>
      <c r="FG51" s="2697"/>
      <c r="FH51" s="2698"/>
      <c r="FI51" s="2699"/>
      <c r="FJ51" s="2700"/>
      <c r="FK51" s="2701"/>
      <c r="FL51" s="2702"/>
      <c r="FM51" s="2703"/>
      <c r="FN51" s="2704"/>
      <c r="FO51" s="2705"/>
      <c r="FP51" s="2706"/>
      <c r="FQ51" s="2707"/>
      <c r="FR51" s="2708"/>
      <c r="FS51" s="2709"/>
      <c r="FT51" s="2710"/>
      <c r="FU51" s="2711"/>
      <c r="FV51" s="2712"/>
      <c r="FW51" s="2713"/>
      <c r="FX51" s="2714"/>
      <c r="FY51" s="2715"/>
      <c r="FZ51" s="2716"/>
      <c r="GA51" s="2717"/>
      <c r="GB51" s="2718"/>
      <c r="GC51" s="2719"/>
      <c r="GD51" s="2720"/>
      <c r="GE51" s="2721"/>
      <c r="GF51" s="2722"/>
      <c r="GG51" s="2723"/>
      <c r="GH51" s="2724"/>
      <c r="GI51" s="2725"/>
      <c r="GJ51" s="2726"/>
      <c r="GK51" s="2727"/>
      <c r="GL51" s="2728"/>
      <c r="GM51" s="2729"/>
      <c r="GN51" s="2730"/>
      <c r="GO51" s="2731"/>
      <c r="GP51" s="2732"/>
      <c r="GQ51" s="2733"/>
      <c r="GR51" s="2734"/>
      <c r="GS51" s="2735"/>
      <c r="GT51" s="2736"/>
      <c r="GU51" s="2737"/>
      <c r="GV51" s="2738"/>
      <c r="GW51" s="2739"/>
      <c r="GX51" s="2740"/>
      <c r="GY51" s="2741"/>
      <c r="GZ51" s="2742"/>
      <c r="HA51" s="2743"/>
      <c r="HB51" s="2744"/>
      <c r="HC51" s="2745"/>
      <c r="HD51" s="2746"/>
      <c r="HE51" s="2747"/>
      <c r="HF51" s="2748"/>
      <c r="HG51" s="2749"/>
      <c r="HH51" s="2750"/>
      <c r="HI51" s="2751"/>
      <c r="HJ51" s="2752"/>
      <c r="HK51" s="2753"/>
      <c r="HL51" s="2754"/>
      <c r="HM51" s="2755"/>
      <c r="HN51" s="2756"/>
      <c r="HO51" s="2757"/>
      <c r="HP51" s="2758"/>
      <c r="HQ51" s="2759"/>
      <c r="HR51" s="2760"/>
      <c r="HS51" s="2761"/>
      <c r="HT51" s="2762"/>
      <c r="HU51" s="2763"/>
      <c r="HV51" s="2764"/>
      <c r="HW51" s="2765"/>
      <c r="HX51" s="2766"/>
      <c r="HY51" s="2767"/>
      <c r="HZ51" s="2768"/>
      <c r="IA51" s="2769"/>
      <c r="IB51" s="2770"/>
      <c r="IC51" s="2771"/>
      <c r="ID51" s="250"/>
      <c r="IE51" s="4071"/>
      <c r="IG51" s="426"/>
      <c r="IH51" s="426" t="str">
        <f t="shared" si="1"/>
        <v>Добавить вид теплоносителя (параметры теплоносителя)</v>
      </c>
      <c r="II51" s="426"/>
      <c r="IJ51" s="426"/>
    </row>
    <row r="52" spans="1:244" ht="11.25" customHeight="1">
      <c r="A52" s="1279" t="s">
        <v>154</v>
      </c>
      <c r="B52" s="1279" t="s">
        <v>155</v>
      </c>
      <c r="C52" s="1279" t="s">
        <v>156</v>
      </c>
      <c r="D52" s="1279" t="s">
        <v>157</v>
      </c>
      <c r="E52" s="4075"/>
      <c r="F52" s="4075"/>
      <c r="G52" s="4075"/>
      <c r="H52" s="4075"/>
      <c r="I52" s="4072"/>
      <c r="J52" s="1279"/>
      <c r="K52" s="1279"/>
      <c r="L52" s="1280"/>
      <c r="P52" s="4073"/>
      <c r="Q52" s="1126"/>
      <c r="R52" s="281"/>
      <c r="S52" s="1198"/>
      <c r="T52" s="206" t="s">
        <v>404</v>
      </c>
      <c r="U52" s="295"/>
      <c r="V52" s="295"/>
      <c r="W52" s="295"/>
      <c r="X52" s="295"/>
      <c r="Y52" s="295"/>
      <c r="Z52" s="295"/>
      <c r="AA52" s="295"/>
      <c r="AB52" s="295"/>
      <c r="AC52" s="294"/>
      <c r="AD52" s="295"/>
      <c r="AE52" s="295"/>
      <c r="AF52" s="295"/>
      <c r="AG52" s="295"/>
      <c r="AH52" s="295"/>
      <c r="AI52" s="295"/>
      <c r="AJ52" s="295"/>
      <c r="AK52" s="294"/>
      <c r="AL52" s="2772"/>
      <c r="AM52" s="2773"/>
      <c r="AN52" s="2774"/>
      <c r="AO52" s="2775"/>
      <c r="AP52" s="2776"/>
      <c r="AQ52" s="2777"/>
      <c r="AR52" s="2778"/>
      <c r="AS52" s="2779"/>
      <c r="AT52" s="2780"/>
      <c r="AU52" s="2781"/>
      <c r="AV52" s="2782"/>
      <c r="AW52" s="2783"/>
      <c r="AX52" s="2784"/>
      <c r="AY52" s="2785"/>
      <c r="AZ52" s="2786"/>
      <c r="BA52" s="2787"/>
      <c r="BB52" s="2788"/>
      <c r="BC52" s="2789"/>
      <c r="BD52" s="2790"/>
      <c r="BE52" s="2791"/>
      <c r="BF52" s="2792"/>
      <c r="BG52" s="2793"/>
      <c r="BH52" s="2794"/>
      <c r="BI52" s="2795"/>
      <c r="BJ52" s="2796"/>
      <c r="BK52" s="2797"/>
      <c r="BL52" s="2798"/>
      <c r="BM52" s="2799"/>
      <c r="BN52" s="2800"/>
      <c r="BO52" s="2801"/>
      <c r="BP52" s="2802"/>
      <c r="BQ52" s="2803"/>
      <c r="BR52" s="2804"/>
      <c r="BS52" s="2805"/>
      <c r="BT52" s="2806"/>
      <c r="BU52" s="2807"/>
      <c r="BV52" s="2808"/>
      <c r="BW52" s="2809"/>
      <c r="BX52" s="2810"/>
      <c r="BY52" s="2811"/>
      <c r="BZ52" s="2812"/>
      <c r="CA52" s="2813"/>
      <c r="CB52" s="2814"/>
      <c r="CC52" s="2815"/>
      <c r="CD52" s="2816"/>
      <c r="CE52" s="2817"/>
      <c r="CF52" s="2818"/>
      <c r="CG52" s="2819"/>
      <c r="CH52" s="2820"/>
      <c r="CI52" s="2821"/>
      <c r="CJ52" s="2822"/>
      <c r="CK52" s="2823"/>
      <c r="CL52" s="2824"/>
      <c r="CM52" s="2825"/>
      <c r="CN52" s="2826"/>
      <c r="CO52" s="2827"/>
      <c r="CP52" s="2828"/>
      <c r="CQ52" s="2829"/>
      <c r="CR52" s="2830"/>
      <c r="CS52" s="2831"/>
      <c r="CT52" s="2832"/>
      <c r="CU52" s="2833"/>
      <c r="CV52" s="2834"/>
      <c r="CW52" s="2835"/>
      <c r="CX52" s="2836"/>
      <c r="CY52" s="2837"/>
      <c r="CZ52" s="2838"/>
      <c r="DA52" s="2839"/>
      <c r="DB52" s="2840"/>
      <c r="DC52" s="2841"/>
      <c r="DD52" s="2842"/>
      <c r="DE52" s="2843"/>
      <c r="DF52" s="2844"/>
      <c r="DG52" s="2845"/>
      <c r="DH52" s="2846"/>
      <c r="DI52" s="2847"/>
      <c r="DJ52" s="2848"/>
      <c r="DK52" s="2849"/>
      <c r="DL52" s="2850"/>
      <c r="DM52" s="2851"/>
      <c r="DN52" s="2852"/>
      <c r="DO52" s="2853"/>
      <c r="DP52" s="2854"/>
      <c r="DQ52" s="2855"/>
      <c r="DR52" s="2856"/>
      <c r="DS52" s="2857"/>
      <c r="DT52" s="2858"/>
      <c r="DU52" s="2859"/>
      <c r="DV52" s="2860"/>
      <c r="DW52" s="2861"/>
      <c r="DX52" s="2862"/>
      <c r="DY52" s="2863"/>
      <c r="DZ52" s="2864"/>
      <c r="EA52" s="2865"/>
      <c r="EB52" s="2866"/>
      <c r="EC52" s="2867"/>
      <c r="ED52" s="2868"/>
      <c r="EE52" s="2869"/>
      <c r="EF52" s="2870"/>
      <c r="EG52" s="2871"/>
      <c r="EH52" s="2872"/>
      <c r="EI52" s="2873"/>
      <c r="EJ52" s="2874"/>
      <c r="EK52" s="2875"/>
      <c r="EL52" s="2876"/>
      <c r="EM52" s="2877"/>
      <c r="EN52" s="2878"/>
      <c r="EO52" s="2879"/>
      <c r="EP52" s="2880"/>
      <c r="EQ52" s="2881"/>
      <c r="ER52" s="2882"/>
      <c r="ES52" s="2883"/>
      <c r="ET52" s="2884"/>
      <c r="EU52" s="2885"/>
      <c r="EV52" s="2886"/>
      <c r="EW52" s="2887"/>
      <c r="EX52" s="2888"/>
      <c r="EY52" s="2889"/>
      <c r="EZ52" s="2890"/>
      <c r="FA52" s="2891"/>
      <c r="FB52" s="2892"/>
      <c r="FC52" s="2893"/>
      <c r="FD52" s="2894"/>
      <c r="FE52" s="2895"/>
      <c r="FF52" s="2896"/>
      <c r="FG52" s="2897"/>
      <c r="FH52" s="2898"/>
      <c r="FI52" s="2899"/>
      <c r="FJ52" s="2900"/>
      <c r="FK52" s="2901"/>
      <c r="FL52" s="2902"/>
      <c r="FM52" s="2903"/>
      <c r="FN52" s="2904"/>
      <c r="FO52" s="2905"/>
      <c r="FP52" s="2906"/>
      <c r="FQ52" s="2907"/>
      <c r="FR52" s="2908"/>
      <c r="FS52" s="2909"/>
      <c r="FT52" s="2910"/>
      <c r="FU52" s="2911"/>
      <c r="FV52" s="2912"/>
      <c r="FW52" s="2913"/>
      <c r="FX52" s="2914"/>
      <c r="FY52" s="2915"/>
      <c r="FZ52" s="2916"/>
      <c r="GA52" s="2917"/>
      <c r="GB52" s="2918"/>
      <c r="GC52" s="2919"/>
      <c r="GD52" s="2920"/>
      <c r="GE52" s="2921"/>
      <c r="GF52" s="2922"/>
      <c r="GG52" s="2923"/>
      <c r="GH52" s="2924"/>
      <c r="GI52" s="2925"/>
      <c r="GJ52" s="2926"/>
      <c r="GK52" s="2927"/>
      <c r="GL52" s="2928"/>
      <c r="GM52" s="2929"/>
      <c r="GN52" s="2930"/>
      <c r="GO52" s="2931"/>
      <c r="GP52" s="2932"/>
      <c r="GQ52" s="2933"/>
      <c r="GR52" s="2934"/>
      <c r="GS52" s="2935"/>
      <c r="GT52" s="2936"/>
      <c r="GU52" s="2937"/>
      <c r="GV52" s="2938"/>
      <c r="GW52" s="2939"/>
      <c r="GX52" s="2940"/>
      <c r="GY52" s="2941"/>
      <c r="GZ52" s="2942"/>
      <c r="HA52" s="2943"/>
      <c r="HB52" s="2944"/>
      <c r="HC52" s="2945"/>
      <c r="HD52" s="2946"/>
      <c r="HE52" s="2947"/>
      <c r="HF52" s="2948"/>
      <c r="HG52" s="2949"/>
      <c r="HH52" s="2950"/>
      <c r="HI52" s="2951"/>
      <c r="HJ52" s="2952"/>
      <c r="HK52" s="2953"/>
      <c r="HL52" s="2954"/>
      <c r="HM52" s="2955"/>
      <c r="HN52" s="2956"/>
      <c r="HO52" s="2957"/>
      <c r="HP52" s="2958"/>
      <c r="HQ52" s="2959"/>
      <c r="HR52" s="2960"/>
      <c r="HS52" s="2961"/>
      <c r="HT52" s="2962"/>
      <c r="HU52" s="2963"/>
      <c r="HV52" s="2964"/>
      <c r="HW52" s="2965"/>
      <c r="HX52" s="2966"/>
      <c r="HY52" s="2967"/>
      <c r="HZ52" s="2968"/>
      <c r="IA52" s="2969"/>
      <c r="IB52" s="2970"/>
      <c r="IC52" s="2971"/>
      <c r="ID52" s="295"/>
      <c r="IE52" s="222"/>
      <c r="IG52" s="426"/>
      <c r="IH52" s="426" t="str">
        <f t="shared" si="1"/>
        <v>Добавить группу потребителей</v>
      </c>
      <c r="II52" s="426"/>
      <c r="IJ52" s="426"/>
    </row>
    <row r="53" spans="1:244" ht="14.25" customHeight="1">
      <c r="A53" s="1279" t="s">
        <v>154</v>
      </c>
      <c r="B53" s="1279" t="s">
        <v>155</v>
      </c>
      <c r="C53" s="1279" t="s">
        <v>156</v>
      </c>
      <c r="D53" s="1279" t="s">
        <v>157</v>
      </c>
      <c r="E53" s="4075"/>
      <c r="F53" s="4075"/>
      <c r="G53" s="4075"/>
      <c r="H53" s="4074"/>
      <c r="I53" s="1279"/>
      <c r="J53" s="1279"/>
      <c r="K53" s="1279"/>
      <c r="L53" s="1280"/>
      <c r="M53" s="1281"/>
      <c r="N53" s="1281"/>
      <c r="O53" s="462"/>
      <c r="P53" s="285"/>
      <c r="Q53" s="304"/>
      <c r="R53" s="280"/>
      <c r="S53" s="1198"/>
      <c r="T53" s="292" t="s">
        <v>405</v>
      </c>
      <c r="U53" s="295"/>
      <c r="V53" s="295"/>
      <c r="W53" s="295"/>
      <c r="X53" s="295"/>
      <c r="Y53" s="295"/>
      <c r="Z53" s="295"/>
      <c r="AA53" s="295"/>
      <c r="AB53" s="295"/>
      <c r="AC53" s="294"/>
      <c r="AD53" s="295"/>
      <c r="AE53" s="295"/>
      <c r="AF53" s="295"/>
      <c r="AG53" s="295"/>
      <c r="AH53" s="295"/>
      <c r="AI53" s="295"/>
      <c r="AJ53" s="295"/>
      <c r="AK53" s="294"/>
      <c r="AL53" s="2972"/>
      <c r="AM53" s="2973"/>
      <c r="AN53" s="2974"/>
      <c r="AO53" s="2975"/>
      <c r="AP53" s="2976"/>
      <c r="AQ53" s="2977"/>
      <c r="AR53" s="2978"/>
      <c r="AS53" s="2979"/>
      <c r="AT53" s="2980"/>
      <c r="AU53" s="2981"/>
      <c r="AV53" s="2982"/>
      <c r="AW53" s="2983"/>
      <c r="AX53" s="2984"/>
      <c r="AY53" s="2985"/>
      <c r="AZ53" s="2986"/>
      <c r="BA53" s="2987"/>
      <c r="BB53" s="2988"/>
      <c r="BC53" s="2989"/>
      <c r="BD53" s="2990"/>
      <c r="BE53" s="2991"/>
      <c r="BF53" s="2992"/>
      <c r="BG53" s="2993"/>
      <c r="BH53" s="2994"/>
      <c r="BI53" s="2995"/>
      <c r="BJ53" s="2996"/>
      <c r="BK53" s="2997"/>
      <c r="BL53" s="2998"/>
      <c r="BM53" s="2999"/>
      <c r="BN53" s="3000"/>
      <c r="BO53" s="3001"/>
      <c r="BP53" s="3002"/>
      <c r="BQ53" s="3003"/>
      <c r="BR53" s="3004"/>
      <c r="BS53" s="3005"/>
      <c r="BT53" s="3006"/>
      <c r="BU53" s="3007"/>
      <c r="BV53" s="3008"/>
      <c r="BW53" s="3009"/>
      <c r="BX53" s="3010"/>
      <c r="BY53" s="3011"/>
      <c r="BZ53" s="3012"/>
      <c r="CA53" s="3013"/>
      <c r="CB53" s="3014"/>
      <c r="CC53" s="3015"/>
      <c r="CD53" s="3016"/>
      <c r="CE53" s="3017"/>
      <c r="CF53" s="3018"/>
      <c r="CG53" s="3019"/>
      <c r="CH53" s="3020"/>
      <c r="CI53" s="3021"/>
      <c r="CJ53" s="3022"/>
      <c r="CK53" s="3023"/>
      <c r="CL53" s="3024"/>
      <c r="CM53" s="3025"/>
      <c r="CN53" s="3026"/>
      <c r="CO53" s="3027"/>
      <c r="CP53" s="3028"/>
      <c r="CQ53" s="3029"/>
      <c r="CR53" s="3030"/>
      <c r="CS53" s="3031"/>
      <c r="CT53" s="3032"/>
      <c r="CU53" s="3033"/>
      <c r="CV53" s="3034"/>
      <c r="CW53" s="3035"/>
      <c r="CX53" s="3036"/>
      <c r="CY53" s="3037"/>
      <c r="CZ53" s="3038"/>
      <c r="DA53" s="3039"/>
      <c r="DB53" s="3040"/>
      <c r="DC53" s="3041"/>
      <c r="DD53" s="3042"/>
      <c r="DE53" s="3043"/>
      <c r="DF53" s="3044"/>
      <c r="DG53" s="3045"/>
      <c r="DH53" s="3046"/>
      <c r="DI53" s="3047"/>
      <c r="DJ53" s="3048"/>
      <c r="DK53" s="3049"/>
      <c r="DL53" s="3050"/>
      <c r="DM53" s="3051"/>
      <c r="DN53" s="3052"/>
      <c r="DO53" s="3053"/>
      <c r="DP53" s="3054"/>
      <c r="DQ53" s="3055"/>
      <c r="DR53" s="3056"/>
      <c r="DS53" s="3057"/>
      <c r="DT53" s="3058"/>
      <c r="DU53" s="3059"/>
      <c r="DV53" s="3060"/>
      <c r="DW53" s="3061"/>
      <c r="DX53" s="3062"/>
      <c r="DY53" s="3063"/>
      <c r="DZ53" s="3064"/>
      <c r="EA53" s="3065"/>
      <c r="EB53" s="3066"/>
      <c r="EC53" s="3067"/>
      <c r="ED53" s="3068"/>
      <c r="EE53" s="3069"/>
      <c r="EF53" s="3070"/>
      <c r="EG53" s="3071"/>
      <c r="EH53" s="3072"/>
      <c r="EI53" s="3073"/>
      <c r="EJ53" s="3074"/>
      <c r="EK53" s="3075"/>
      <c r="EL53" s="3076"/>
      <c r="EM53" s="3077"/>
      <c r="EN53" s="3078"/>
      <c r="EO53" s="3079"/>
      <c r="EP53" s="3080"/>
      <c r="EQ53" s="3081"/>
      <c r="ER53" s="3082"/>
      <c r="ES53" s="3083"/>
      <c r="ET53" s="3084"/>
      <c r="EU53" s="3085"/>
      <c r="EV53" s="3086"/>
      <c r="EW53" s="3087"/>
      <c r="EX53" s="3088"/>
      <c r="EY53" s="3089"/>
      <c r="EZ53" s="3090"/>
      <c r="FA53" s="3091"/>
      <c r="FB53" s="3092"/>
      <c r="FC53" s="3093"/>
      <c r="FD53" s="3094"/>
      <c r="FE53" s="3095"/>
      <c r="FF53" s="3096"/>
      <c r="FG53" s="3097"/>
      <c r="FH53" s="3098"/>
      <c r="FI53" s="3099"/>
      <c r="FJ53" s="3100"/>
      <c r="FK53" s="3101"/>
      <c r="FL53" s="3102"/>
      <c r="FM53" s="3103"/>
      <c r="FN53" s="3104"/>
      <c r="FO53" s="3105"/>
      <c r="FP53" s="3106"/>
      <c r="FQ53" s="3107"/>
      <c r="FR53" s="3108"/>
      <c r="FS53" s="3109"/>
      <c r="FT53" s="3110"/>
      <c r="FU53" s="3111"/>
      <c r="FV53" s="3112"/>
      <c r="FW53" s="3113"/>
      <c r="FX53" s="3114"/>
      <c r="FY53" s="3115"/>
      <c r="FZ53" s="3116"/>
      <c r="GA53" s="3117"/>
      <c r="GB53" s="3118"/>
      <c r="GC53" s="3119"/>
      <c r="GD53" s="3120"/>
      <c r="GE53" s="3121"/>
      <c r="GF53" s="3122"/>
      <c r="GG53" s="3123"/>
      <c r="GH53" s="3124"/>
      <c r="GI53" s="3125"/>
      <c r="GJ53" s="3126"/>
      <c r="GK53" s="3127"/>
      <c r="GL53" s="3128"/>
      <c r="GM53" s="3129"/>
      <c r="GN53" s="3130"/>
      <c r="GO53" s="3131"/>
      <c r="GP53" s="3132"/>
      <c r="GQ53" s="3133"/>
      <c r="GR53" s="3134"/>
      <c r="GS53" s="3135"/>
      <c r="GT53" s="3136"/>
      <c r="GU53" s="3137"/>
      <c r="GV53" s="3138"/>
      <c r="GW53" s="3139"/>
      <c r="GX53" s="3140"/>
      <c r="GY53" s="3141"/>
      <c r="GZ53" s="3142"/>
      <c r="HA53" s="3143"/>
      <c r="HB53" s="3144"/>
      <c r="HC53" s="3145"/>
      <c r="HD53" s="3146"/>
      <c r="HE53" s="3147"/>
      <c r="HF53" s="3148"/>
      <c r="HG53" s="3149"/>
      <c r="HH53" s="3150"/>
      <c r="HI53" s="3151"/>
      <c r="HJ53" s="3152"/>
      <c r="HK53" s="3153"/>
      <c r="HL53" s="3154"/>
      <c r="HM53" s="3155"/>
      <c r="HN53" s="3156"/>
      <c r="HO53" s="3157"/>
      <c r="HP53" s="3158"/>
      <c r="HQ53" s="3159"/>
      <c r="HR53" s="3160"/>
      <c r="HS53" s="3161"/>
      <c r="HT53" s="3162"/>
      <c r="HU53" s="3163"/>
      <c r="HV53" s="3164"/>
      <c r="HW53" s="3165"/>
      <c r="HX53" s="3166"/>
      <c r="HY53" s="3167"/>
      <c r="HZ53" s="3168"/>
      <c r="IA53" s="3169"/>
      <c r="IB53" s="3170"/>
      <c r="IC53" s="3171"/>
      <c r="ID53" s="295"/>
      <c r="IE53" s="222"/>
      <c r="IG53" s="426"/>
      <c r="IH53" s="426" t="str">
        <f t="shared" si="1"/>
        <v>Добавить схему подключения</v>
      </c>
      <c r="II53" s="426"/>
      <c r="IJ53" s="426"/>
    </row>
    <row r="54" spans="1:244" s="2550" customFormat="1" ht="0.75" customHeight="1">
      <c r="A54" s="1260" t="s">
        <v>154</v>
      </c>
      <c r="B54" s="1260" t="s">
        <v>155</v>
      </c>
      <c r="C54" s="1260" t="s">
        <v>156</v>
      </c>
      <c r="D54" s="1232"/>
      <c r="E54" s="4075"/>
      <c r="F54" s="4075"/>
      <c r="G54" s="4074"/>
      <c r="H54" s="1232"/>
      <c r="I54" s="1232"/>
      <c r="J54" s="1232"/>
      <c r="K54" s="1232"/>
      <c r="L54" s="1256"/>
      <c r="M54" s="1233"/>
      <c r="N54" s="1233"/>
      <c r="P54" s="1234"/>
      <c r="Q54" s="1235"/>
      <c r="R54" s="1234"/>
      <c r="S54" s="1240"/>
      <c r="T54" s="1243" t="s">
        <v>166</v>
      </c>
      <c r="U54" s="1242"/>
      <c r="V54" s="1242"/>
      <c r="W54" s="1242"/>
      <c r="X54" s="1242"/>
      <c r="Y54" s="1242"/>
      <c r="Z54" s="1242"/>
      <c r="AA54" s="1242"/>
      <c r="AB54" s="1242"/>
      <c r="AC54" s="1242"/>
      <c r="AD54" s="1242"/>
      <c r="AE54" s="1242"/>
      <c r="AF54" s="1242"/>
      <c r="AG54" s="1242"/>
      <c r="AH54" s="1242"/>
      <c r="AI54" s="1242"/>
      <c r="AJ54" s="1242"/>
      <c r="AK54" s="1242"/>
      <c r="AL54" s="2552"/>
      <c r="AM54" s="2552"/>
      <c r="AN54" s="2552"/>
      <c r="AO54" s="2552"/>
      <c r="AP54" s="2552"/>
      <c r="AQ54" s="2552"/>
      <c r="AR54" s="2552"/>
      <c r="AS54" s="2552"/>
      <c r="AT54" s="2552"/>
      <c r="AU54" s="2552"/>
      <c r="AV54" s="2552"/>
      <c r="AW54" s="2552"/>
      <c r="AX54" s="2552"/>
      <c r="AY54" s="2552"/>
      <c r="AZ54" s="2552"/>
      <c r="BA54" s="2552"/>
      <c r="BB54" s="2552"/>
      <c r="BC54" s="2552"/>
      <c r="BD54" s="2552"/>
      <c r="BE54" s="2552"/>
      <c r="BF54" s="2552"/>
      <c r="BG54" s="2552"/>
      <c r="BH54" s="2552"/>
      <c r="BI54" s="2552"/>
      <c r="BJ54" s="2552"/>
      <c r="BK54" s="2552"/>
      <c r="BL54" s="2552"/>
      <c r="BM54" s="2552"/>
      <c r="BN54" s="2552"/>
      <c r="BO54" s="2552"/>
      <c r="BP54" s="2552"/>
      <c r="BQ54" s="2552"/>
      <c r="BR54" s="2552"/>
      <c r="BS54" s="2552"/>
      <c r="BT54" s="2552"/>
      <c r="BU54" s="2552"/>
      <c r="BV54" s="2552"/>
      <c r="BW54" s="2552"/>
      <c r="BX54" s="2552"/>
      <c r="BY54" s="2552"/>
      <c r="BZ54" s="2552"/>
      <c r="CA54" s="2552"/>
      <c r="CB54" s="2552"/>
      <c r="CC54" s="2552"/>
      <c r="CD54" s="2552"/>
      <c r="CE54" s="2552"/>
      <c r="CF54" s="2552"/>
      <c r="CG54" s="2552"/>
      <c r="CH54" s="2552"/>
      <c r="CI54" s="2552"/>
      <c r="CJ54" s="2552"/>
      <c r="CK54" s="2552"/>
      <c r="CL54" s="2552"/>
      <c r="CM54" s="2552"/>
      <c r="CN54" s="2552"/>
      <c r="CO54" s="2552"/>
      <c r="CP54" s="2552"/>
      <c r="CQ54" s="2552"/>
      <c r="CR54" s="2552"/>
      <c r="CS54" s="2552"/>
      <c r="CT54" s="2552"/>
      <c r="CU54" s="2552"/>
      <c r="CV54" s="2552"/>
      <c r="CW54" s="2552"/>
      <c r="CX54" s="2552"/>
      <c r="CY54" s="2552"/>
      <c r="CZ54" s="2552"/>
      <c r="DA54" s="2552"/>
      <c r="DB54" s="2552"/>
      <c r="DC54" s="2552"/>
      <c r="DD54" s="2552"/>
      <c r="DE54" s="2552"/>
      <c r="DF54" s="2552"/>
      <c r="DG54" s="2552"/>
      <c r="DH54" s="2552"/>
      <c r="DI54" s="2552"/>
      <c r="DJ54" s="2552"/>
      <c r="DK54" s="2552"/>
      <c r="DL54" s="2552"/>
      <c r="DM54" s="2552"/>
      <c r="DN54" s="2552"/>
      <c r="DO54" s="2552"/>
      <c r="DP54" s="2552"/>
      <c r="DQ54" s="2552"/>
      <c r="DR54" s="2552"/>
      <c r="DS54" s="2552"/>
      <c r="DT54" s="2552"/>
      <c r="DU54" s="2552"/>
      <c r="DV54" s="2552"/>
      <c r="DW54" s="2552"/>
      <c r="DX54" s="2552"/>
      <c r="DY54" s="2552"/>
      <c r="DZ54" s="2552"/>
      <c r="EA54" s="2552"/>
      <c r="EB54" s="2552"/>
      <c r="EC54" s="2552"/>
      <c r="ED54" s="2552"/>
      <c r="EE54" s="2552"/>
      <c r="EF54" s="2552"/>
      <c r="EG54" s="2552"/>
      <c r="EH54" s="2552"/>
      <c r="EI54" s="2552"/>
      <c r="EJ54" s="2552"/>
      <c r="EK54" s="2552"/>
      <c r="EL54" s="2552"/>
      <c r="EM54" s="2552"/>
      <c r="EN54" s="2552"/>
      <c r="EO54" s="2552"/>
      <c r="EP54" s="2552"/>
      <c r="EQ54" s="2552"/>
      <c r="ER54" s="2552"/>
      <c r="ES54" s="2552"/>
      <c r="ET54" s="2552"/>
      <c r="EU54" s="2552"/>
      <c r="EV54" s="2552"/>
      <c r="EW54" s="2552"/>
      <c r="EX54" s="2552"/>
      <c r="EY54" s="2552"/>
      <c r="EZ54" s="2552"/>
      <c r="FA54" s="2552"/>
      <c r="FB54" s="2552"/>
      <c r="FC54" s="2552"/>
      <c r="FD54" s="2552"/>
      <c r="FE54" s="2552"/>
      <c r="FF54" s="2552"/>
      <c r="FG54" s="2552"/>
      <c r="FH54" s="2552"/>
      <c r="FI54" s="2552"/>
      <c r="FJ54" s="2552"/>
      <c r="FK54" s="2552"/>
      <c r="FL54" s="2552"/>
      <c r="FM54" s="2552"/>
      <c r="FN54" s="2552"/>
      <c r="FO54" s="2552"/>
      <c r="FP54" s="2552"/>
      <c r="FQ54" s="2552"/>
      <c r="FR54" s="2552"/>
      <c r="FS54" s="2552"/>
      <c r="FT54" s="2552"/>
      <c r="FU54" s="2552"/>
      <c r="FV54" s="2552"/>
      <c r="FW54" s="2552"/>
      <c r="FX54" s="2552"/>
      <c r="FY54" s="2552"/>
      <c r="FZ54" s="2552"/>
      <c r="GA54" s="2552"/>
      <c r="GB54" s="2552"/>
      <c r="GC54" s="2552"/>
      <c r="GD54" s="2552"/>
      <c r="GE54" s="2552"/>
      <c r="GF54" s="2552"/>
      <c r="GG54" s="2552"/>
      <c r="GH54" s="2552"/>
      <c r="GI54" s="2552"/>
      <c r="GJ54" s="2552"/>
      <c r="GK54" s="2552"/>
      <c r="GL54" s="2552"/>
      <c r="GM54" s="2552"/>
      <c r="GN54" s="2552"/>
      <c r="GO54" s="2552"/>
      <c r="GP54" s="2552"/>
      <c r="GQ54" s="2552"/>
      <c r="GR54" s="2552"/>
      <c r="GS54" s="2552"/>
      <c r="GT54" s="2552"/>
      <c r="GU54" s="2552"/>
      <c r="GV54" s="2552"/>
      <c r="GW54" s="2552"/>
      <c r="GX54" s="2552"/>
      <c r="GY54" s="2552"/>
      <c r="GZ54" s="2552"/>
      <c r="HA54" s="2552"/>
      <c r="HB54" s="2552"/>
      <c r="HC54" s="2552"/>
      <c r="HD54" s="2552"/>
      <c r="HE54" s="2552"/>
      <c r="HF54" s="2552"/>
      <c r="HG54" s="2552"/>
      <c r="HH54" s="2552"/>
      <c r="HI54" s="2552"/>
      <c r="HJ54" s="2552"/>
      <c r="HK54" s="2552"/>
      <c r="HL54" s="2552"/>
      <c r="HM54" s="2552"/>
      <c r="HN54" s="2552"/>
      <c r="HO54" s="2552"/>
      <c r="HP54" s="2552"/>
      <c r="HQ54" s="2552"/>
      <c r="HR54" s="2552"/>
      <c r="HS54" s="2552"/>
      <c r="HT54" s="2552"/>
      <c r="HU54" s="2552"/>
      <c r="HV54" s="2552"/>
      <c r="HW54" s="2552"/>
      <c r="HX54" s="2552"/>
      <c r="HY54" s="2552"/>
      <c r="HZ54" s="2552"/>
      <c r="IA54" s="2552"/>
      <c r="IB54" s="2552"/>
      <c r="IC54" s="2552"/>
      <c r="ID54" s="1242"/>
      <c r="IE54" s="1242"/>
      <c r="IG54" s="706"/>
      <c r="IH54" s="706" t="str">
        <f t="shared" si="1"/>
        <v>Добавить источник для дифференциации</v>
      </c>
      <c r="II54" s="706"/>
      <c r="IJ54" s="706"/>
    </row>
    <row r="55" spans="1:244" s="2550" customFormat="1" ht="0.75" customHeight="1">
      <c r="A55" s="1260" t="s">
        <v>154</v>
      </c>
      <c r="B55" s="1260" t="s">
        <v>155</v>
      </c>
      <c r="C55" s="1232"/>
      <c r="D55" s="1232"/>
      <c r="E55" s="4075"/>
      <c r="F55" s="4074"/>
      <c r="G55" s="1232"/>
      <c r="H55" s="1232"/>
      <c r="I55" s="1232"/>
      <c r="J55" s="1232"/>
      <c r="K55" s="1232"/>
      <c r="L55" s="1256"/>
      <c r="M55" s="1239"/>
      <c r="N55" s="1239"/>
      <c r="P55" s="1234"/>
      <c r="Q55" s="1235"/>
      <c r="R55" s="1234"/>
      <c r="S55" s="1240"/>
      <c r="T55" s="1243" t="s">
        <v>167</v>
      </c>
      <c r="U55" s="1242"/>
      <c r="V55" s="1242"/>
      <c r="W55" s="1242"/>
      <c r="X55" s="1242"/>
      <c r="Y55" s="1242"/>
      <c r="Z55" s="1242"/>
      <c r="AA55" s="1242"/>
      <c r="AB55" s="1242"/>
      <c r="AC55" s="1242"/>
      <c r="AD55" s="1242"/>
      <c r="AE55" s="1242"/>
      <c r="AF55" s="1242"/>
      <c r="AG55" s="1242"/>
      <c r="AH55" s="1242"/>
      <c r="AI55" s="1242"/>
      <c r="AJ55" s="1242"/>
      <c r="AK55" s="1242"/>
      <c r="AL55" s="2552"/>
      <c r="AM55" s="2552"/>
      <c r="AN55" s="2552"/>
      <c r="AO55" s="2552"/>
      <c r="AP55" s="2552"/>
      <c r="AQ55" s="2552"/>
      <c r="AR55" s="2552"/>
      <c r="AS55" s="2552"/>
      <c r="AT55" s="2552"/>
      <c r="AU55" s="2552"/>
      <c r="AV55" s="2552"/>
      <c r="AW55" s="2552"/>
      <c r="AX55" s="2552"/>
      <c r="AY55" s="2552"/>
      <c r="AZ55" s="2552"/>
      <c r="BA55" s="2552"/>
      <c r="BB55" s="2552"/>
      <c r="BC55" s="2552"/>
      <c r="BD55" s="2552"/>
      <c r="BE55" s="2552"/>
      <c r="BF55" s="2552"/>
      <c r="BG55" s="2552"/>
      <c r="BH55" s="2552"/>
      <c r="BI55" s="2552"/>
      <c r="BJ55" s="2552"/>
      <c r="BK55" s="2552"/>
      <c r="BL55" s="2552"/>
      <c r="BM55" s="2552"/>
      <c r="BN55" s="2552"/>
      <c r="BO55" s="2552"/>
      <c r="BP55" s="2552"/>
      <c r="BQ55" s="2552"/>
      <c r="BR55" s="2552"/>
      <c r="BS55" s="2552"/>
      <c r="BT55" s="2552"/>
      <c r="BU55" s="2552"/>
      <c r="BV55" s="2552"/>
      <c r="BW55" s="2552"/>
      <c r="BX55" s="2552"/>
      <c r="BY55" s="2552"/>
      <c r="BZ55" s="2552"/>
      <c r="CA55" s="2552"/>
      <c r="CB55" s="2552"/>
      <c r="CC55" s="2552"/>
      <c r="CD55" s="2552"/>
      <c r="CE55" s="2552"/>
      <c r="CF55" s="2552"/>
      <c r="CG55" s="2552"/>
      <c r="CH55" s="2552"/>
      <c r="CI55" s="2552"/>
      <c r="CJ55" s="2552"/>
      <c r="CK55" s="2552"/>
      <c r="CL55" s="2552"/>
      <c r="CM55" s="2552"/>
      <c r="CN55" s="2552"/>
      <c r="CO55" s="2552"/>
      <c r="CP55" s="2552"/>
      <c r="CQ55" s="2552"/>
      <c r="CR55" s="2552"/>
      <c r="CS55" s="2552"/>
      <c r="CT55" s="2552"/>
      <c r="CU55" s="2552"/>
      <c r="CV55" s="2552"/>
      <c r="CW55" s="2552"/>
      <c r="CX55" s="2552"/>
      <c r="CY55" s="2552"/>
      <c r="CZ55" s="2552"/>
      <c r="DA55" s="2552"/>
      <c r="DB55" s="2552"/>
      <c r="DC55" s="2552"/>
      <c r="DD55" s="2552"/>
      <c r="DE55" s="2552"/>
      <c r="DF55" s="2552"/>
      <c r="DG55" s="2552"/>
      <c r="DH55" s="2552"/>
      <c r="DI55" s="2552"/>
      <c r="DJ55" s="2552"/>
      <c r="DK55" s="2552"/>
      <c r="DL55" s="2552"/>
      <c r="DM55" s="2552"/>
      <c r="DN55" s="2552"/>
      <c r="DO55" s="2552"/>
      <c r="DP55" s="2552"/>
      <c r="DQ55" s="2552"/>
      <c r="DR55" s="2552"/>
      <c r="DS55" s="2552"/>
      <c r="DT55" s="2552"/>
      <c r="DU55" s="2552"/>
      <c r="DV55" s="2552"/>
      <c r="DW55" s="2552"/>
      <c r="DX55" s="2552"/>
      <c r="DY55" s="2552"/>
      <c r="DZ55" s="2552"/>
      <c r="EA55" s="2552"/>
      <c r="EB55" s="2552"/>
      <c r="EC55" s="2552"/>
      <c r="ED55" s="2552"/>
      <c r="EE55" s="2552"/>
      <c r="EF55" s="2552"/>
      <c r="EG55" s="2552"/>
      <c r="EH55" s="2552"/>
      <c r="EI55" s="2552"/>
      <c r="EJ55" s="2552"/>
      <c r="EK55" s="2552"/>
      <c r="EL55" s="2552"/>
      <c r="EM55" s="2552"/>
      <c r="EN55" s="2552"/>
      <c r="EO55" s="2552"/>
      <c r="EP55" s="2552"/>
      <c r="EQ55" s="2552"/>
      <c r="ER55" s="2552"/>
      <c r="ES55" s="2552"/>
      <c r="ET55" s="2552"/>
      <c r="EU55" s="2552"/>
      <c r="EV55" s="2552"/>
      <c r="EW55" s="2552"/>
      <c r="EX55" s="2552"/>
      <c r="EY55" s="2552"/>
      <c r="EZ55" s="2552"/>
      <c r="FA55" s="2552"/>
      <c r="FB55" s="2552"/>
      <c r="FC55" s="2552"/>
      <c r="FD55" s="2552"/>
      <c r="FE55" s="2552"/>
      <c r="FF55" s="2552"/>
      <c r="FG55" s="2552"/>
      <c r="FH55" s="2552"/>
      <c r="FI55" s="2552"/>
      <c r="FJ55" s="2552"/>
      <c r="FK55" s="2552"/>
      <c r="FL55" s="2552"/>
      <c r="FM55" s="2552"/>
      <c r="FN55" s="2552"/>
      <c r="FO55" s="2552"/>
      <c r="FP55" s="2552"/>
      <c r="FQ55" s="2552"/>
      <c r="FR55" s="2552"/>
      <c r="FS55" s="2552"/>
      <c r="FT55" s="2552"/>
      <c r="FU55" s="2552"/>
      <c r="FV55" s="2552"/>
      <c r="FW55" s="2552"/>
      <c r="FX55" s="2552"/>
      <c r="FY55" s="2552"/>
      <c r="FZ55" s="2552"/>
      <c r="GA55" s="2552"/>
      <c r="GB55" s="2552"/>
      <c r="GC55" s="2552"/>
      <c r="GD55" s="2552"/>
      <c r="GE55" s="2552"/>
      <c r="GF55" s="2552"/>
      <c r="GG55" s="2552"/>
      <c r="GH55" s="2552"/>
      <c r="GI55" s="2552"/>
      <c r="GJ55" s="2552"/>
      <c r="GK55" s="2552"/>
      <c r="GL55" s="2552"/>
      <c r="GM55" s="2552"/>
      <c r="GN55" s="2552"/>
      <c r="GO55" s="2552"/>
      <c r="GP55" s="2552"/>
      <c r="GQ55" s="2552"/>
      <c r="GR55" s="2552"/>
      <c r="GS55" s="2552"/>
      <c r="GT55" s="2552"/>
      <c r="GU55" s="2552"/>
      <c r="GV55" s="2552"/>
      <c r="GW55" s="2552"/>
      <c r="GX55" s="2552"/>
      <c r="GY55" s="2552"/>
      <c r="GZ55" s="2552"/>
      <c r="HA55" s="2552"/>
      <c r="HB55" s="2552"/>
      <c r="HC55" s="2552"/>
      <c r="HD55" s="2552"/>
      <c r="HE55" s="2552"/>
      <c r="HF55" s="2552"/>
      <c r="HG55" s="2552"/>
      <c r="HH55" s="2552"/>
      <c r="HI55" s="2552"/>
      <c r="HJ55" s="2552"/>
      <c r="HK55" s="2552"/>
      <c r="HL55" s="2552"/>
      <c r="HM55" s="2552"/>
      <c r="HN55" s="2552"/>
      <c r="HO55" s="2552"/>
      <c r="HP55" s="2552"/>
      <c r="HQ55" s="2552"/>
      <c r="HR55" s="2552"/>
      <c r="HS55" s="2552"/>
      <c r="HT55" s="2552"/>
      <c r="HU55" s="2552"/>
      <c r="HV55" s="2552"/>
      <c r="HW55" s="2552"/>
      <c r="HX55" s="2552"/>
      <c r="HY55" s="2552"/>
      <c r="HZ55" s="2552"/>
      <c r="IA55" s="2552"/>
      <c r="IB55" s="2552"/>
      <c r="IC55" s="2552"/>
      <c r="ID55" s="1242"/>
      <c r="IE55" s="1242"/>
      <c r="IG55" s="706"/>
      <c r="IH55" s="706" t="str">
        <f t="shared" si="1"/>
        <v>Добавить централизованную систему для дифференциации</v>
      </c>
      <c r="II55" s="706"/>
      <c r="IJ55" s="706"/>
    </row>
    <row r="56" spans="1:244" s="1821" customFormat="1" ht="0.75" customHeight="1">
      <c r="A56" s="1260" t="s">
        <v>154</v>
      </c>
      <c r="B56" s="1260"/>
      <c r="C56" s="1260"/>
      <c r="D56" s="1260"/>
      <c r="E56" s="4074"/>
      <c r="F56" s="1260"/>
      <c r="G56" s="1260"/>
      <c r="H56" s="1260"/>
      <c r="I56" s="1260"/>
      <c r="J56" s="1260"/>
      <c r="K56" s="1260"/>
      <c r="L56" s="1263"/>
      <c r="M56" s="1239"/>
      <c r="N56" s="1239"/>
      <c r="O56" s="444"/>
      <c r="P56" s="313"/>
      <c r="Q56" s="1261"/>
      <c r="R56" s="313"/>
      <c r="S56" s="1240"/>
      <c r="T56" s="1243" t="s">
        <v>168</v>
      </c>
      <c r="U56" s="1242"/>
      <c r="V56" s="1242"/>
      <c r="W56" s="1242"/>
      <c r="X56" s="1242"/>
      <c r="Y56" s="1242"/>
      <c r="Z56" s="1242"/>
      <c r="AA56" s="1242"/>
      <c r="AB56" s="1242"/>
      <c r="AC56" s="1242"/>
      <c r="AD56" s="1242"/>
      <c r="AE56" s="1242"/>
      <c r="AF56" s="1242"/>
      <c r="AG56" s="1242"/>
      <c r="AH56" s="1242"/>
      <c r="AI56" s="1242"/>
      <c r="AJ56" s="1242"/>
      <c r="AK56" s="1242"/>
      <c r="AL56" s="2552"/>
      <c r="AM56" s="2552"/>
      <c r="AN56" s="2552"/>
      <c r="AO56" s="2552"/>
      <c r="AP56" s="2552"/>
      <c r="AQ56" s="2552"/>
      <c r="AR56" s="2552"/>
      <c r="AS56" s="2552"/>
      <c r="AT56" s="2552"/>
      <c r="AU56" s="2552"/>
      <c r="AV56" s="2552"/>
      <c r="AW56" s="2552"/>
      <c r="AX56" s="2552"/>
      <c r="AY56" s="2552"/>
      <c r="AZ56" s="2552"/>
      <c r="BA56" s="2552"/>
      <c r="BB56" s="2552"/>
      <c r="BC56" s="2552"/>
      <c r="BD56" s="2552"/>
      <c r="BE56" s="2552"/>
      <c r="BF56" s="2552"/>
      <c r="BG56" s="2552"/>
      <c r="BH56" s="2552"/>
      <c r="BI56" s="2552"/>
      <c r="BJ56" s="2552"/>
      <c r="BK56" s="2552"/>
      <c r="BL56" s="2552"/>
      <c r="BM56" s="2552"/>
      <c r="BN56" s="2552"/>
      <c r="BO56" s="2552"/>
      <c r="BP56" s="2552"/>
      <c r="BQ56" s="2552"/>
      <c r="BR56" s="2552"/>
      <c r="BS56" s="2552"/>
      <c r="BT56" s="2552"/>
      <c r="BU56" s="2552"/>
      <c r="BV56" s="2552"/>
      <c r="BW56" s="2552"/>
      <c r="BX56" s="2552"/>
      <c r="BY56" s="2552"/>
      <c r="BZ56" s="2552"/>
      <c r="CA56" s="2552"/>
      <c r="CB56" s="2552"/>
      <c r="CC56" s="2552"/>
      <c r="CD56" s="2552"/>
      <c r="CE56" s="2552"/>
      <c r="CF56" s="2552"/>
      <c r="CG56" s="2552"/>
      <c r="CH56" s="2552"/>
      <c r="CI56" s="2552"/>
      <c r="CJ56" s="2552"/>
      <c r="CK56" s="2552"/>
      <c r="CL56" s="2552"/>
      <c r="CM56" s="2552"/>
      <c r="CN56" s="2552"/>
      <c r="CO56" s="2552"/>
      <c r="CP56" s="2552"/>
      <c r="CQ56" s="2552"/>
      <c r="CR56" s="2552"/>
      <c r="CS56" s="2552"/>
      <c r="CT56" s="2552"/>
      <c r="CU56" s="2552"/>
      <c r="CV56" s="2552"/>
      <c r="CW56" s="2552"/>
      <c r="CX56" s="2552"/>
      <c r="CY56" s="2552"/>
      <c r="CZ56" s="2552"/>
      <c r="DA56" s="2552"/>
      <c r="DB56" s="2552"/>
      <c r="DC56" s="2552"/>
      <c r="DD56" s="2552"/>
      <c r="DE56" s="2552"/>
      <c r="DF56" s="2552"/>
      <c r="DG56" s="2552"/>
      <c r="DH56" s="2552"/>
      <c r="DI56" s="2552"/>
      <c r="DJ56" s="2552"/>
      <c r="DK56" s="2552"/>
      <c r="DL56" s="2552"/>
      <c r="DM56" s="2552"/>
      <c r="DN56" s="2552"/>
      <c r="DO56" s="2552"/>
      <c r="DP56" s="2552"/>
      <c r="DQ56" s="2552"/>
      <c r="DR56" s="2552"/>
      <c r="DS56" s="2552"/>
      <c r="DT56" s="2552"/>
      <c r="DU56" s="2552"/>
      <c r="DV56" s="2552"/>
      <c r="DW56" s="2552"/>
      <c r="DX56" s="2552"/>
      <c r="DY56" s="2552"/>
      <c r="DZ56" s="2552"/>
      <c r="EA56" s="2552"/>
      <c r="EB56" s="2552"/>
      <c r="EC56" s="2552"/>
      <c r="ED56" s="2552"/>
      <c r="EE56" s="2552"/>
      <c r="EF56" s="2552"/>
      <c r="EG56" s="2552"/>
      <c r="EH56" s="2552"/>
      <c r="EI56" s="2552"/>
      <c r="EJ56" s="2552"/>
      <c r="EK56" s="2552"/>
      <c r="EL56" s="2552"/>
      <c r="EM56" s="2552"/>
      <c r="EN56" s="2552"/>
      <c r="EO56" s="2552"/>
      <c r="EP56" s="2552"/>
      <c r="EQ56" s="2552"/>
      <c r="ER56" s="2552"/>
      <c r="ES56" s="2552"/>
      <c r="ET56" s="2552"/>
      <c r="EU56" s="2552"/>
      <c r="EV56" s="2552"/>
      <c r="EW56" s="2552"/>
      <c r="EX56" s="2552"/>
      <c r="EY56" s="2552"/>
      <c r="EZ56" s="2552"/>
      <c r="FA56" s="2552"/>
      <c r="FB56" s="2552"/>
      <c r="FC56" s="2552"/>
      <c r="FD56" s="2552"/>
      <c r="FE56" s="2552"/>
      <c r="FF56" s="2552"/>
      <c r="FG56" s="2552"/>
      <c r="FH56" s="2552"/>
      <c r="FI56" s="2552"/>
      <c r="FJ56" s="2552"/>
      <c r="FK56" s="2552"/>
      <c r="FL56" s="2552"/>
      <c r="FM56" s="2552"/>
      <c r="FN56" s="2552"/>
      <c r="FO56" s="2552"/>
      <c r="FP56" s="2552"/>
      <c r="FQ56" s="2552"/>
      <c r="FR56" s="2552"/>
      <c r="FS56" s="2552"/>
      <c r="FT56" s="2552"/>
      <c r="FU56" s="2552"/>
      <c r="FV56" s="2552"/>
      <c r="FW56" s="2552"/>
      <c r="FX56" s="2552"/>
      <c r="FY56" s="2552"/>
      <c r="FZ56" s="2552"/>
      <c r="GA56" s="2552"/>
      <c r="GB56" s="2552"/>
      <c r="GC56" s="2552"/>
      <c r="GD56" s="2552"/>
      <c r="GE56" s="2552"/>
      <c r="GF56" s="2552"/>
      <c r="GG56" s="2552"/>
      <c r="GH56" s="2552"/>
      <c r="GI56" s="2552"/>
      <c r="GJ56" s="2552"/>
      <c r="GK56" s="2552"/>
      <c r="GL56" s="2552"/>
      <c r="GM56" s="2552"/>
      <c r="GN56" s="2552"/>
      <c r="GO56" s="2552"/>
      <c r="GP56" s="2552"/>
      <c r="GQ56" s="2552"/>
      <c r="GR56" s="2552"/>
      <c r="GS56" s="2552"/>
      <c r="GT56" s="2552"/>
      <c r="GU56" s="2552"/>
      <c r="GV56" s="2552"/>
      <c r="GW56" s="2552"/>
      <c r="GX56" s="2552"/>
      <c r="GY56" s="2552"/>
      <c r="GZ56" s="2552"/>
      <c r="HA56" s="2552"/>
      <c r="HB56" s="2552"/>
      <c r="HC56" s="2552"/>
      <c r="HD56" s="2552"/>
      <c r="HE56" s="2552"/>
      <c r="HF56" s="2552"/>
      <c r="HG56" s="2552"/>
      <c r="HH56" s="2552"/>
      <c r="HI56" s="2552"/>
      <c r="HJ56" s="2552"/>
      <c r="HK56" s="2552"/>
      <c r="HL56" s="2552"/>
      <c r="HM56" s="2552"/>
      <c r="HN56" s="2552"/>
      <c r="HO56" s="2552"/>
      <c r="HP56" s="2552"/>
      <c r="HQ56" s="2552"/>
      <c r="HR56" s="2552"/>
      <c r="HS56" s="2552"/>
      <c r="HT56" s="2552"/>
      <c r="HU56" s="2552"/>
      <c r="HV56" s="2552"/>
      <c r="HW56" s="2552"/>
      <c r="HX56" s="2552"/>
      <c r="HY56" s="2552"/>
      <c r="HZ56" s="2552"/>
      <c r="IA56" s="2552"/>
      <c r="IB56" s="2552"/>
      <c r="IC56" s="2552"/>
      <c r="ID56" s="1242"/>
      <c r="IE56" s="1242"/>
      <c r="IG56" s="426"/>
      <c r="IH56" s="426" t="str">
        <f t="shared" si="1"/>
        <v>Добавить территорию для дифференциации</v>
      </c>
      <c r="II56" s="426"/>
      <c r="IJ56" s="426"/>
    </row>
    <row r="57" spans="1:244" s="2550"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169</v>
      </c>
      <c r="U57" s="1242"/>
      <c r="V57" s="1242"/>
      <c r="W57" s="1242"/>
      <c r="X57" s="1242"/>
      <c r="Y57" s="1242"/>
      <c r="Z57" s="1242"/>
      <c r="AA57" s="1242"/>
      <c r="AB57" s="1242"/>
      <c r="AC57" s="1242"/>
      <c r="AD57" s="1242"/>
      <c r="AE57" s="1242"/>
      <c r="AF57" s="1242"/>
      <c r="AG57" s="1242"/>
      <c r="AH57" s="1242"/>
      <c r="AI57" s="1242"/>
      <c r="AJ57" s="1242"/>
      <c r="AK57" s="1242"/>
      <c r="AL57" s="2552"/>
      <c r="AM57" s="2552"/>
      <c r="AN57" s="2552"/>
      <c r="AO57" s="2552"/>
      <c r="AP57" s="2552"/>
      <c r="AQ57" s="2552"/>
      <c r="AR57" s="2552"/>
      <c r="AS57" s="2552"/>
      <c r="AT57" s="2552"/>
      <c r="AU57" s="2552"/>
      <c r="AV57" s="2552"/>
      <c r="AW57" s="2552"/>
      <c r="AX57" s="2552"/>
      <c r="AY57" s="2552"/>
      <c r="AZ57" s="2552"/>
      <c r="BA57" s="2552"/>
      <c r="BB57" s="2552"/>
      <c r="BC57" s="2552"/>
      <c r="BD57" s="2552"/>
      <c r="BE57" s="2552"/>
      <c r="BF57" s="2552"/>
      <c r="BG57" s="2552"/>
      <c r="BH57" s="2552"/>
      <c r="BI57" s="2552"/>
      <c r="BJ57" s="2552"/>
      <c r="BK57" s="2552"/>
      <c r="BL57" s="2552"/>
      <c r="BM57" s="2552"/>
      <c r="BN57" s="2552"/>
      <c r="BO57" s="2552"/>
      <c r="BP57" s="2552"/>
      <c r="BQ57" s="2552"/>
      <c r="BR57" s="2552"/>
      <c r="BS57" s="2552"/>
      <c r="BT57" s="2552"/>
      <c r="BU57" s="2552"/>
      <c r="BV57" s="2552"/>
      <c r="BW57" s="2552"/>
      <c r="BX57" s="2552"/>
      <c r="BY57" s="2552"/>
      <c r="BZ57" s="2552"/>
      <c r="CA57" s="2552"/>
      <c r="CB57" s="2552"/>
      <c r="CC57" s="2552"/>
      <c r="CD57" s="2552"/>
      <c r="CE57" s="2552"/>
      <c r="CF57" s="2552"/>
      <c r="CG57" s="2552"/>
      <c r="CH57" s="2552"/>
      <c r="CI57" s="2552"/>
      <c r="CJ57" s="2552"/>
      <c r="CK57" s="2552"/>
      <c r="CL57" s="2552"/>
      <c r="CM57" s="2552"/>
      <c r="CN57" s="2552"/>
      <c r="CO57" s="2552"/>
      <c r="CP57" s="2552"/>
      <c r="CQ57" s="2552"/>
      <c r="CR57" s="2552"/>
      <c r="CS57" s="2552"/>
      <c r="CT57" s="2552"/>
      <c r="CU57" s="2552"/>
      <c r="CV57" s="2552"/>
      <c r="CW57" s="2552"/>
      <c r="CX57" s="2552"/>
      <c r="CY57" s="2552"/>
      <c r="CZ57" s="2552"/>
      <c r="DA57" s="2552"/>
      <c r="DB57" s="2552"/>
      <c r="DC57" s="2552"/>
      <c r="DD57" s="2552"/>
      <c r="DE57" s="2552"/>
      <c r="DF57" s="2552"/>
      <c r="DG57" s="2552"/>
      <c r="DH57" s="2552"/>
      <c r="DI57" s="2552"/>
      <c r="DJ57" s="2552"/>
      <c r="DK57" s="2552"/>
      <c r="DL57" s="2552"/>
      <c r="DM57" s="2552"/>
      <c r="DN57" s="2552"/>
      <c r="DO57" s="2552"/>
      <c r="DP57" s="2552"/>
      <c r="DQ57" s="2552"/>
      <c r="DR57" s="2552"/>
      <c r="DS57" s="2552"/>
      <c r="DT57" s="2552"/>
      <c r="DU57" s="2552"/>
      <c r="DV57" s="2552"/>
      <c r="DW57" s="2552"/>
      <c r="DX57" s="2552"/>
      <c r="DY57" s="2552"/>
      <c r="DZ57" s="2552"/>
      <c r="EA57" s="2552"/>
      <c r="EB57" s="2552"/>
      <c r="EC57" s="2552"/>
      <c r="ED57" s="2552"/>
      <c r="EE57" s="2552"/>
      <c r="EF57" s="2552"/>
      <c r="EG57" s="2552"/>
      <c r="EH57" s="2552"/>
      <c r="EI57" s="2552"/>
      <c r="EJ57" s="2552"/>
      <c r="EK57" s="2552"/>
      <c r="EL57" s="2552"/>
      <c r="EM57" s="2552"/>
      <c r="EN57" s="2552"/>
      <c r="EO57" s="2552"/>
      <c r="EP57" s="2552"/>
      <c r="EQ57" s="2552"/>
      <c r="ER57" s="2552"/>
      <c r="ES57" s="2552"/>
      <c r="ET57" s="2552"/>
      <c r="EU57" s="2552"/>
      <c r="EV57" s="2552"/>
      <c r="EW57" s="2552"/>
      <c r="EX57" s="2552"/>
      <c r="EY57" s="2552"/>
      <c r="EZ57" s="2552"/>
      <c r="FA57" s="2552"/>
      <c r="FB57" s="2552"/>
      <c r="FC57" s="2552"/>
      <c r="FD57" s="2552"/>
      <c r="FE57" s="2552"/>
      <c r="FF57" s="2552"/>
      <c r="FG57" s="2552"/>
      <c r="FH57" s="2552"/>
      <c r="FI57" s="2552"/>
      <c r="FJ57" s="2552"/>
      <c r="FK57" s="2552"/>
      <c r="FL57" s="2552"/>
      <c r="FM57" s="2552"/>
      <c r="FN57" s="2552"/>
      <c r="FO57" s="2552"/>
      <c r="FP57" s="2552"/>
      <c r="FQ57" s="2552"/>
      <c r="FR57" s="2552"/>
      <c r="FS57" s="2552"/>
      <c r="FT57" s="2552"/>
      <c r="FU57" s="2552"/>
      <c r="FV57" s="2552"/>
      <c r="FW57" s="2552"/>
      <c r="FX57" s="2552"/>
      <c r="FY57" s="2552"/>
      <c r="FZ57" s="2552"/>
      <c r="GA57" s="2552"/>
      <c r="GB57" s="2552"/>
      <c r="GC57" s="2552"/>
      <c r="GD57" s="2552"/>
      <c r="GE57" s="2552"/>
      <c r="GF57" s="2552"/>
      <c r="GG57" s="2552"/>
      <c r="GH57" s="2552"/>
      <c r="GI57" s="2552"/>
      <c r="GJ57" s="2552"/>
      <c r="GK57" s="2552"/>
      <c r="GL57" s="2552"/>
      <c r="GM57" s="2552"/>
      <c r="GN57" s="2552"/>
      <c r="GO57" s="2552"/>
      <c r="GP57" s="2552"/>
      <c r="GQ57" s="2552"/>
      <c r="GR57" s="2552"/>
      <c r="GS57" s="2552"/>
      <c r="GT57" s="2552"/>
      <c r="GU57" s="2552"/>
      <c r="GV57" s="2552"/>
      <c r="GW57" s="2552"/>
      <c r="GX57" s="2552"/>
      <c r="GY57" s="2552"/>
      <c r="GZ57" s="2552"/>
      <c r="HA57" s="2552"/>
      <c r="HB57" s="2552"/>
      <c r="HC57" s="2552"/>
      <c r="HD57" s="2552"/>
      <c r="HE57" s="2552"/>
      <c r="HF57" s="2552"/>
      <c r="HG57" s="2552"/>
      <c r="HH57" s="2552"/>
      <c r="HI57" s="2552"/>
      <c r="HJ57" s="2552"/>
      <c r="HK57" s="2552"/>
      <c r="HL57" s="2552"/>
      <c r="HM57" s="2552"/>
      <c r="HN57" s="2552"/>
      <c r="HO57" s="2552"/>
      <c r="HP57" s="2552"/>
      <c r="HQ57" s="2552"/>
      <c r="HR57" s="2552"/>
      <c r="HS57" s="2552"/>
      <c r="HT57" s="2552"/>
      <c r="HU57" s="2552"/>
      <c r="HV57" s="2552"/>
      <c r="HW57" s="2552"/>
      <c r="HX57" s="2552"/>
      <c r="HY57" s="2552"/>
      <c r="HZ57" s="2552"/>
      <c r="IA57" s="2552"/>
      <c r="IB57" s="2552"/>
      <c r="IC57" s="2552"/>
      <c r="ID57" s="1242"/>
      <c r="IE57" s="1242"/>
      <c r="IG57" s="706"/>
      <c r="IH57" s="706" t="str">
        <f t="shared" si="1"/>
        <v>Добавить наименование тарифа</v>
      </c>
      <c r="II57" s="706"/>
      <c r="IJ57" s="706"/>
    </row>
    <row r="58" spans="1:244" ht="11.25" customHeight="1">
      <c r="M58" s="1060"/>
      <c r="N58" s="1060"/>
      <c r="O58" s="462"/>
      <c r="P58" s="1055"/>
      <c r="Q58" s="1055"/>
      <c r="R58" s="1055"/>
      <c r="S58" s="1055"/>
      <c r="AL58" s="1945"/>
      <c r="AM58" s="1945"/>
      <c r="AN58" s="1945"/>
      <c r="AO58" s="1945"/>
      <c r="AP58" s="1945"/>
      <c r="AQ58" s="1945"/>
      <c r="AR58" s="1945"/>
      <c r="AS58" s="1945"/>
      <c r="AT58" s="1945"/>
      <c r="AU58" s="1945"/>
      <c r="AV58" s="1945"/>
      <c r="AW58" s="1945"/>
      <c r="AX58" s="1945"/>
      <c r="AY58" s="1945"/>
      <c r="AZ58" s="1945"/>
      <c r="BA58" s="1945"/>
      <c r="BB58" s="1945"/>
      <c r="BC58" s="1945"/>
      <c r="BD58" s="1945"/>
      <c r="BE58" s="1945"/>
      <c r="BF58" s="1945"/>
      <c r="BG58" s="1945"/>
      <c r="BH58" s="1945"/>
      <c r="BI58" s="1945"/>
      <c r="BJ58" s="1945"/>
      <c r="BK58" s="1945"/>
      <c r="BL58" s="1945"/>
      <c r="BM58" s="1945"/>
      <c r="BN58" s="1945"/>
      <c r="BO58" s="1945"/>
      <c r="BP58" s="1945"/>
      <c r="BQ58" s="1945"/>
      <c r="BR58" s="1945"/>
      <c r="BS58" s="1945"/>
      <c r="BT58" s="1945"/>
      <c r="BU58" s="1945"/>
      <c r="BV58" s="1945"/>
      <c r="BW58" s="1945"/>
      <c r="BX58" s="1945"/>
      <c r="BY58" s="1945"/>
      <c r="BZ58" s="1945"/>
      <c r="CA58" s="1945"/>
      <c r="CB58" s="1945"/>
      <c r="CC58" s="1945"/>
      <c r="CD58" s="1945"/>
      <c r="CE58" s="1945"/>
      <c r="CF58" s="1945"/>
      <c r="CG58" s="1945"/>
      <c r="CH58" s="1945"/>
      <c r="CI58" s="1945"/>
      <c r="CJ58" s="1945"/>
      <c r="CK58" s="1945"/>
      <c r="CL58" s="1945"/>
      <c r="CM58" s="1945"/>
      <c r="CN58" s="1945"/>
      <c r="CO58" s="1945"/>
      <c r="CP58" s="1945"/>
      <c r="CQ58" s="1945"/>
      <c r="CR58" s="1945"/>
      <c r="CS58" s="1945"/>
      <c r="CT58" s="1945"/>
      <c r="CU58" s="1945"/>
      <c r="CV58" s="1945"/>
      <c r="CW58" s="1945"/>
      <c r="CX58" s="1945"/>
      <c r="CY58" s="1945"/>
      <c r="CZ58" s="1945"/>
      <c r="DA58" s="1945"/>
      <c r="DB58" s="1945"/>
      <c r="DC58" s="1945"/>
      <c r="DD58" s="1945"/>
      <c r="DE58" s="1945"/>
      <c r="DF58" s="1945"/>
      <c r="DG58" s="1945"/>
      <c r="DH58" s="1945"/>
      <c r="DI58" s="1945"/>
      <c r="DJ58" s="1945"/>
      <c r="DK58" s="1945"/>
      <c r="DL58" s="1945"/>
      <c r="DM58" s="1945"/>
      <c r="DN58" s="1945"/>
      <c r="DO58" s="1945"/>
      <c r="DP58" s="1945"/>
      <c r="DQ58" s="1945"/>
      <c r="DR58" s="1945"/>
      <c r="DS58" s="1945"/>
      <c r="DT58" s="1945"/>
      <c r="DU58" s="1945"/>
      <c r="DV58" s="1945"/>
      <c r="DW58" s="1945"/>
      <c r="DX58" s="1945"/>
      <c r="DY58" s="1945"/>
      <c r="DZ58" s="1945"/>
      <c r="EA58" s="1945"/>
      <c r="EB58" s="1945"/>
      <c r="EC58" s="1945"/>
      <c r="ED58" s="1945"/>
      <c r="EE58" s="1945"/>
      <c r="EF58" s="1945"/>
      <c r="EG58" s="1945"/>
      <c r="EH58" s="1945"/>
      <c r="EI58" s="1945"/>
      <c r="EJ58" s="1945"/>
      <c r="EK58" s="1945"/>
      <c r="EL58" s="1945"/>
      <c r="EM58" s="1945"/>
      <c r="EN58" s="1945"/>
      <c r="EO58" s="1945"/>
      <c r="EP58" s="1945"/>
      <c r="EQ58" s="1945"/>
      <c r="ER58" s="1945"/>
      <c r="ES58" s="1945"/>
      <c r="ET58" s="1945"/>
      <c r="EU58" s="1945"/>
      <c r="EV58" s="1945"/>
      <c r="EW58" s="1945"/>
      <c r="EX58" s="1945"/>
      <c r="EY58" s="1945"/>
      <c r="EZ58" s="1945"/>
      <c r="FA58" s="1945"/>
      <c r="FB58" s="1945"/>
      <c r="FC58" s="1945"/>
      <c r="FD58" s="1945"/>
      <c r="FE58" s="1945"/>
      <c r="FF58" s="1945"/>
      <c r="FG58" s="1945"/>
      <c r="FH58" s="1945"/>
      <c r="FI58" s="1945"/>
      <c r="FJ58" s="1945"/>
      <c r="FK58" s="1945"/>
      <c r="FL58" s="1945"/>
      <c r="FM58" s="1945"/>
      <c r="FN58" s="1945"/>
      <c r="FO58" s="1945"/>
      <c r="FP58" s="1945"/>
      <c r="FQ58" s="1945"/>
      <c r="FR58" s="1945"/>
      <c r="FS58" s="1945"/>
      <c r="FT58" s="1945"/>
      <c r="FU58" s="1945"/>
      <c r="FV58" s="1945"/>
      <c r="FW58" s="1945"/>
      <c r="FX58" s="1945"/>
      <c r="FY58" s="1945"/>
      <c r="FZ58" s="1945"/>
      <c r="GA58" s="1945"/>
      <c r="GB58" s="1945"/>
      <c r="GC58" s="1945"/>
      <c r="GD58" s="1945"/>
      <c r="GE58" s="1945"/>
      <c r="GF58" s="1945"/>
      <c r="GG58" s="1945"/>
      <c r="GH58" s="1945"/>
      <c r="GI58" s="1945"/>
      <c r="GJ58" s="1945"/>
      <c r="GK58" s="1945"/>
      <c r="GL58" s="1945"/>
      <c r="GM58" s="1945"/>
      <c r="GN58" s="1945"/>
      <c r="GO58" s="1945"/>
      <c r="GP58" s="1945"/>
      <c r="GQ58" s="1945"/>
      <c r="GR58" s="1945"/>
      <c r="GS58" s="1945"/>
      <c r="GT58" s="1945"/>
      <c r="GU58" s="1945"/>
      <c r="GV58" s="1945"/>
      <c r="GW58" s="1945"/>
      <c r="GX58" s="1945"/>
      <c r="GY58" s="1945"/>
      <c r="GZ58" s="1945"/>
      <c r="HA58" s="1945"/>
      <c r="HB58" s="1945"/>
      <c r="HC58" s="1945"/>
      <c r="HD58" s="1945"/>
      <c r="HE58" s="1945"/>
      <c r="HF58" s="1945"/>
      <c r="HG58" s="1945"/>
      <c r="HH58" s="1945"/>
      <c r="HI58" s="1945"/>
      <c r="HJ58" s="1945"/>
      <c r="HK58" s="1945"/>
      <c r="HL58" s="1945"/>
      <c r="HM58" s="1945"/>
      <c r="HN58" s="1945"/>
      <c r="HO58" s="1945"/>
      <c r="HP58" s="1945"/>
      <c r="HQ58" s="1945"/>
      <c r="HR58" s="1945"/>
      <c r="HS58" s="1945"/>
      <c r="HT58" s="1945"/>
      <c r="HU58" s="1945"/>
      <c r="HV58" s="1945"/>
      <c r="HW58" s="1945"/>
      <c r="HX58" s="1945"/>
      <c r="HY58" s="1945"/>
      <c r="HZ58" s="1945"/>
      <c r="IA58" s="1945"/>
      <c r="IB58" s="1945"/>
      <c r="IC58" s="1945"/>
      <c r="IF58" s="1055"/>
      <c r="IG58" s="1055"/>
      <c r="IH58" s="1055"/>
      <c r="II58" s="1055"/>
      <c r="IJ58" s="1055"/>
    </row>
    <row r="59" spans="1:244" ht="27" customHeight="1">
      <c r="O59" s="462"/>
      <c r="S59" s="1164"/>
      <c r="T59" s="4094"/>
      <c r="U59" s="4094"/>
      <c r="V59" s="4094"/>
      <c r="W59" s="4094"/>
      <c r="X59" s="4094"/>
      <c r="Y59" s="4094"/>
      <c r="Z59" s="4094"/>
      <c r="AA59" s="4094"/>
      <c r="AB59" s="4094"/>
      <c r="AC59" s="4094"/>
      <c r="AD59" s="4094"/>
      <c r="AE59" s="4094"/>
      <c r="AF59" s="4094"/>
      <c r="AG59" s="4094"/>
      <c r="AH59" s="4094"/>
      <c r="AI59" s="4094"/>
      <c r="AJ59" s="4094"/>
      <c r="AK59" s="4094"/>
      <c r="AL59" s="4094"/>
      <c r="AM59" s="4094"/>
      <c r="AN59" s="4094"/>
      <c r="AO59" s="4094"/>
      <c r="AP59" s="4094"/>
      <c r="AQ59" s="4094"/>
      <c r="AR59" s="4094"/>
      <c r="AS59" s="4094"/>
      <c r="AT59" s="4094"/>
      <c r="AU59" s="4094"/>
      <c r="AV59" s="4094"/>
      <c r="AW59" s="4094"/>
      <c r="AX59" s="4094"/>
      <c r="AY59" s="4094"/>
      <c r="AZ59" s="4094"/>
      <c r="BA59" s="4094"/>
      <c r="BB59" s="4094"/>
      <c r="BC59" s="4094"/>
      <c r="BD59" s="4094"/>
      <c r="BE59" s="4094"/>
      <c r="BF59" s="4094"/>
      <c r="BG59" s="4094"/>
      <c r="BH59" s="4094"/>
      <c r="BI59" s="4094"/>
      <c r="BJ59" s="4094"/>
      <c r="BK59" s="4094"/>
      <c r="BL59" s="4094"/>
      <c r="BM59" s="4094"/>
      <c r="BN59" s="4094"/>
      <c r="BO59" s="4094"/>
      <c r="BP59" s="4094"/>
      <c r="BQ59" s="4094"/>
      <c r="BR59" s="4094"/>
      <c r="BS59" s="4094"/>
      <c r="BT59" s="4094"/>
      <c r="BU59" s="4094"/>
      <c r="BV59" s="4094"/>
      <c r="BW59" s="4094"/>
      <c r="BX59" s="4094"/>
      <c r="BY59" s="4094"/>
      <c r="BZ59" s="4094"/>
      <c r="CA59" s="4094"/>
      <c r="CB59" s="4094"/>
      <c r="CC59" s="4094"/>
      <c r="CD59" s="4094"/>
      <c r="CE59" s="4094"/>
      <c r="CF59" s="4094"/>
      <c r="CG59" s="4094"/>
      <c r="CH59" s="4094"/>
      <c r="CI59" s="4094"/>
      <c r="CJ59" s="4094"/>
      <c r="CK59" s="4094"/>
      <c r="CL59" s="4094"/>
      <c r="CM59" s="4094"/>
      <c r="CN59" s="4094"/>
      <c r="CO59" s="4094"/>
      <c r="CP59" s="4094"/>
      <c r="CQ59" s="4094"/>
      <c r="CR59" s="4094"/>
      <c r="CS59" s="4094"/>
      <c r="CT59" s="4094"/>
      <c r="CU59" s="4094"/>
      <c r="CV59" s="4094"/>
      <c r="CW59" s="4094"/>
      <c r="CX59" s="4094"/>
      <c r="CY59" s="4094"/>
      <c r="CZ59" s="4094"/>
      <c r="DA59" s="4094"/>
      <c r="DB59" s="4094"/>
      <c r="DC59" s="4094"/>
      <c r="DD59" s="4094"/>
      <c r="DE59" s="4094"/>
      <c r="DF59" s="4094"/>
      <c r="DG59" s="4094"/>
      <c r="DH59" s="4094"/>
      <c r="DI59" s="4094"/>
      <c r="DJ59" s="4094"/>
      <c r="DK59" s="4094"/>
      <c r="DL59" s="4094"/>
      <c r="DM59" s="4094"/>
      <c r="DN59" s="4094"/>
      <c r="DO59" s="4094"/>
      <c r="DP59" s="4094"/>
      <c r="DQ59" s="4094"/>
      <c r="DR59" s="4094"/>
      <c r="DS59" s="4094"/>
      <c r="DT59" s="4094"/>
      <c r="DU59" s="4094"/>
      <c r="DV59" s="4094"/>
      <c r="DW59" s="4094"/>
      <c r="DX59" s="4094"/>
      <c r="DY59" s="4094"/>
      <c r="DZ59" s="4094"/>
      <c r="EA59" s="4094"/>
      <c r="EB59" s="4094"/>
      <c r="EC59" s="4094"/>
      <c r="ED59" s="4094"/>
      <c r="EE59" s="4094"/>
      <c r="EF59" s="4094"/>
      <c r="EG59" s="4094"/>
      <c r="EH59" s="4094"/>
      <c r="EI59" s="4094"/>
      <c r="EJ59" s="4094"/>
      <c r="EK59" s="4094"/>
      <c r="EL59" s="4094"/>
      <c r="EM59" s="4094"/>
      <c r="EN59" s="4094"/>
      <c r="EO59" s="4094"/>
      <c r="EP59" s="4094"/>
      <c r="EQ59" s="4094"/>
      <c r="ER59" s="4094"/>
      <c r="ES59" s="4094"/>
      <c r="ET59" s="4094"/>
      <c r="EU59" s="4094"/>
      <c r="EV59" s="4094"/>
      <c r="EW59" s="4094"/>
      <c r="EX59" s="4094"/>
      <c r="EY59" s="4094"/>
      <c r="EZ59" s="4094"/>
      <c r="FA59" s="4094"/>
      <c r="FB59" s="4094"/>
      <c r="FC59" s="4094"/>
      <c r="FD59" s="4094"/>
      <c r="FE59" s="4094"/>
      <c r="FF59" s="4094"/>
      <c r="FG59" s="4094"/>
      <c r="FH59" s="4094"/>
      <c r="FI59" s="4094"/>
      <c r="FJ59" s="4094"/>
      <c r="FK59" s="4094"/>
      <c r="FL59" s="4094"/>
      <c r="FM59" s="4094"/>
      <c r="FN59" s="4094"/>
      <c r="FO59" s="4094"/>
      <c r="FP59" s="4094"/>
      <c r="FQ59" s="4094"/>
      <c r="FR59" s="4094"/>
      <c r="FS59" s="4094"/>
      <c r="FT59" s="4094"/>
      <c r="FU59" s="4094"/>
      <c r="FV59" s="4094"/>
      <c r="FW59" s="4094"/>
      <c r="FX59" s="4094"/>
      <c r="FY59" s="4094"/>
      <c r="FZ59" s="4094"/>
      <c r="GA59" s="4094"/>
      <c r="GB59" s="4094"/>
      <c r="GC59" s="4094"/>
      <c r="GD59" s="4094"/>
      <c r="GE59" s="4094"/>
      <c r="GF59" s="4094"/>
      <c r="GG59" s="4094"/>
      <c r="GH59" s="4094"/>
      <c r="GI59" s="4094"/>
      <c r="GJ59" s="4094"/>
      <c r="GK59" s="4094"/>
      <c r="GL59" s="4094"/>
      <c r="GM59" s="4094"/>
      <c r="GN59" s="4094"/>
      <c r="GO59" s="4094"/>
      <c r="GP59" s="4094"/>
      <c r="GQ59" s="4094"/>
      <c r="GR59" s="4094"/>
      <c r="GS59" s="4094"/>
      <c r="GT59" s="4094"/>
      <c r="GU59" s="4094"/>
      <c r="GV59" s="4094"/>
      <c r="GW59" s="4094"/>
      <c r="GX59" s="4094"/>
      <c r="GY59" s="4094"/>
      <c r="GZ59" s="4094"/>
      <c r="HA59" s="4094"/>
      <c r="HB59" s="4094"/>
      <c r="HC59" s="4094"/>
      <c r="HD59" s="4094"/>
      <c r="HE59" s="4094"/>
      <c r="HF59" s="4094"/>
      <c r="HG59" s="4094"/>
      <c r="HH59" s="4094"/>
      <c r="HI59" s="4094"/>
      <c r="HJ59" s="4094"/>
      <c r="HK59" s="4094"/>
      <c r="HL59" s="4094"/>
      <c r="HM59" s="4094"/>
      <c r="HN59" s="4094"/>
      <c r="HO59" s="4094"/>
      <c r="HP59" s="4094"/>
      <c r="HQ59" s="4094"/>
      <c r="HR59" s="4094"/>
      <c r="HS59" s="4094"/>
      <c r="HT59" s="4094"/>
      <c r="HU59" s="4094"/>
      <c r="HV59" s="4094"/>
      <c r="HW59" s="4094"/>
      <c r="HX59" s="4094"/>
      <c r="HY59" s="4094"/>
      <c r="HZ59" s="4094"/>
      <c r="IA59" s="4094"/>
      <c r="IB59" s="4094"/>
      <c r="IC59" s="4094"/>
      <c r="ID59" s="4094"/>
      <c r="IE59" s="4094"/>
    </row>
    <row r="60" spans="1:244" ht="64.5" customHeight="1">
      <c r="O60" s="462"/>
      <c r="P60" s="1222"/>
      <c r="T60" s="4094"/>
      <c r="U60" s="4094"/>
      <c r="V60" s="4094"/>
      <c r="W60" s="4094"/>
      <c r="X60" s="4094"/>
      <c r="Y60" s="4094"/>
      <c r="Z60" s="4094"/>
      <c r="AA60" s="4094"/>
      <c r="AB60" s="4094"/>
      <c r="AC60" s="4094"/>
      <c r="AD60" s="4094"/>
      <c r="AE60" s="4094"/>
      <c r="AF60" s="4094"/>
      <c r="AG60" s="4094"/>
      <c r="AH60" s="4094"/>
      <c r="AI60" s="4094"/>
      <c r="AJ60" s="4094"/>
      <c r="AK60" s="4094"/>
      <c r="AL60" s="4094"/>
      <c r="AM60" s="4094"/>
      <c r="AN60" s="4094"/>
      <c r="AO60" s="4094"/>
      <c r="AP60" s="4094"/>
      <c r="AQ60" s="4094"/>
      <c r="AR60" s="4094"/>
      <c r="AS60" s="4094"/>
      <c r="AT60" s="4094"/>
      <c r="AU60" s="4094"/>
      <c r="AV60" s="4094"/>
      <c r="AW60" s="4094"/>
      <c r="AX60" s="4094"/>
      <c r="AY60" s="4094"/>
      <c r="AZ60" s="4094"/>
      <c r="BA60" s="4094"/>
      <c r="BB60" s="4094"/>
      <c r="BC60" s="4094"/>
      <c r="BD60" s="4094"/>
      <c r="BE60" s="4094"/>
      <c r="BF60" s="4094"/>
      <c r="BG60" s="4094"/>
      <c r="BH60" s="4094"/>
      <c r="BI60" s="4094"/>
      <c r="BJ60" s="4094"/>
      <c r="BK60" s="4094"/>
      <c r="BL60" s="4094"/>
      <c r="BM60" s="4094"/>
      <c r="BN60" s="4094"/>
      <c r="BO60" s="4094"/>
      <c r="BP60" s="4094"/>
      <c r="BQ60" s="4094"/>
      <c r="BR60" s="4094"/>
      <c r="BS60" s="4094"/>
      <c r="BT60" s="4094"/>
      <c r="BU60" s="4094"/>
      <c r="BV60" s="4094"/>
      <c r="BW60" s="4094"/>
      <c r="BX60" s="4094"/>
      <c r="BY60" s="4094"/>
      <c r="BZ60" s="4094"/>
      <c r="CA60" s="4094"/>
      <c r="CB60" s="4094"/>
      <c r="CC60" s="4094"/>
      <c r="CD60" s="4094"/>
      <c r="CE60" s="4094"/>
      <c r="CF60" s="4094"/>
      <c r="CG60" s="4094"/>
      <c r="CH60" s="4094"/>
      <c r="CI60" s="4094"/>
      <c r="CJ60" s="4094"/>
      <c r="CK60" s="4094"/>
      <c r="CL60" s="4094"/>
      <c r="CM60" s="4094"/>
      <c r="CN60" s="4094"/>
      <c r="CO60" s="4094"/>
      <c r="CP60" s="4094"/>
      <c r="CQ60" s="4094"/>
      <c r="CR60" s="4094"/>
      <c r="CS60" s="4094"/>
      <c r="CT60" s="4094"/>
      <c r="CU60" s="4094"/>
      <c r="CV60" s="4094"/>
      <c r="CW60" s="4094"/>
      <c r="CX60" s="4094"/>
      <c r="CY60" s="4094"/>
      <c r="CZ60" s="4094"/>
      <c r="DA60" s="4094"/>
      <c r="DB60" s="4094"/>
      <c r="DC60" s="4094"/>
      <c r="DD60" s="4094"/>
      <c r="DE60" s="4094"/>
      <c r="DF60" s="4094"/>
      <c r="DG60" s="4094"/>
      <c r="DH60" s="4094"/>
      <c r="DI60" s="4094"/>
      <c r="DJ60" s="4094"/>
      <c r="DK60" s="4094"/>
      <c r="DL60" s="4094"/>
      <c r="DM60" s="4094"/>
      <c r="DN60" s="4094"/>
      <c r="DO60" s="4094"/>
      <c r="DP60" s="4094"/>
      <c r="DQ60" s="4094"/>
      <c r="DR60" s="4094"/>
      <c r="DS60" s="4094"/>
      <c r="DT60" s="4094"/>
      <c r="DU60" s="4094"/>
      <c r="DV60" s="4094"/>
      <c r="DW60" s="4094"/>
      <c r="DX60" s="4094"/>
      <c r="DY60" s="4094"/>
      <c r="DZ60" s="4094"/>
      <c r="EA60" s="4094"/>
      <c r="EB60" s="4094"/>
      <c r="EC60" s="4094"/>
      <c r="ED60" s="4094"/>
      <c r="EE60" s="4094"/>
      <c r="EF60" s="4094"/>
      <c r="EG60" s="4094"/>
      <c r="EH60" s="4094"/>
      <c r="EI60" s="4094"/>
      <c r="EJ60" s="4094"/>
      <c r="EK60" s="4094"/>
      <c r="EL60" s="4094"/>
      <c r="EM60" s="4094"/>
      <c r="EN60" s="4094"/>
      <c r="EO60" s="4094"/>
      <c r="EP60" s="4094"/>
      <c r="EQ60" s="4094"/>
      <c r="ER60" s="4094"/>
      <c r="ES60" s="4094"/>
      <c r="ET60" s="4094"/>
      <c r="EU60" s="4094"/>
      <c r="EV60" s="4094"/>
      <c r="EW60" s="4094"/>
      <c r="EX60" s="4094"/>
      <c r="EY60" s="4094"/>
      <c r="EZ60" s="4094"/>
      <c r="FA60" s="4094"/>
      <c r="FB60" s="4094"/>
      <c r="FC60" s="4094"/>
      <c r="FD60" s="4094"/>
      <c r="FE60" s="4094"/>
      <c r="FF60" s="4094"/>
      <c r="FG60" s="4094"/>
      <c r="FH60" s="4094"/>
      <c r="FI60" s="4094"/>
      <c r="FJ60" s="4094"/>
      <c r="FK60" s="4094"/>
      <c r="FL60" s="4094"/>
      <c r="FM60" s="4094"/>
      <c r="FN60" s="4094"/>
      <c r="FO60" s="4094"/>
      <c r="FP60" s="4094"/>
      <c r="FQ60" s="4094"/>
      <c r="FR60" s="4094"/>
      <c r="FS60" s="4094"/>
      <c r="FT60" s="4094"/>
      <c r="FU60" s="4094"/>
      <c r="FV60" s="4094"/>
      <c r="FW60" s="4094"/>
      <c r="FX60" s="4094"/>
      <c r="FY60" s="4094"/>
      <c r="FZ60" s="4094"/>
      <c r="GA60" s="4094"/>
      <c r="GB60" s="4094"/>
      <c r="GC60" s="4094"/>
      <c r="GD60" s="4094"/>
      <c r="GE60" s="4094"/>
      <c r="GF60" s="4094"/>
      <c r="GG60" s="4094"/>
      <c r="GH60" s="4094"/>
      <c r="GI60" s="4094"/>
      <c r="GJ60" s="4094"/>
      <c r="GK60" s="4094"/>
      <c r="GL60" s="4094"/>
      <c r="GM60" s="4094"/>
      <c r="GN60" s="4094"/>
      <c r="GO60" s="4094"/>
      <c r="GP60" s="4094"/>
      <c r="GQ60" s="4094"/>
      <c r="GR60" s="4094"/>
      <c r="GS60" s="4094"/>
      <c r="GT60" s="4094"/>
      <c r="GU60" s="4094"/>
      <c r="GV60" s="4094"/>
      <c r="GW60" s="4094"/>
      <c r="GX60" s="4094"/>
      <c r="GY60" s="4094"/>
      <c r="GZ60" s="4094"/>
      <c r="HA60" s="4094"/>
      <c r="HB60" s="4094"/>
      <c r="HC60" s="4094"/>
      <c r="HD60" s="4094"/>
      <c r="HE60" s="4094"/>
      <c r="HF60" s="4094"/>
      <c r="HG60" s="4094"/>
      <c r="HH60" s="4094"/>
      <c r="HI60" s="4094"/>
      <c r="HJ60" s="4094"/>
      <c r="HK60" s="4094"/>
      <c r="HL60" s="4094"/>
      <c r="HM60" s="4094"/>
      <c r="HN60" s="4094"/>
      <c r="HO60" s="4094"/>
      <c r="HP60" s="4094"/>
      <c r="HQ60" s="4094"/>
      <c r="HR60" s="4094"/>
      <c r="HS60" s="4094"/>
      <c r="HT60" s="4094"/>
      <c r="HU60" s="4094"/>
      <c r="HV60" s="4094"/>
      <c r="HW60" s="4094"/>
      <c r="HX60" s="4094"/>
      <c r="HY60" s="4094"/>
      <c r="HZ60" s="4094"/>
      <c r="IA60" s="4094"/>
      <c r="IB60" s="4094"/>
      <c r="IC60" s="4094"/>
      <c r="ID60" s="4094"/>
      <c r="IE60" s="4094"/>
    </row>
    <row r="61" spans="1:244" ht="14.25" customHeight="1">
      <c r="O61" s="462"/>
      <c r="AL61" s="1945"/>
      <c r="AM61" s="1945"/>
      <c r="AN61" s="1945"/>
      <c r="AO61" s="1945"/>
      <c r="AP61" s="1945"/>
      <c r="AQ61" s="1945"/>
      <c r="AR61" s="1945"/>
      <c r="AS61" s="1945"/>
      <c r="AT61" s="1945"/>
      <c r="AU61" s="1945"/>
      <c r="AV61" s="1945"/>
      <c r="AW61" s="1945"/>
      <c r="AX61" s="1945"/>
      <c r="AY61" s="1945"/>
      <c r="AZ61" s="1945"/>
      <c r="BA61" s="1945"/>
      <c r="BB61" s="1945"/>
      <c r="BC61" s="1945"/>
      <c r="BD61" s="1945"/>
      <c r="BE61" s="1945"/>
      <c r="BF61" s="1945"/>
      <c r="BG61" s="1945"/>
      <c r="BH61" s="1945"/>
      <c r="BI61" s="1945"/>
      <c r="BJ61" s="1945"/>
      <c r="BK61" s="1945"/>
      <c r="BL61" s="1945"/>
      <c r="BM61" s="1945"/>
      <c r="BN61" s="1945"/>
      <c r="BO61" s="1945"/>
      <c r="BP61" s="1945"/>
      <c r="BQ61" s="1945"/>
      <c r="BR61" s="1945"/>
      <c r="BS61" s="1945"/>
      <c r="BT61" s="1945"/>
      <c r="BU61" s="1945"/>
      <c r="BV61" s="1945"/>
      <c r="BW61" s="1945"/>
      <c r="BX61" s="1945"/>
      <c r="BY61" s="1945"/>
      <c r="BZ61" s="1945"/>
      <c r="CA61" s="1945"/>
      <c r="CB61" s="1945"/>
      <c r="CC61" s="1945"/>
      <c r="CD61" s="1945"/>
      <c r="CE61" s="1945"/>
      <c r="CF61" s="1945"/>
      <c r="CG61" s="1945"/>
      <c r="CH61" s="1945"/>
      <c r="CI61" s="1945"/>
      <c r="CJ61" s="1945"/>
      <c r="CK61" s="1945"/>
      <c r="CL61" s="1945"/>
      <c r="CM61" s="1945"/>
      <c r="CN61" s="1945"/>
      <c r="CO61" s="1945"/>
      <c r="CP61" s="1945"/>
      <c r="CQ61" s="1945"/>
      <c r="CR61" s="1945"/>
      <c r="CS61" s="1945"/>
      <c r="CT61" s="1945"/>
      <c r="CU61" s="1945"/>
      <c r="CV61" s="1945"/>
      <c r="CW61" s="1945"/>
      <c r="CX61" s="1945"/>
      <c r="CY61" s="1945"/>
      <c r="CZ61" s="1945"/>
      <c r="DA61" s="1945"/>
      <c r="DB61" s="1945"/>
      <c r="DC61" s="1945"/>
      <c r="DD61" s="1945"/>
      <c r="DE61" s="1945"/>
      <c r="DF61" s="1945"/>
      <c r="DG61" s="1945"/>
      <c r="DH61" s="1945"/>
      <c r="DI61" s="1945"/>
      <c r="DJ61" s="1945"/>
      <c r="DK61" s="1945"/>
      <c r="DL61" s="1945"/>
      <c r="DM61" s="1945"/>
      <c r="DN61" s="1945"/>
      <c r="DO61" s="1945"/>
      <c r="DP61" s="1945"/>
      <c r="DQ61" s="1945"/>
      <c r="DR61" s="1945"/>
      <c r="DS61" s="1945"/>
      <c r="DT61" s="1945"/>
      <c r="DU61" s="1945"/>
      <c r="DV61" s="1945"/>
      <c r="DW61" s="1945"/>
      <c r="DX61" s="1945"/>
      <c r="DY61" s="1945"/>
      <c r="DZ61" s="1945"/>
      <c r="EA61" s="1945"/>
      <c r="EB61" s="1945"/>
      <c r="EC61" s="1945"/>
      <c r="ED61" s="1945"/>
      <c r="EE61" s="1945"/>
      <c r="EF61" s="1945"/>
      <c r="EG61" s="1945"/>
      <c r="EH61" s="1945"/>
      <c r="EI61" s="1945"/>
      <c r="EJ61" s="1945"/>
      <c r="EK61" s="1945"/>
      <c r="EL61" s="1945"/>
      <c r="EM61" s="1945"/>
      <c r="EN61" s="1945"/>
      <c r="EO61" s="1945"/>
      <c r="EP61" s="1945"/>
      <c r="EQ61" s="1945"/>
      <c r="ER61" s="1945"/>
      <c r="ES61" s="1945"/>
      <c r="ET61" s="1945"/>
      <c r="EU61" s="1945"/>
      <c r="EV61" s="1945"/>
      <c r="EW61" s="1945"/>
      <c r="EX61" s="1945"/>
      <c r="EY61" s="1945"/>
      <c r="EZ61" s="1945"/>
      <c r="FA61" s="1945"/>
      <c r="FB61" s="1945"/>
      <c r="FC61" s="1945"/>
      <c r="FD61" s="1945"/>
      <c r="FE61" s="1945"/>
      <c r="FF61" s="1945"/>
      <c r="FG61" s="1945"/>
      <c r="FH61" s="1945"/>
      <c r="FI61" s="1945"/>
      <c r="FJ61" s="1945"/>
      <c r="FK61" s="1945"/>
      <c r="FL61" s="1945"/>
      <c r="FM61" s="1945"/>
      <c r="FN61" s="1945"/>
      <c r="FO61" s="1945"/>
      <c r="FP61" s="1945"/>
      <c r="FQ61" s="1945"/>
      <c r="FR61" s="1945"/>
      <c r="FS61" s="1945"/>
      <c r="FT61" s="1945"/>
      <c r="FU61" s="1945"/>
      <c r="FV61" s="1945"/>
      <c r="FW61" s="1945"/>
      <c r="FX61" s="1945"/>
      <c r="FY61" s="1945"/>
      <c r="FZ61" s="1945"/>
      <c r="GA61" s="1945"/>
      <c r="GB61" s="1945"/>
      <c r="GC61" s="1945"/>
      <c r="GD61" s="1945"/>
      <c r="GE61" s="1945"/>
      <c r="GF61" s="1945"/>
      <c r="GG61" s="1945"/>
      <c r="GH61" s="1945"/>
      <c r="GI61" s="1945"/>
      <c r="GJ61" s="1945"/>
      <c r="GK61" s="1945"/>
      <c r="GL61" s="1945"/>
      <c r="GM61" s="1945"/>
      <c r="GN61" s="1945"/>
      <c r="GO61" s="1945"/>
      <c r="GP61" s="1945"/>
      <c r="GQ61" s="1945"/>
      <c r="GR61" s="1945"/>
      <c r="GS61" s="1945"/>
      <c r="GT61" s="1945"/>
      <c r="GU61" s="1945"/>
      <c r="GV61" s="1945"/>
      <c r="GW61" s="1945"/>
      <c r="GX61" s="1945"/>
      <c r="GY61" s="1945"/>
      <c r="GZ61" s="1945"/>
      <c r="HA61" s="1945"/>
      <c r="HB61" s="1945"/>
      <c r="HC61" s="1945"/>
      <c r="HD61" s="1945"/>
      <c r="HE61" s="1945"/>
      <c r="HF61" s="1945"/>
      <c r="HG61" s="1945"/>
      <c r="HH61" s="1945"/>
      <c r="HI61" s="1945"/>
      <c r="HJ61" s="1945"/>
      <c r="HK61" s="1945"/>
      <c r="HL61" s="1945"/>
      <c r="HM61" s="1945"/>
      <c r="HN61" s="1945"/>
      <c r="HO61" s="1945"/>
      <c r="HP61" s="1945"/>
      <c r="HQ61" s="1945"/>
      <c r="HR61" s="1945"/>
      <c r="HS61" s="1945"/>
      <c r="HT61" s="1945"/>
      <c r="HU61" s="1945"/>
      <c r="HV61" s="1945"/>
      <c r="HW61" s="1945"/>
      <c r="HX61" s="1945"/>
      <c r="HY61" s="1945"/>
      <c r="HZ61" s="1945"/>
      <c r="IA61" s="1945"/>
      <c r="IB61" s="1945"/>
      <c r="IC61" s="1945"/>
    </row>
    <row r="62" spans="1:244" ht="18" customHeight="1">
      <c r="O62" s="462"/>
      <c r="P62" s="1245"/>
      <c r="S62" s="1164"/>
      <c r="T62" s="4094"/>
      <c r="U62" s="4094"/>
      <c r="V62" s="4094"/>
      <c r="W62" s="4094"/>
      <c r="X62" s="4094"/>
      <c r="Y62" s="4094"/>
      <c r="Z62" s="4094"/>
      <c r="AA62" s="4094"/>
      <c r="AB62" s="4094"/>
      <c r="AC62" s="4094"/>
      <c r="AD62" s="4094"/>
      <c r="AE62" s="4094"/>
      <c r="AF62" s="4094"/>
      <c r="AG62" s="4094"/>
      <c r="AH62" s="4094"/>
      <c r="AI62" s="4094"/>
      <c r="AJ62" s="4094"/>
      <c r="AK62" s="4094"/>
      <c r="AL62" s="4094"/>
      <c r="AM62" s="4094"/>
      <c r="AN62" s="4094"/>
      <c r="AO62" s="4094"/>
      <c r="AP62" s="4094"/>
      <c r="AQ62" s="4094"/>
      <c r="AR62" s="4094"/>
      <c r="AS62" s="4094"/>
      <c r="AT62" s="4094"/>
      <c r="AU62" s="4094"/>
      <c r="AV62" s="4094"/>
      <c r="AW62" s="4094"/>
      <c r="AX62" s="4094"/>
      <c r="AY62" s="4094"/>
      <c r="AZ62" s="4094"/>
      <c r="BA62" s="4094"/>
      <c r="BB62" s="4094"/>
      <c r="BC62" s="4094"/>
      <c r="BD62" s="4094"/>
      <c r="BE62" s="4094"/>
      <c r="BF62" s="4094"/>
      <c r="BG62" s="4094"/>
      <c r="BH62" s="4094"/>
      <c r="BI62" s="4094"/>
      <c r="BJ62" s="4094"/>
      <c r="BK62" s="4094"/>
      <c r="BL62" s="4094"/>
      <c r="BM62" s="4094"/>
      <c r="BN62" s="4094"/>
      <c r="BO62" s="4094"/>
      <c r="BP62" s="4094"/>
      <c r="BQ62" s="4094"/>
      <c r="BR62" s="4094"/>
      <c r="BS62" s="4094"/>
      <c r="BT62" s="4094"/>
      <c r="BU62" s="4094"/>
      <c r="BV62" s="4094"/>
      <c r="BW62" s="4094"/>
      <c r="BX62" s="4094"/>
      <c r="BY62" s="4094"/>
      <c r="BZ62" s="4094"/>
      <c r="CA62" s="4094"/>
      <c r="CB62" s="4094"/>
      <c r="CC62" s="4094"/>
      <c r="CD62" s="4094"/>
      <c r="CE62" s="4094"/>
      <c r="CF62" s="4094"/>
      <c r="CG62" s="4094"/>
      <c r="CH62" s="4094"/>
      <c r="CI62" s="4094"/>
      <c r="CJ62" s="4094"/>
      <c r="CK62" s="4094"/>
      <c r="CL62" s="4094"/>
      <c r="CM62" s="4094"/>
      <c r="CN62" s="4094"/>
      <c r="CO62" s="4094"/>
      <c r="CP62" s="4094"/>
      <c r="CQ62" s="4094"/>
      <c r="CR62" s="4094"/>
      <c r="CS62" s="4094"/>
      <c r="CT62" s="4094"/>
      <c r="CU62" s="4094"/>
      <c r="CV62" s="4094"/>
      <c r="CW62" s="4094"/>
      <c r="CX62" s="4094"/>
      <c r="CY62" s="4094"/>
      <c r="CZ62" s="4094"/>
      <c r="DA62" s="4094"/>
      <c r="DB62" s="4094"/>
      <c r="DC62" s="4094"/>
      <c r="DD62" s="4094"/>
      <c r="DE62" s="4094"/>
      <c r="DF62" s="4094"/>
      <c r="DG62" s="4094"/>
      <c r="DH62" s="4094"/>
      <c r="DI62" s="4094"/>
      <c r="DJ62" s="4094"/>
      <c r="DK62" s="4094"/>
      <c r="DL62" s="4094"/>
      <c r="DM62" s="4094"/>
      <c r="DN62" s="4094"/>
      <c r="DO62" s="4094"/>
      <c r="DP62" s="4094"/>
      <c r="DQ62" s="4094"/>
      <c r="DR62" s="4094"/>
      <c r="DS62" s="4094"/>
      <c r="DT62" s="4094"/>
      <c r="DU62" s="4094"/>
      <c r="DV62" s="4094"/>
      <c r="DW62" s="4094"/>
      <c r="DX62" s="4094"/>
      <c r="DY62" s="4094"/>
      <c r="DZ62" s="4094"/>
      <c r="EA62" s="4094"/>
      <c r="EB62" s="4094"/>
      <c r="EC62" s="4094"/>
      <c r="ED62" s="4094"/>
      <c r="EE62" s="4094"/>
      <c r="EF62" s="4094"/>
      <c r="EG62" s="4094"/>
      <c r="EH62" s="4094"/>
      <c r="EI62" s="4094"/>
      <c r="EJ62" s="4094"/>
      <c r="EK62" s="4094"/>
      <c r="EL62" s="4094"/>
      <c r="EM62" s="4094"/>
      <c r="EN62" s="4094"/>
      <c r="EO62" s="4094"/>
      <c r="EP62" s="4094"/>
      <c r="EQ62" s="4094"/>
      <c r="ER62" s="4094"/>
      <c r="ES62" s="4094"/>
      <c r="ET62" s="4094"/>
      <c r="EU62" s="4094"/>
      <c r="EV62" s="4094"/>
      <c r="EW62" s="4094"/>
      <c r="EX62" s="4094"/>
      <c r="EY62" s="4094"/>
      <c r="EZ62" s="4094"/>
      <c r="FA62" s="4094"/>
      <c r="FB62" s="4094"/>
      <c r="FC62" s="4094"/>
      <c r="FD62" s="4094"/>
      <c r="FE62" s="4094"/>
      <c r="FF62" s="4094"/>
      <c r="FG62" s="4094"/>
      <c r="FH62" s="4094"/>
      <c r="FI62" s="4094"/>
      <c r="FJ62" s="4094"/>
      <c r="FK62" s="4094"/>
      <c r="FL62" s="4094"/>
      <c r="FM62" s="4094"/>
      <c r="FN62" s="4094"/>
      <c r="FO62" s="4094"/>
      <c r="FP62" s="4094"/>
      <c r="FQ62" s="4094"/>
      <c r="FR62" s="4094"/>
      <c r="FS62" s="4094"/>
      <c r="FT62" s="4094"/>
      <c r="FU62" s="4094"/>
      <c r="FV62" s="4094"/>
      <c r="FW62" s="4094"/>
      <c r="FX62" s="4094"/>
      <c r="FY62" s="4094"/>
      <c r="FZ62" s="4094"/>
      <c r="GA62" s="4094"/>
      <c r="GB62" s="4094"/>
      <c r="GC62" s="4094"/>
      <c r="GD62" s="4094"/>
      <c r="GE62" s="4094"/>
      <c r="GF62" s="4094"/>
      <c r="GG62" s="4094"/>
      <c r="GH62" s="4094"/>
      <c r="GI62" s="4094"/>
      <c r="GJ62" s="4094"/>
      <c r="GK62" s="4094"/>
      <c r="GL62" s="4094"/>
      <c r="GM62" s="4094"/>
      <c r="GN62" s="4094"/>
      <c r="GO62" s="4094"/>
      <c r="GP62" s="4094"/>
      <c r="GQ62" s="4094"/>
      <c r="GR62" s="4094"/>
      <c r="GS62" s="4094"/>
      <c r="GT62" s="4094"/>
      <c r="GU62" s="4094"/>
      <c r="GV62" s="4094"/>
      <c r="GW62" s="4094"/>
      <c r="GX62" s="4094"/>
      <c r="GY62" s="4094"/>
      <c r="GZ62" s="4094"/>
      <c r="HA62" s="4094"/>
      <c r="HB62" s="4094"/>
      <c r="HC62" s="4094"/>
      <c r="HD62" s="4094"/>
      <c r="HE62" s="4094"/>
      <c r="HF62" s="4094"/>
      <c r="HG62" s="4094"/>
      <c r="HH62" s="4094"/>
      <c r="HI62" s="4094"/>
      <c r="HJ62" s="4094"/>
      <c r="HK62" s="4094"/>
      <c r="HL62" s="4094"/>
      <c r="HM62" s="4094"/>
      <c r="HN62" s="4094"/>
      <c r="HO62" s="4094"/>
      <c r="HP62" s="4094"/>
      <c r="HQ62" s="4094"/>
      <c r="HR62" s="4094"/>
      <c r="HS62" s="4094"/>
      <c r="HT62" s="4094"/>
      <c r="HU62" s="4094"/>
      <c r="HV62" s="4094"/>
      <c r="HW62" s="4094"/>
      <c r="HX62" s="4094"/>
      <c r="HY62" s="4094"/>
      <c r="HZ62" s="4094"/>
      <c r="IA62" s="4094"/>
      <c r="IB62" s="4094"/>
      <c r="IC62" s="4094"/>
      <c r="ID62" s="4094"/>
      <c r="IE62" s="4094"/>
    </row>
    <row r="63" spans="1:244" ht="18" customHeight="1">
      <c r="O63" s="462"/>
      <c r="P63" s="1245"/>
      <c r="T63" s="4094"/>
      <c r="U63" s="4094"/>
      <c r="V63" s="4094"/>
      <c r="W63" s="4094"/>
      <c r="X63" s="4094"/>
      <c r="Y63" s="4094"/>
      <c r="Z63" s="4094"/>
      <c r="AA63" s="4094"/>
      <c r="AB63" s="4094"/>
      <c r="AC63" s="4094"/>
      <c r="AD63" s="4094"/>
      <c r="AE63" s="4094"/>
      <c r="AF63" s="4094"/>
      <c r="AG63" s="4094"/>
      <c r="AH63" s="4094"/>
      <c r="AI63" s="4094"/>
      <c r="AJ63" s="4094"/>
      <c r="AK63" s="4094"/>
      <c r="AL63" s="4094"/>
      <c r="AM63" s="4094"/>
      <c r="AN63" s="4094"/>
      <c r="AO63" s="4094"/>
      <c r="AP63" s="4094"/>
      <c r="AQ63" s="4094"/>
      <c r="AR63" s="4094"/>
      <c r="AS63" s="4094"/>
      <c r="AT63" s="4094"/>
      <c r="AU63" s="4094"/>
      <c r="AV63" s="4094"/>
      <c r="AW63" s="4094"/>
      <c r="AX63" s="4094"/>
      <c r="AY63" s="4094"/>
      <c r="AZ63" s="4094"/>
      <c r="BA63" s="4094"/>
      <c r="BB63" s="4094"/>
      <c r="BC63" s="4094"/>
      <c r="BD63" s="4094"/>
      <c r="BE63" s="4094"/>
      <c r="BF63" s="4094"/>
      <c r="BG63" s="4094"/>
      <c r="BH63" s="4094"/>
      <c r="BI63" s="4094"/>
      <c r="BJ63" s="4094"/>
      <c r="BK63" s="4094"/>
      <c r="BL63" s="4094"/>
      <c r="BM63" s="4094"/>
      <c r="BN63" s="4094"/>
      <c r="BO63" s="4094"/>
      <c r="BP63" s="4094"/>
      <c r="BQ63" s="4094"/>
      <c r="BR63" s="4094"/>
      <c r="BS63" s="4094"/>
      <c r="BT63" s="4094"/>
      <c r="BU63" s="4094"/>
      <c r="BV63" s="4094"/>
      <c r="BW63" s="4094"/>
      <c r="BX63" s="4094"/>
      <c r="BY63" s="4094"/>
      <c r="BZ63" s="4094"/>
      <c r="CA63" s="4094"/>
      <c r="CB63" s="4094"/>
      <c r="CC63" s="4094"/>
      <c r="CD63" s="4094"/>
      <c r="CE63" s="4094"/>
      <c r="CF63" s="4094"/>
      <c r="CG63" s="4094"/>
      <c r="CH63" s="4094"/>
      <c r="CI63" s="4094"/>
      <c r="CJ63" s="4094"/>
      <c r="CK63" s="4094"/>
      <c r="CL63" s="4094"/>
      <c r="CM63" s="4094"/>
      <c r="CN63" s="4094"/>
      <c r="CO63" s="4094"/>
      <c r="CP63" s="4094"/>
      <c r="CQ63" s="4094"/>
      <c r="CR63" s="4094"/>
      <c r="CS63" s="4094"/>
      <c r="CT63" s="4094"/>
      <c r="CU63" s="4094"/>
      <c r="CV63" s="4094"/>
      <c r="CW63" s="4094"/>
      <c r="CX63" s="4094"/>
      <c r="CY63" s="4094"/>
      <c r="CZ63" s="4094"/>
      <c r="DA63" s="4094"/>
      <c r="DB63" s="4094"/>
      <c r="DC63" s="4094"/>
      <c r="DD63" s="4094"/>
      <c r="DE63" s="4094"/>
      <c r="DF63" s="4094"/>
      <c r="DG63" s="4094"/>
      <c r="DH63" s="4094"/>
      <c r="DI63" s="4094"/>
      <c r="DJ63" s="4094"/>
      <c r="DK63" s="4094"/>
      <c r="DL63" s="4094"/>
      <c r="DM63" s="4094"/>
      <c r="DN63" s="4094"/>
      <c r="DO63" s="4094"/>
      <c r="DP63" s="4094"/>
      <c r="DQ63" s="4094"/>
      <c r="DR63" s="4094"/>
      <c r="DS63" s="4094"/>
      <c r="DT63" s="4094"/>
      <c r="DU63" s="4094"/>
      <c r="DV63" s="4094"/>
      <c r="DW63" s="4094"/>
      <c r="DX63" s="4094"/>
      <c r="DY63" s="4094"/>
      <c r="DZ63" s="4094"/>
      <c r="EA63" s="4094"/>
      <c r="EB63" s="4094"/>
      <c r="EC63" s="4094"/>
      <c r="ED63" s="4094"/>
      <c r="EE63" s="4094"/>
      <c r="EF63" s="4094"/>
      <c r="EG63" s="4094"/>
      <c r="EH63" s="4094"/>
      <c r="EI63" s="4094"/>
      <c r="EJ63" s="4094"/>
      <c r="EK63" s="4094"/>
      <c r="EL63" s="4094"/>
      <c r="EM63" s="4094"/>
      <c r="EN63" s="4094"/>
      <c r="EO63" s="4094"/>
      <c r="EP63" s="4094"/>
      <c r="EQ63" s="4094"/>
      <c r="ER63" s="4094"/>
      <c r="ES63" s="4094"/>
      <c r="ET63" s="4094"/>
      <c r="EU63" s="4094"/>
      <c r="EV63" s="4094"/>
      <c r="EW63" s="4094"/>
      <c r="EX63" s="4094"/>
      <c r="EY63" s="4094"/>
      <c r="EZ63" s="4094"/>
      <c r="FA63" s="4094"/>
      <c r="FB63" s="4094"/>
      <c r="FC63" s="4094"/>
      <c r="FD63" s="4094"/>
      <c r="FE63" s="4094"/>
      <c r="FF63" s="4094"/>
      <c r="FG63" s="4094"/>
      <c r="FH63" s="4094"/>
      <c r="FI63" s="4094"/>
      <c r="FJ63" s="4094"/>
      <c r="FK63" s="4094"/>
      <c r="FL63" s="4094"/>
      <c r="FM63" s="4094"/>
      <c r="FN63" s="4094"/>
      <c r="FO63" s="4094"/>
      <c r="FP63" s="4094"/>
      <c r="FQ63" s="4094"/>
      <c r="FR63" s="4094"/>
      <c r="FS63" s="4094"/>
      <c r="FT63" s="4094"/>
      <c r="FU63" s="4094"/>
      <c r="FV63" s="4094"/>
      <c r="FW63" s="4094"/>
      <c r="FX63" s="4094"/>
      <c r="FY63" s="4094"/>
      <c r="FZ63" s="4094"/>
      <c r="GA63" s="4094"/>
      <c r="GB63" s="4094"/>
      <c r="GC63" s="4094"/>
      <c r="GD63" s="4094"/>
      <c r="GE63" s="4094"/>
      <c r="GF63" s="4094"/>
      <c r="GG63" s="4094"/>
      <c r="GH63" s="4094"/>
      <c r="GI63" s="4094"/>
      <c r="GJ63" s="4094"/>
      <c r="GK63" s="4094"/>
      <c r="GL63" s="4094"/>
      <c r="GM63" s="4094"/>
      <c r="GN63" s="4094"/>
      <c r="GO63" s="4094"/>
      <c r="GP63" s="4094"/>
      <c r="GQ63" s="4094"/>
      <c r="GR63" s="4094"/>
      <c r="GS63" s="4094"/>
      <c r="GT63" s="4094"/>
      <c r="GU63" s="4094"/>
      <c r="GV63" s="4094"/>
      <c r="GW63" s="4094"/>
      <c r="GX63" s="4094"/>
      <c r="GY63" s="4094"/>
      <c r="GZ63" s="4094"/>
      <c r="HA63" s="4094"/>
      <c r="HB63" s="4094"/>
      <c r="HC63" s="4094"/>
      <c r="HD63" s="4094"/>
      <c r="HE63" s="4094"/>
      <c r="HF63" s="4094"/>
      <c r="HG63" s="4094"/>
      <c r="HH63" s="4094"/>
      <c r="HI63" s="4094"/>
      <c r="HJ63" s="4094"/>
      <c r="HK63" s="4094"/>
      <c r="HL63" s="4094"/>
      <c r="HM63" s="4094"/>
      <c r="HN63" s="4094"/>
      <c r="HO63" s="4094"/>
      <c r="HP63" s="4094"/>
      <c r="HQ63" s="4094"/>
      <c r="HR63" s="4094"/>
      <c r="HS63" s="4094"/>
      <c r="HT63" s="4094"/>
      <c r="HU63" s="4094"/>
      <c r="HV63" s="4094"/>
      <c r="HW63" s="4094"/>
      <c r="HX63" s="4094"/>
      <c r="HY63" s="4094"/>
      <c r="HZ63" s="4094"/>
      <c r="IA63" s="4094"/>
      <c r="IB63" s="4094"/>
      <c r="IC63" s="4094"/>
      <c r="ID63" s="4094"/>
      <c r="IE63" s="4094"/>
    </row>
    <row r="64" spans="1:244" ht="27.75" customHeight="1">
      <c r="O64" s="462"/>
      <c r="P64" s="1245"/>
      <c r="S64" s="1164"/>
      <c r="T64" s="4094"/>
      <c r="U64" s="4094"/>
      <c r="V64" s="4094"/>
      <c r="W64" s="4094"/>
      <c r="X64" s="4094"/>
      <c r="Y64" s="4094"/>
      <c r="Z64" s="4094"/>
      <c r="AA64" s="4094"/>
      <c r="AB64" s="4094"/>
      <c r="AC64" s="4094"/>
      <c r="AD64" s="4094"/>
      <c r="AE64" s="4094"/>
      <c r="AF64" s="4094"/>
      <c r="AG64" s="4094"/>
      <c r="AH64" s="4094"/>
      <c r="AI64" s="4094"/>
      <c r="AJ64" s="4094"/>
      <c r="AK64" s="4094"/>
      <c r="AL64" s="4094"/>
      <c r="AM64" s="4094"/>
      <c r="AN64" s="4094"/>
      <c r="AO64" s="4094"/>
      <c r="AP64" s="4094"/>
      <c r="AQ64" s="4094"/>
      <c r="AR64" s="4094"/>
      <c r="AS64" s="4094"/>
      <c r="AT64" s="4094"/>
      <c r="AU64" s="4094"/>
      <c r="AV64" s="4094"/>
      <c r="AW64" s="4094"/>
      <c r="AX64" s="4094"/>
      <c r="AY64" s="4094"/>
      <c r="AZ64" s="4094"/>
      <c r="BA64" s="4094"/>
      <c r="BB64" s="4094"/>
      <c r="BC64" s="4094"/>
      <c r="BD64" s="4094"/>
      <c r="BE64" s="4094"/>
      <c r="BF64" s="4094"/>
      <c r="BG64" s="4094"/>
      <c r="BH64" s="4094"/>
      <c r="BI64" s="4094"/>
      <c r="BJ64" s="4094"/>
      <c r="BK64" s="4094"/>
      <c r="BL64" s="4094"/>
      <c r="BM64" s="4094"/>
      <c r="BN64" s="4094"/>
      <c r="BO64" s="4094"/>
      <c r="BP64" s="4094"/>
      <c r="BQ64" s="4094"/>
      <c r="BR64" s="4094"/>
      <c r="BS64" s="4094"/>
      <c r="BT64" s="4094"/>
      <c r="BU64" s="4094"/>
      <c r="BV64" s="4094"/>
      <c r="BW64" s="4094"/>
      <c r="BX64" s="4094"/>
      <c r="BY64" s="4094"/>
      <c r="BZ64" s="4094"/>
      <c r="CA64" s="4094"/>
      <c r="CB64" s="4094"/>
      <c r="CC64" s="4094"/>
      <c r="CD64" s="4094"/>
      <c r="CE64" s="4094"/>
      <c r="CF64" s="4094"/>
      <c r="CG64" s="4094"/>
      <c r="CH64" s="4094"/>
      <c r="CI64" s="4094"/>
      <c r="CJ64" s="4094"/>
      <c r="CK64" s="4094"/>
      <c r="CL64" s="4094"/>
      <c r="CM64" s="4094"/>
      <c r="CN64" s="4094"/>
      <c r="CO64" s="4094"/>
      <c r="CP64" s="4094"/>
      <c r="CQ64" s="4094"/>
      <c r="CR64" s="4094"/>
      <c r="CS64" s="4094"/>
      <c r="CT64" s="4094"/>
      <c r="CU64" s="4094"/>
      <c r="CV64" s="4094"/>
      <c r="CW64" s="4094"/>
      <c r="CX64" s="4094"/>
      <c r="CY64" s="4094"/>
      <c r="CZ64" s="4094"/>
      <c r="DA64" s="4094"/>
      <c r="DB64" s="4094"/>
      <c r="DC64" s="4094"/>
      <c r="DD64" s="4094"/>
      <c r="DE64" s="4094"/>
      <c r="DF64" s="4094"/>
      <c r="DG64" s="4094"/>
      <c r="DH64" s="4094"/>
      <c r="DI64" s="4094"/>
      <c r="DJ64" s="4094"/>
      <c r="DK64" s="4094"/>
      <c r="DL64" s="4094"/>
      <c r="DM64" s="4094"/>
      <c r="DN64" s="4094"/>
      <c r="DO64" s="4094"/>
      <c r="DP64" s="4094"/>
      <c r="DQ64" s="4094"/>
      <c r="DR64" s="4094"/>
      <c r="DS64" s="4094"/>
      <c r="DT64" s="4094"/>
      <c r="DU64" s="4094"/>
      <c r="DV64" s="4094"/>
      <c r="DW64" s="4094"/>
      <c r="DX64" s="4094"/>
      <c r="DY64" s="4094"/>
      <c r="DZ64" s="4094"/>
      <c r="EA64" s="4094"/>
      <c r="EB64" s="4094"/>
      <c r="EC64" s="4094"/>
      <c r="ED64" s="4094"/>
      <c r="EE64" s="4094"/>
      <c r="EF64" s="4094"/>
      <c r="EG64" s="4094"/>
      <c r="EH64" s="4094"/>
      <c r="EI64" s="4094"/>
      <c r="EJ64" s="4094"/>
      <c r="EK64" s="4094"/>
      <c r="EL64" s="4094"/>
      <c r="EM64" s="4094"/>
      <c r="EN64" s="4094"/>
      <c r="EO64" s="4094"/>
      <c r="EP64" s="4094"/>
      <c r="EQ64" s="4094"/>
      <c r="ER64" s="4094"/>
      <c r="ES64" s="4094"/>
      <c r="ET64" s="4094"/>
      <c r="EU64" s="4094"/>
      <c r="EV64" s="4094"/>
      <c r="EW64" s="4094"/>
      <c r="EX64" s="4094"/>
      <c r="EY64" s="4094"/>
      <c r="EZ64" s="4094"/>
      <c r="FA64" s="4094"/>
      <c r="FB64" s="4094"/>
      <c r="FC64" s="4094"/>
      <c r="FD64" s="4094"/>
      <c r="FE64" s="4094"/>
      <c r="FF64" s="4094"/>
      <c r="FG64" s="4094"/>
      <c r="FH64" s="4094"/>
      <c r="FI64" s="4094"/>
      <c r="FJ64" s="4094"/>
      <c r="FK64" s="4094"/>
      <c r="FL64" s="4094"/>
      <c r="FM64" s="4094"/>
      <c r="FN64" s="4094"/>
      <c r="FO64" s="4094"/>
      <c r="FP64" s="4094"/>
      <c r="FQ64" s="4094"/>
      <c r="FR64" s="4094"/>
      <c r="FS64" s="4094"/>
      <c r="FT64" s="4094"/>
      <c r="FU64" s="4094"/>
      <c r="FV64" s="4094"/>
      <c r="FW64" s="4094"/>
      <c r="FX64" s="4094"/>
      <c r="FY64" s="4094"/>
      <c r="FZ64" s="4094"/>
      <c r="GA64" s="4094"/>
      <c r="GB64" s="4094"/>
      <c r="GC64" s="4094"/>
      <c r="GD64" s="4094"/>
      <c r="GE64" s="4094"/>
      <c r="GF64" s="4094"/>
      <c r="GG64" s="4094"/>
      <c r="GH64" s="4094"/>
      <c r="GI64" s="4094"/>
      <c r="GJ64" s="4094"/>
      <c r="GK64" s="4094"/>
      <c r="GL64" s="4094"/>
      <c r="GM64" s="4094"/>
      <c r="GN64" s="4094"/>
      <c r="GO64" s="4094"/>
      <c r="GP64" s="4094"/>
      <c r="GQ64" s="4094"/>
      <c r="GR64" s="4094"/>
      <c r="GS64" s="4094"/>
      <c r="GT64" s="4094"/>
      <c r="GU64" s="4094"/>
      <c r="GV64" s="4094"/>
      <c r="GW64" s="4094"/>
      <c r="GX64" s="4094"/>
      <c r="GY64" s="4094"/>
      <c r="GZ64" s="4094"/>
      <c r="HA64" s="4094"/>
      <c r="HB64" s="4094"/>
      <c r="HC64" s="4094"/>
      <c r="HD64" s="4094"/>
      <c r="HE64" s="4094"/>
      <c r="HF64" s="4094"/>
      <c r="HG64" s="4094"/>
      <c r="HH64" s="4094"/>
      <c r="HI64" s="4094"/>
      <c r="HJ64" s="4094"/>
      <c r="HK64" s="4094"/>
      <c r="HL64" s="4094"/>
      <c r="HM64" s="4094"/>
      <c r="HN64" s="4094"/>
      <c r="HO64" s="4094"/>
      <c r="HP64" s="4094"/>
      <c r="HQ64" s="4094"/>
      <c r="HR64" s="4094"/>
      <c r="HS64" s="4094"/>
      <c r="HT64" s="4094"/>
      <c r="HU64" s="4094"/>
      <c r="HV64" s="4094"/>
      <c r="HW64" s="4094"/>
      <c r="HX64" s="4094"/>
      <c r="HY64" s="4094"/>
      <c r="HZ64" s="4094"/>
      <c r="IA64" s="4094"/>
      <c r="IB64" s="4094"/>
      <c r="IC64" s="4094"/>
      <c r="ID64" s="4094"/>
      <c r="IE64" s="4094"/>
    </row>
  </sheetData>
  <sheetProtection formatColumns="0" formatRows="0" insertRows="0" deleteColumns="0" deleteRows="0" sort="0" autoFilter="0"/>
  <mergeCells count="687">
    <mergeCell ref="HZ49:HZ50"/>
    <mergeCell ref="IA49:IA50"/>
    <mergeCell ref="IB49:IB50"/>
    <mergeCell ref="IC49:IC50"/>
    <mergeCell ref="Z49:Z50"/>
    <mergeCell ref="AA49:AA50"/>
    <mergeCell ref="AB49:AB50"/>
    <mergeCell ref="AC49:AC50"/>
    <mergeCell ref="HE49:HE50"/>
    <mergeCell ref="HJ49:HJ50"/>
    <mergeCell ref="HK49:HK50"/>
    <mergeCell ref="HL49:HL50"/>
    <mergeCell ref="HM49:HM50"/>
    <mergeCell ref="HR49:HR50"/>
    <mergeCell ref="HS49:HS50"/>
    <mergeCell ref="HT49:HT50"/>
    <mergeCell ref="HU49:HU50"/>
    <mergeCell ref="GN49:GN50"/>
    <mergeCell ref="GO49:GO50"/>
    <mergeCell ref="GT49:GT50"/>
    <mergeCell ref="GU49:GU50"/>
    <mergeCell ref="GV49:GV50"/>
    <mergeCell ref="GW49:GW50"/>
    <mergeCell ref="HB49:HB50"/>
    <mergeCell ref="HC49:HC50"/>
    <mergeCell ref="HD49:HD50"/>
    <mergeCell ref="FW49:FW50"/>
    <mergeCell ref="FX49:FX50"/>
    <mergeCell ref="FY49:FY50"/>
    <mergeCell ref="GD49:GD50"/>
    <mergeCell ref="GE49:GE50"/>
    <mergeCell ref="GF49:GF50"/>
    <mergeCell ref="GG49:GG50"/>
    <mergeCell ref="GL49:GL50"/>
    <mergeCell ref="GM49:GM50"/>
    <mergeCell ref="FF49:FF50"/>
    <mergeCell ref="FG49:FG50"/>
    <mergeCell ref="FH49:FH50"/>
    <mergeCell ref="FI49:FI50"/>
    <mergeCell ref="FN49:FN50"/>
    <mergeCell ref="FO49:FO50"/>
    <mergeCell ref="FP49:FP50"/>
    <mergeCell ref="FQ49:FQ50"/>
    <mergeCell ref="FV49:FV50"/>
    <mergeCell ref="EK49:EK50"/>
    <mergeCell ref="EP49:EP50"/>
    <mergeCell ref="EQ49:EQ50"/>
    <mergeCell ref="ER49:ER50"/>
    <mergeCell ref="ES49:ES50"/>
    <mergeCell ref="EX49:EX50"/>
    <mergeCell ref="EY49:EY50"/>
    <mergeCell ref="EZ49:EZ50"/>
    <mergeCell ref="FA49:FA50"/>
    <mergeCell ref="DT49:DT50"/>
    <mergeCell ref="DU49:DU50"/>
    <mergeCell ref="DZ49:DZ50"/>
    <mergeCell ref="EA49:EA50"/>
    <mergeCell ref="EB49:EB50"/>
    <mergeCell ref="EC49:EC50"/>
    <mergeCell ref="EH49:EH50"/>
    <mergeCell ref="EI49:EI50"/>
    <mergeCell ref="EJ49:EJ50"/>
    <mergeCell ref="DC49:DC50"/>
    <mergeCell ref="DD49:DD50"/>
    <mergeCell ref="DE49:DE50"/>
    <mergeCell ref="DJ49:DJ50"/>
    <mergeCell ref="DK49:DK50"/>
    <mergeCell ref="DL49:DL50"/>
    <mergeCell ref="DM49:DM50"/>
    <mergeCell ref="DR49:DR50"/>
    <mergeCell ref="DS49:DS50"/>
    <mergeCell ref="CL49:CL50"/>
    <mergeCell ref="CM49:CM50"/>
    <mergeCell ref="CN49:CN50"/>
    <mergeCell ref="CO49:CO50"/>
    <mergeCell ref="CT49:CT50"/>
    <mergeCell ref="CU49:CU50"/>
    <mergeCell ref="CV49:CV50"/>
    <mergeCell ref="CW49:CW50"/>
    <mergeCell ref="DB49:DB50"/>
    <mergeCell ref="BQ49:BQ50"/>
    <mergeCell ref="BV49:BV50"/>
    <mergeCell ref="BW49:BW50"/>
    <mergeCell ref="BX49:BX50"/>
    <mergeCell ref="BY49:BY50"/>
    <mergeCell ref="CD49:CD50"/>
    <mergeCell ref="CE49:CE50"/>
    <mergeCell ref="CF49:CF50"/>
    <mergeCell ref="CG49:CG50"/>
    <mergeCell ref="HS42:HT42"/>
    <mergeCell ref="HZ8:HZ9"/>
    <mergeCell ref="IA8:IA9"/>
    <mergeCell ref="IB8:IB9"/>
    <mergeCell ref="IC8:IC9"/>
    <mergeCell ref="HV29:IB29"/>
    <mergeCell ref="HV30:IB30"/>
    <mergeCell ref="HV31:IB31"/>
    <mergeCell ref="HV32:IB32"/>
    <mergeCell ref="HV34:IB34"/>
    <mergeCell ref="HV35:IB35"/>
    <mergeCell ref="HV37:IC37"/>
    <mergeCell ref="HV39:IB39"/>
    <mergeCell ref="IC39:IC41"/>
    <mergeCell ref="HV40:HV41"/>
    <mergeCell ref="HW40:HW41"/>
    <mergeCell ref="HX40:HY40"/>
    <mergeCell ref="HZ40:IB40"/>
    <mergeCell ref="IA41:IB41"/>
    <mergeCell ref="IA42:IB42"/>
    <mergeCell ref="HN35:HT35"/>
    <mergeCell ref="HN37:HU37"/>
    <mergeCell ref="HN39:HT39"/>
    <mergeCell ref="HU39:HU41"/>
    <mergeCell ref="HN40:HN41"/>
    <mergeCell ref="HO40:HO41"/>
    <mergeCell ref="HP40:HQ40"/>
    <mergeCell ref="HR40:HT40"/>
    <mergeCell ref="HS41:HT41"/>
    <mergeCell ref="HR8:HR9"/>
    <mergeCell ref="HS8:HS9"/>
    <mergeCell ref="HT8:HT9"/>
    <mergeCell ref="HU8:HU9"/>
    <mergeCell ref="HN29:HT29"/>
    <mergeCell ref="HN30:HT30"/>
    <mergeCell ref="HN31:HT31"/>
    <mergeCell ref="HN32:HT32"/>
    <mergeCell ref="HN34:HT34"/>
    <mergeCell ref="HC42:HD42"/>
    <mergeCell ref="HJ8:HJ9"/>
    <mergeCell ref="HK8:HK9"/>
    <mergeCell ref="HL8:HL9"/>
    <mergeCell ref="HM8:HM9"/>
    <mergeCell ref="HF29:HL29"/>
    <mergeCell ref="HF30:HL30"/>
    <mergeCell ref="HF31:HL31"/>
    <mergeCell ref="HF32:HL32"/>
    <mergeCell ref="HF34:HL34"/>
    <mergeCell ref="HF35:HL35"/>
    <mergeCell ref="HF37:HM37"/>
    <mergeCell ref="HF39:HL39"/>
    <mergeCell ref="HM39:HM41"/>
    <mergeCell ref="HF40:HF41"/>
    <mergeCell ref="HG40:HG41"/>
    <mergeCell ref="HH40:HI40"/>
    <mergeCell ref="HJ40:HL40"/>
    <mergeCell ref="HK41:HL41"/>
    <mergeCell ref="HK42:HL42"/>
    <mergeCell ref="GX35:HD35"/>
    <mergeCell ref="GX37:HE37"/>
    <mergeCell ref="GX39:HD39"/>
    <mergeCell ref="HE39:HE41"/>
    <mergeCell ref="GX40:GX41"/>
    <mergeCell ref="GY40:GY41"/>
    <mergeCell ref="GZ40:HA40"/>
    <mergeCell ref="HB40:HD40"/>
    <mergeCell ref="HC41:HD41"/>
    <mergeCell ref="HB8:HB9"/>
    <mergeCell ref="HC8:HC9"/>
    <mergeCell ref="HD8:HD9"/>
    <mergeCell ref="HE8:HE9"/>
    <mergeCell ref="GX29:HD29"/>
    <mergeCell ref="GX30:HD30"/>
    <mergeCell ref="GX31:HD31"/>
    <mergeCell ref="GX32:HD32"/>
    <mergeCell ref="GX34:HD34"/>
    <mergeCell ref="GM42:GN42"/>
    <mergeCell ref="GT8:GT9"/>
    <mergeCell ref="GU8:GU9"/>
    <mergeCell ref="GV8:GV9"/>
    <mergeCell ref="GW8:GW9"/>
    <mergeCell ref="GP29:GV29"/>
    <mergeCell ref="GP30:GV30"/>
    <mergeCell ref="GP31:GV31"/>
    <mergeCell ref="GP32:GV32"/>
    <mergeCell ref="GP34:GV34"/>
    <mergeCell ref="GP35:GV35"/>
    <mergeCell ref="GP37:GW37"/>
    <mergeCell ref="GP39:GV39"/>
    <mergeCell ref="GW39:GW41"/>
    <mergeCell ref="GP40:GP41"/>
    <mergeCell ref="GQ40:GQ41"/>
    <mergeCell ref="GR40:GS40"/>
    <mergeCell ref="GT40:GV40"/>
    <mergeCell ref="GU41:GV41"/>
    <mergeCell ref="GU42:GV42"/>
    <mergeCell ref="GH35:GN35"/>
    <mergeCell ref="GH37:GO37"/>
    <mergeCell ref="GH39:GN39"/>
    <mergeCell ref="GO39:GO41"/>
    <mergeCell ref="GH40:GH41"/>
    <mergeCell ref="GI40:GI41"/>
    <mergeCell ref="GJ40:GK40"/>
    <mergeCell ref="GL40:GN40"/>
    <mergeCell ref="GM41:GN41"/>
    <mergeCell ref="GL8:GL9"/>
    <mergeCell ref="GM8:GM9"/>
    <mergeCell ref="GN8:GN9"/>
    <mergeCell ref="GO8:GO9"/>
    <mergeCell ref="GH29:GN29"/>
    <mergeCell ref="GH30:GN30"/>
    <mergeCell ref="GH31:GN31"/>
    <mergeCell ref="GH32:GN32"/>
    <mergeCell ref="GH34:GN34"/>
    <mergeCell ref="FW42:FX42"/>
    <mergeCell ref="GD8:GD9"/>
    <mergeCell ref="GE8:GE9"/>
    <mergeCell ref="GF8:GF9"/>
    <mergeCell ref="GG8:GG9"/>
    <mergeCell ref="FZ29:GF29"/>
    <mergeCell ref="FZ30:GF30"/>
    <mergeCell ref="FZ31:GF31"/>
    <mergeCell ref="FZ32:GF32"/>
    <mergeCell ref="FZ34:GF34"/>
    <mergeCell ref="FZ35:GF35"/>
    <mergeCell ref="FZ37:GG37"/>
    <mergeCell ref="FZ39:GF39"/>
    <mergeCell ref="GG39:GG41"/>
    <mergeCell ref="FZ40:FZ41"/>
    <mergeCell ref="GA40:GA41"/>
    <mergeCell ref="GB40:GC40"/>
    <mergeCell ref="GD40:GF40"/>
    <mergeCell ref="GE41:GF41"/>
    <mergeCell ref="GE42:GF42"/>
    <mergeCell ref="FR35:FX35"/>
    <mergeCell ref="FR37:FY37"/>
    <mergeCell ref="FR39:FX39"/>
    <mergeCell ref="FY39:FY41"/>
    <mergeCell ref="FR40:FR41"/>
    <mergeCell ref="FS40:FS41"/>
    <mergeCell ref="FT40:FU40"/>
    <mergeCell ref="FV40:FX40"/>
    <mergeCell ref="FW41:FX41"/>
    <mergeCell ref="FV8:FV9"/>
    <mergeCell ref="FW8:FW9"/>
    <mergeCell ref="FX8:FX9"/>
    <mergeCell ref="FY8:FY9"/>
    <mergeCell ref="FR29:FX29"/>
    <mergeCell ref="FR30:FX30"/>
    <mergeCell ref="FR31:FX31"/>
    <mergeCell ref="FR32:FX32"/>
    <mergeCell ref="FR34:FX34"/>
    <mergeCell ref="FG42:FH42"/>
    <mergeCell ref="FN8:FN9"/>
    <mergeCell ref="FO8:FO9"/>
    <mergeCell ref="FP8:FP9"/>
    <mergeCell ref="FQ8:FQ9"/>
    <mergeCell ref="FJ29:FP29"/>
    <mergeCell ref="FJ30:FP30"/>
    <mergeCell ref="FJ31:FP31"/>
    <mergeCell ref="FJ32:FP32"/>
    <mergeCell ref="FJ34:FP34"/>
    <mergeCell ref="FJ35:FP35"/>
    <mergeCell ref="FJ37:FQ37"/>
    <mergeCell ref="FJ39:FP39"/>
    <mergeCell ref="FQ39:FQ41"/>
    <mergeCell ref="FJ40:FJ41"/>
    <mergeCell ref="FK40:FK41"/>
    <mergeCell ref="FL40:FM40"/>
    <mergeCell ref="FN40:FP40"/>
    <mergeCell ref="FO41:FP41"/>
    <mergeCell ref="FO42:FP42"/>
    <mergeCell ref="FB35:FH35"/>
    <mergeCell ref="FB37:FI37"/>
    <mergeCell ref="FB39:FH39"/>
    <mergeCell ref="FI39:FI41"/>
    <mergeCell ref="FB40:FB41"/>
    <mergeCell ref="FC40:FC41"/>
    <mergeCell ref="FD40:FE40"/>
    <mergeCell ref="FF40:FH40"/>
    <mergeCell ref="FG41:FH41"/>
    <mergeCell ref="FF8:FF9"/>
    <mergeCell ref="FG8:FG9"/>
    <mergeCell ref="FH8:FH9"/>
    <mergeCell ref="FI8:FI9"/>
    <mergeCell ref="FB29:FH29"/>
    <mergeCell ref="FB30:FH30"/>
    <mergeCell ref="FB31:FH31"/>
    <mergeCell ref="FB32:FH32"/>
    <mergeCell ref="FB34:FH34"/>
    <mergeCell ref="EQ42:ER42"/>
    <mergeCell ref="EX8:EX9"/>
    <mergeCell ref="EY8:EY9"/>
    <mergeCell ref="EZ8:EZ9"/>
    <mergeCell ref="FA8:FA9"/>
    <mergeCell ref="ET29:EZ29"/>
    <mergeCell ref="ET30:EZ30"/>
    <mergeCell ref="ET31:EZ31"/>
    <mergeCell ref="ET32:EZ32"/>
    <mergeCell ref="ET34:EZ34"/>
    <mergeCell ref="ET35:EZ35"/>
    <mergeCell ref="ET37:FA37"/>
    <mergeCell ref="ET39:EZ39"/>
    <mergeCell ref="FA39:FA41"/>
    <mergeCell ref="ET40:ET41"/>
    <mergeCell ref="EU40:EU41"/>
    <mergeCell ref="EV40:EW40"/>
    <mergeCell ref="EX40:EZ40"/>
    <mergeCell ref="EY41:EZ41"/>
    <mergeCell ref="EY42:EZ42"/>
    <mergeCell ref="EL35:ER35"/>
    <mergeCell ref="EL37:ES37"/>
    <mergeCell ref="EL39:ER39"/>
    <mergeCell ref="ES39:ES41"/>
    <mergeCell ref="EL40:EL41"/>
    <mergeCell ref="EM40:EM41"/>
    <mergeCell ref="EN40:EO40"/>
    <mergeCell ref="EP40:ER40"/>
    <mergeCell ref="EQ41:ER41"/>
    <mergeCell ref="EP8:EP9"/>
    <mergeCell ref="EQ8:EQ9"/>
    <mergeCell ref="ER8:ER9"/>
    <mergeCell ref="ES8:ES9"/>
    <mergeCell ref="EL29:ER29"/>
    <mergeCell ref="EL30:ER30"/>
    <mergeCell ref="EL31:ER31"/>
    <mergeCell ref="EL32:ER32"/>
    <mergeCell ref="EL34:ER34"/>
    <mergeCell ref="EA42:EB42"/>
    <mergeCell ref="EH8:EH9"/>
    <mergeCell ref="EI8:EI9"/>
    <mergeCell ref="EJ8:EJ9"/>
    <mergeCell ref="EK8:EK9"/>
    <mergeCell ref="ED29:EJ29"/>
    <mergeCell ref="ED30:EJ30"/>
    <mergeCell ref="ED31:EJ31"/>
    <mergeCell ref="ED32:EJ32"/>
    <mergeCell ref="ED34:EJ34"/>
    <mergeCell ref="ED35:EJ35"/>
    <mergeCell ref="ED37:EK37"/>
    <mergeCell ref="ED39:EJ39"/>
    <mergeCell ref="EK39:EK41"/>
    <mergeCell ref="ED40:ED41"/>
    <mergeCell ref="EE40:EE41"/>
    <mergeCell ref="EF40:EG40"/>
    <mergeCell ref="EH40:EJ40"/>
    <mergeCell ref="EI41:EJ41"/>
    <mergeCell ref="EI42:EJ42"/>
    <mergeCell ref="DV35:EB35"/>
    <mergeCell ref="DV37:EC37"/>
    <mergeCell ref="DV39:EB39"/>
    <mergeCell ref="EC39:EC41"/>
    <mergeCell ref="DV40:DV41"/>
    <mergeCell ref="DW40:DW41"/>
    <mergeCell ref="DX40:DY40"/>
    <mergeCell ref="DZ40:EB40"/>
    <mergeCell ref="EA41:EB41"/>
    <mergeCell ref="DZ8:DZ9"/>
    <mergeCell ref="EA8:EA9"/>
    <mergeCell ref="EB8:EB9"/>
    <mergeCell ref="EC8:EC9"/>
    <mergeCell ref="DV29:EB29"/>
    <mergeCell ref="DV30:EB30"/>
    <mergeCell ref="DV31:EB31"/>
    <mergeCell ref="DV32:EB32"/>
    <mergeCell ref="DV34:EB34"/>
    <mergeCell ref="DK42:DL42"/>
    <mergeCell ref="DR8:DR9"/>
    <mergeCell ref="DS8:DS9"/>
    <mergeCell ref="DT8:DT9"/>
    <mergeCell ref="DU8:DU9"/>
    <mergeCell ref="DN29:DT29"/>
    <mergeCell ref="DN30:DT30"/>
    <mergeCell ref="DN31:DT31"/>
    <mergeCell ref="DN32:DT32"/>
    <mergeCell ref="DN34:DT34"/>
    <mergeCell ref="DN35:DT35"/>
    <mergeCell ref="DN37:DU37"/>
    <mergeCell ref="DN39:DT39"/>
    <mergeCell ref="DU39:DU41"/>
    <mergeCell ref="DN40:DN41"/>
    <mergeCell ref="DO40:DO41"/>
    <mergeCell ref="DP40:DQ40"/>
    <mergeCell ref="DR40:DT40"/>
    <mergeCell ref="DS41:DT41"/>
    <mergeCell ref="DS42:DT42"/>
    <mergeCell ref="DF35:DL35"/>
    <mergeCell ref="DF37:DM37"/>
    <mergeCell ref="DF39:DL39"/>
    <mergeCell ref="DM39:DM41"/>
    <mergeCell ref="DF40:DF41"/>
    <mergeCell ref="DG40:DG41"/>
    <mergeCell ref="DH40:DI40"/>
    <mergeCell ref="DJ40:DL40"/>
    <mergeCell ref="DK41:DL41"/>
    <mergeCell ref="DJ8:DJ9"/>
    <mergeCell ref="DK8:DK9"/>
    <mergeCell ref="DL8:DL9"/>
    <mergeCell ref="DM8:DM9"/>
    <mergeCell ref="DF29:DL29"/>
    <mergeCell ref="DF30:DL30"/>
    <mergeCell ref="DF31:DL31"/>
    <mergeCell ref="DF32:DL32"/>
    <mergeCell ref="DF34:DL34"/>
    <mergeCell ref="CX35:DD35"/>
    <mergeCell ref="CX37:DE37"/>
    <mergeCell ref="CX39:DD39"/>
    <mergeCell ref="DE39:DE41"/>
    <mergeCell ref="CX40:CX41"/>
    <mergeCell ref="CY40:CY41"/>
    <mergeCell ref="CZ40:DA40"/>
    <mergeCell ref="DB40:DD40"/>
    <mergeCell ref="DC41:DD41"/>
    <mergeCell ref="DB8:DB9"/>
    <mergeCell ref="DC8:DC9"/>
    <mergeCell ref="DD8:DD9"/>
    <mergeCell ref="DE8:DE9"/>
    <mergeCell ref="CX29:DD29"/>
    <mergeCell ref="CX30:DD30"/>
    <mergeCell ref="CX31:DD31"/>
    <mergeCell ref="CX32:DD32"/>
    <mergeCell ref="CX34:DD34"/>
    <mergeCell ref="CP35:CV35"/>
    <mergeCell ref="CP37:CW37"/>
    <mergeCell ref="CP39:CV39"/>
    <mergeCell ref="CW39:CW41"/>
    <mergeCell ref="CP40:CP41"/>
    <mergeCell ref="CQ40:CQ41"/>
    <mergeCell ref="CR40:CS40"/>
    <mergeCell ref="CT40:CV40"/>
    <mergeCell ref="CU41:CV41"/>
    <mergeCell ref="CT8:CT9"/>
    <mergeCell ref="CU8:CU9"/>
    <mergeCell ref="CV8:CV9"/>
    <mergeCell ref="CW8:CW9"/>
    <mergeCell ref="CP29:CV29"/>
    <mergeCell ref="CP30:CV30"/>
    <mergeCell ref="CP31:CV31"/>
    <mergeCell ref="CP32:CV32"/>
    <mergeCell ref="CP34:CV34"/>
    <mergeCell ref="CH35:CN35"/>
    <mergeCell ref="CH37:CO37"/>
    <mergeCell ref="CH39:CN39"/>
    <mergeCell ref="CO39:CO41"/>
    <mergeCell ref="CH40:CH41"/>
    <mergeCell ref="CI40:CI41"/>
    <mergeCell ref="CJ40:CK40"/>
    <mergeCell ref="CL40:CN40"/>
    <mergeCell ref="CM41:CN41"/>
    <mergeCell ref="CL8:CL9"/>
    <mergeCell ref="CM8:CM9"/>
    <mergeCell ref="CN8:CN9"/>
    <mergeCell ref="CO8:CO9"/>
    <mergeCell ref="CH29:CN29"/>
    <mergeCell ref="CH30:CN30"/>
    <mergeCell ref="CH31:CN31"/>
    <mergeCell ref="CH32:CN32"/>
    <mergeCell ref="CH34:CN34"/>
    <mergeCell ref="BZ35:CF35"/>
    <mergeCell ref="BZ37:CG37"/>
    <mergeCell ref="BZ39:CF39"/>
    <mergeCell ref="CG39:CG41"/>
    <mergeCell ref="BZ40:BZ41"/>
    <mergeCell ref="CA40:CA41"/>
    <mergeCell ref="CB40:CC40"/>
    <mergeCell ref="CD40:CF40"/>
    <mergeCell ref="CE41:CF41"/>
    <mergeCell ref="CD8:CD9"/>
    <mergeCell ref="CE8:CE9"/>
    <mergeCell ref="CF8:CF9"/>
    <mergeCell ref="CG8:CG9"/>
    <mergeCell ref="BZ29:CF29"/>
    <mergeCell ref="BZ30:CF30"/>
    <mergeCell ref="BZ31:CF31"/>
    <mergeCell ref="BZ32:CF32"/>
    <mergeCell ref="BZ34:CF34"/>
    <mergeCell ref="BR35:BX35"/>
    <mergeCell ref="BR37:BY37"/>
    <mergeCell ref="BR39:BX39"/>
    <mergeCell ref="BY39:BY41"/>
    <mergeCell ref="BR40:BR41"/>
    <mergeCell ref="BS40:BS41"/>
    <mergeCell ref="BT40:BU40"/>
    <mergeCell ref="BV40:BX40"/>
    <mergeCell ref="BW41:BX41"/>
    <mergeCell ref="BV8:BV9"/>
    <mergeCell ref="BW8:BW9"/>
    <mergeCell ref="BX8:BX9"/>
    <mergeCell ref="BY8:BY9"/>
    <mergeCell ref="BR29:BX29"/>
    <mergeCell ref="BR30:BX30"/>
    <mergeCell ref="BR31:BX31"/>
    <mergeCell ref="BR32:BX32"/>
    <mergeCell ref="BR34:BX34"/>
    <mergeCell ref="BH49:BH50"/>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I17:AI18"/>
    <mergeCell ref="AJ17:AJ18"/>
    <mergeCell ref="AK17:AK18"/>
    <mergeCell ref="AK8:AK9"/>
    <mergeCell ref="AD29:AJ29"/>
    <mergeCell ref="AD30:AJ30"/>
    <mergeCell ref="AP8:AP9"/>
    <mergeCell ref="AQ8:AQ9"/>
    <mergeCell ref="AR8:AR9"/>
    <mergeCell ref="V2:AC2"/>
    <mergeCell ref="AD2:ID2"/>
    <mergeCell ref="V3:AC3"/>
    <mergeCell ref="AD3:ID3"/>
    <mergeCell ref="V4:AC4"/>
    <mergeCell ref="AD4:ID4"/>
    <mergeCell ref="V5:AC5"/>
    <mergeCell ref="AD5:ID5"/>
    <mergeCell ref="V6:AC6"/>
    <mergeCell ref="AD6:ID6"/>
    <mergeCell ref="T62:IE62"/>
    <mergeCell ref="T63:IE63"/>
    <mergeCell ref="T64:IE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IE59"/>
    <mergeCell ref="W40:W41"/>
    <mergeCell ref="T60:IE60"/>
    <mergeCell ref="V7:AC7"/>
    <mergeCell ref="AD7:ID7"/>
    <mergeCell ref="S34:T34"/>
    <mergeCell ref="AA41:AB41"/>
    <mergeCell ref="AA42:AB42"/>
    <mergeCell ref="V37:AC37"/>
    <mergeCell ref="S38:ID38"/>
    <mergeCell ref="IE38:IE41"/>
    <mergeCell ref="S39:S41"/>
    <mergeCell ref="T39:T41"/>
    <mergeCell ref="V39:AB39"/>
    <mergeCell ref="AC39:AC41"/>
    <mergeCell ref="ID39:ID41"/>
    <mergeCell ref="AI42:AJ42"/>
    <mergeCell ref="AD39:AJ39"/>
    <mergeCell ref="AK39:AK41"/>
    <mergeCell ref="AD40:AD41"/>
    <mergeCell ref="AE40:AE41"/>
    <mergeCell ref="AF40:AG40"/>
    <mergeCell ref="AH40:AJ40"/>
    <mergeCell ref="AI41:AJ41"/>
    <mergeCell ref="AQ42:AR42"/>
    <mergeCell ref="BW42:BX42"/>
    <mergeCell ref="CE42:CF42"/>
    <mergeCell ref="CM42:CN42"/>
    <mergeCell ref="CU42:CV42"/>
    <mergeCell ref="DC42:DD42"/>
    <mergeCell ref="IE49:IE51"/>
    <mergeCell ref="IE8:IE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S26:AJ26"/>
    <mergeCell ref="S27:AJ27"/>
    <mergeCell ref="S29:T29"/>
    <mergeCell ref="S30:T30"/>
    <mergeCell ref="S31:T31"/>
    <mergeCell ref="S32:T32"/>
    <mergeCell ref="AD31:AJ31"/>
    <mergeCell ref="AD32:AJ32"/>
    <mergeCell ref="AD37:AK37"/>
    <mergeCell ref="V34:AB34"/>
    <mergeCell ref="AD34:AJ34"/>
    <mergeCell ref="S35:T35"/>
    <mergeCell ref="V35:AB35"/>
    <mergeCell ref="AD35:AJ35"/>
    <mergeCell ref="V43:AC43"/>
    <mergeCell ref="V44:AC44"/>
    <mergeCell ref="V45:AC45"/>
    <mergeCell ref="V46:AC46"/>
    <mergeCell ref="V47:AC47"/>
    <mergeCell ref="V48:AC48"/>
    <mergeCell ref="AD43:ID43"/>
    <mergeCell ref="AD44:ID44"/>
    <mergeCell ref="AD45:ID45"/>
    <mergeCell ref="AD46:ID46"/>
    <mergeCell ref="AD47:ID47"/>
    <mergeCell ref="AD48:ID48"/>
  </mergeCells>
  <dataValidations count="8">
    <dataValidation allowBlank="1" sqref="S131123:IE131129 S196659:IE196665 S262195:IE262201 S327731:IE327737 S393267:IE393273 S458803:IE458809 S524339:IE524345 S589875:IE589881 S655411:IE655417 S720947:IE720953 S786483:IE786489 S852019:IE852025 S917555:IE917561 S983091:IE983097 S65587:IE65593"/>
    <dataValidation type="list" allowBlank="1" showInputMessage="1" errorTitle="Ошибка" error="Выберите значение из списка" prompt="Выберите значение из списка" sqref="V983088:ID983088 V65584:ID65584 V131120:ID131120 V196656:ID196656 V262192:ID262192 V327728:ID327728 V393264:ID393264 V458800:ID458800 V524336:ID524336 V589872:ID589872 V655408:ID655408 V720944:ID720944 V786480:ID786480 V852016:ID852016 V917552:ID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AW9 AW50 BE9 BE50 BM9 BM50 BU9 BU50 CC9 CC50 CK9 CK50 CS9 CS50 DA9 DA50 DI9 DI50 DQ9 DQ50 DY9 DY50 EG9 EG50 EO9 EO50 EW9 EW50 FE9 FE50 FM9 FM50 FU9 FU50 GC9 GC50 GK9 GK50 GS9 GS50 HA9 HA50 HI9 HI50 HQ9 HQ50 HY9 HY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IE65579:IE65586 IE131115:IE131122 IE196651:IE196658 IE262187:IE262194 IE327723:IE327730 IE393259:IE393266 IE458795:IE458802 IE524331:IE524338 IE589867:IE589874 IE655403:IE655410 IE720939:IE720946 IE786475:IE786482 IE852011:IE852018 IE917547:IE917554 IE983083:IE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CD8 CF8 CD49 CF49 CL8 CN8 CL49 CN49 CT8 CV8 CT49 CV49 DB8 DD8 DB49 DD49 DJ8 DL8 DJ49 DL49 DR8 DT8 DR49 DT49 DZ8 EB8 DZ49 EB49 EH8 EJ8 EH49 EJ49 EP8 ER8 EP49 ER49 EX8 EZ8 EX49 EZ49 FF8 FH8 FF49 FH49 FN8 FP8 FN49 FP49 FV8 FX8 FV49 FX49 GD8 GF8 GD49 GF49 GL8 GN8 GL49 GN49 GT8 GV8 GT49 GV49 HB8 HD8 HB49 HD49 HJ8 HL8 HJ49 HL49 HR8 HT8 HR49 HT49 HZ8 IB8 HZ49 I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IC327729 AK393265:IC393265 AK49 AQ49 AS49 AY49 BA49 BG49 BI49 BO49 BQ49 BW49 BY49 CE49 CG49 CM49 CO49 CU49 CW49 DC49 DE49 DK49 DM49 DS49 DU49 EA49 EC49 EI49 EK49 EQ49 ES49 EY49 FA49 FG49 FI49 FO49 FQ49 FW49 FY49 GE49 GG49 GM49 GO49 GU49 GW49 HC49 HE49 HK49 HM49 HS49 HU49 IA49 IC49 AK524337:IC524337 AK8 AQ8 AS8 AY8 BA8 BG8 BI8 BO8 BQ8 BW8 BY8 CE8 CG8 CM8 CO8 CU8 CW8 DC8 DE8 DK8 DM8 DS8 DU8 EA8 EC8 EI8 EK8 EQ8 ES8 EY8 FA8 FG8 FI8 FO8 FQ8 FW8 FY8 GE8 GG8 GM8 GO8 GU8 GW8 HC8 HE8 HK8 HM8 HS8 HU8 IA8 IC8 AK589873:IC589873 AK655409:IC655409 AK17 AK720945:IC720945 AK786481:IC786481 AK852017:IC852017 AK917553:IC917553 AK983089:IC983089 AK65585:IC65585 AK131121:IC131121 AI49 AK458801:IC458801 AI8 AC8 AA8 AI17 AK196657:IC196657 AA49 AC49 AK262193:IC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ER64"/>
  <sheetViews>
    <sheetView showGridLines="0" topLeftCell="P25" zoomScale="90" workbookViewId="0">
      <selection activeCell="BR49" sqref="BR49"/>
    </sheetView>
  </sheetViews>
  <sheetFormatPr defaultColWidth="10.5703125" defaultRowHeight="14.25" customHeight="1"/>
  <cols>
    <col min="1" max="1" width="10.5703125" style="2553" hidden="1"/>
    <col min="2" max="2" width="11" style="2553" hidden="1" customWidth="1"/>
    <col min="3" max="3" width="10.5703125" style="2553" hidden="1"/>
    <col min="4" max="4" width="11.85546875" style="2553" hidden="1" customWidth="1"/>
    <col min="5" max="5" width="10" style="2553" hidden="1" customWidth="1"/>
    <col min="6" max="6" width="8.7109375" style="2553" hidden="1" customWidth="1"/>
    <col min="7" max="7" width="7.5703125" style="2553" hidden="1" customWidth="1"/>
    <col min="8" max="8" width="11.42578125" style="2553" hidden="1" customWidth="1"/>
    <col min="9" max="9" width="12" style="2553" hidden="1" customWidth="1"/>
    <col min="10" max="10" width="9.85546875" style="2553" hidden="1" customWidth="1"/>
    <col min="11" max="11" width="11.42578125" style="2553" hidden="1" customWidth="1"/>
    <col min="12" max="12" width="19.140625" style="2554" hidden="1" customWidth="1"/>
    <col min="13" max="14" width="12.28515625" style="2555" hidden="1" customWidth="1"/>
    <col min="15" max="15" width="23.42578125" style="2555" hidden="1" customWidth="1"/>
    <col min="16" max="16" width="3.7109375" style="2565" customWidth="1"/>
    <col min="17" max="18" width="3.7109375" style="3173" customWidth="1"/>
    <col min="19" max="19" width="12.7109375" style="3174" customWidth="1"/>
    <col min="20" max="20" width="32" style="1920" customWidth="1"/>
    <col min="21" max="21" width="0.140625" style="1920" customWidth="1"/>
    <col min="22" max="22" width="24.7109375" style="1920" hidden="1" customWidth="1"/>
    <col min="23" max="23" width="0.140625" style="1920" hidden="1" customWidth="1"/>
    <col min="24" max="25" width="24.7109375" style="1920" hidden="1" customWidth="1"/>
    <col min="26" max="26" width="11.7109375" style="1920" hidden="1" customWidth="1"/>
    <col min="27" max="27" width="3.7109375" style="1920" hidden="1" customWidth="1"/>
    <col min="28" max="28" width="11.7109375" style="1920" hidden="1" customWidth="1"/>
    <col min="29" max="29" width="8.5703125" style="1920" hidden="1" customWidth="1"/>
    <col min="30" max="30" width="24.7109375" style="1920" customWidth="1"/>
    <col min="31" max="31" width="0.140625" style="1920" customWidth="1"/>
    <col min="32" max="33" width="24.7109375" style="1920" customWidth="1"/>
    <col min="34" max="34" width="11.7109375" style="1920" customWidth="1"/>
    <col min="35" max="35" width="3.7109375" style="1920" customWidth="1"/>
    <col min="36" max="36" width="11.7109375" style="1920" customWidth="1"/>
    <col min="37" max="37" width="8.5703125" style="1920" customWidth="1"/>
    <col min="141" max="141" width="10.5703125" hidden="1"/>
    <col min="142" max="142" width="4.7109375" style="1920" customWidth="1"/>
    <col min="143" max="143" width="115.7109375" style="1920" customWidth="1"/>
    <col min="144" max="145" width="10.5703125" style="1821"/>
    <col min="146" max="146" width="11.140625" style="1821" customWidth="1"/>
    <col min="147" max="148" width="10.5703125" style="1821"/>
  </cols>
  <sheetData>
    <row r="1" spans="1:148" ht="14.25" hidden="1" customHeight="1">
      <c r="Y1" s="254"/>
      <c r="Z1" s="254"/>
      <c r="AG1" s="254"/>
      <c r="AH1" s="254"/>
      <c r="AL1" s="1945"/>
      <c r="AM1" s="1945"/>
      <c r="AN1" s="1945"/>
      <c r="AO1" s="1945"/>
      <c r="AP1" s="1945"/>
      <c r="AQ1" s="1945"/>
      <c r="AR1" s="1945"/>
      <c r="AS1" s="1945"/>
      <c r="AT1" s="1945"/>
      <c r="AU1" s="1945"/>
      <c r="AV1" s="1945"/>
      <c r="AW1" s="1945"/>
      <c r="AX1" s="1945"/>
      <c r="AY1" s="1945"/>
      <c r="AZ1" s="1945"/>
      <c r="BA1" s="1945"/>
      <c r="BB1" s="1945"/>
      <c r="BC1" s="1945"/>
      <c r="BD1" s="1945"/>
      <c r="BE1" s="1945"/>
      <c r="BF1" s="1945"/>
      <c r="BG1" s="1945"/>
      <c r="BH1" s="1945"/>
      <c r="BI1" s="1945"/>
      <c r="BJ1" s="1945"/>
      <c r="BK1" s="1945"/>
      <c r="BL1" s="1945"/>
      <c r="BM1" s="1945"/>
      <c r="BN1" s="1945"/>
      <c r="BO1" s="1945"/>
      <c r="BP1" s="1945"/>
      <c r="BQ1" s="1945"/>
      <c r="BR1" s="1945"/>
      <c r="BS1" s="1945"/>
      <c r="BT1" s="1945"/>
      <c r="BU1" s="1945"/>
      <c r="BV1" s="1945"/>
      <c r="BW1" s="1945"/>
      <c r="BX1" s="1945"/>
      <c r="BY1" s="1945"/>
      <c r="BZ1" s="1945"/>
      <c r="CA1" s="1945"/>
      <c r="CB1" s="1945"/>
      <c r="CC1" s="1945"/>
      <c r="CD1" s="1945"/>
      <c r="CE1" s="1945"/>
      <c r="CF1" s="1945"/>
      <c r="CG1" s="1945"/>
      <c r="CH1" s="1945"/>
      <c r="CI1" s="1945"/>
      <c r="CJ1" s="1945"/>
      <c r="CK1" s="1945"/>
      <c r="CL1" s="1945"/>
      <c r="CM1" s="1945"/>
      <c r="CN1" s="1945"/>
      <c r="CO1" s="1945"/>
      <c r="CP1" s="1945"/>
      <c r="CQ1" s="1945"/>
      <c r="CR1" s="1945"/>
      <c r="CS1" s="1945"/>
      <c r="CT1" s="1945"/>
      <c r="CU1" s="1945"/>
      <c r="CV1" s="1945"/>
      <c r="CW1" s="1945"/>
      <c r="CX1" s="1945"/>
      <c r="CY1" s="1945"/>
      <c r="CZ1" s="1945"/>
      <c r="DA1" s="1945"/>
      <c r="DB1" s="1945"/>
      <c r="DC1" s="1945"/>
      <c r="DD1" s="1945"/>
      <c r="DE1" s="1945"/>
      <c r="DF1" s="1945"/>
      <c r="DG1" s="1945"/>
      <c r="DH1" s="1945"/>
      <c r="DI1" s="1945"/>
      <c r="DJ1" s="1945"/>
      <c r="DK1" s="1945"/>
      <c r="DL1" s="1945"/>
      <c r="DM1" s="1945"/>
      <c r="DN1" s="1945"/>
      <c r="DO1" s="1945"/>
      <c r="DP1" s="1945"/>
      <c r="DQ1" s="1945"/>
      <c r="DR1" s="1945"/>
      <c r="DS1" s="1945"/>
      <c r="DT1" s="1945"/>
      <c r="DU1" s="1945"/>
      <c r="DV1" s="1945"/>
      <c r="DW1" s="1945"/>
      <c r="DX1" s="1945"/>
      <c r="DY1" s="1945"/>
      <c r="DZ1" s="1945"/>
      <c r="EA1" s="1945"/>
      <c r="EB1" s="1945"/>
      <c r="EC1" s="1945"/>
      <c r="ED1" s="1945"/>
      <c r="EE1" s="1945"/>
      <c r="EF1" s="1945"/>
      <c r="EG1" s="1945"/>
      <c r="EH1" s="1945"/>
      <c r="EI1" s="1945"/>
      <c r="EJ1" s="1945"/>
      <c r="EK1" s="1945"/>
    </row>
    <row r="2" spans="1:148" ht="21" hidden="1" customHeight="1">
      <c r="A2" s="1279"/>
      <c r="B2" s="1279"/>
      <c r="C2" s="1279"/>
      <c r="D2" s="1279"/>
      <c r="E2" s="4074">
        <v>1</v>
      </c>
      <c r="F2" s="1279"/>
      <c r="G2" s="1279"/>
      <c r="H2" s="1279"/>
      <c r="I2" s="1279"/>
      <c r="J2" s="1279"/>
      <c r="K2" s="1279"/>
      <c r="L2" s="1280"/>
      <c r="M2" s="1281"/>
      <c r="N2" s="1281"/>
      <c r="O2" s="1281"/>
      <c r="P2" s="286"/>
      <c r="Q2" s="285"/>
      <c r="R2" s="280"/>
      <c r="S2" s="1253" t="e">
        <f>INDEX(PT_DIFFERENTIATION_NUM_NTAR,MATCH(A2,PT_DIFFERENTIATION_NTAR_ID,0))</f>
        <v>#N/A</v>
      </c>
      <c r="T2" s="217" t="s">
        <v>121</v>
      </c>
      <c r="U2" s="219"/>
      <c r="V2" s="4060"/>
      <c r="W2" s="4061"/>
      <c r="X2" s="4061"/>
      <c r="Y2" s="4061"/>
      <c r="Z2" s="4061"/>
      <c r="AA2" s="4061"/>
      <c r="AB2" s="4061"/>
      <c r="AC2" s="4062"/>
      <c r="AD2" s="4060" t="e">
        <f>INDEX(PT_DIFFERENTIATION_NTAR,MATCH(A2,PT_DIFFERENTIATION_NTAR_ID,0))</f>
        <v>#N/A</v>
      </c>
      <c r="AE2" s="4061"/>
      <c r="AF2" s="4061"/>
      <c r="AG2" s="4061"/>
      <c r="AH2" s="4061"/>
      <c r="AI2" s="4061"/>
      <c r="AJ2" s="4061"/>
      <c r="AK2" s="4061"/>
      <c r="AL2" s="4060"/>
      <c r="AM2" s="4061"/>
      <c r="AN2" s="4061"/>
      <c r="AO2" s="4061"/>
      <c r="AP2" s="4061"/>
      <c r="AQ2" s="4061"/>
      <c r="AR2" s="4061"/>
      <c r="AS2" s="4062"/>
      <c r="AT2" s="4060"/>
      <c r="AU2" s="4061"/>
      <c r="AV2" s="4061"/>
      <c r="AW2" s="4061"/>
      <c r="AX2" s="4061"/>
      <c r="AY2" s="4061"/>
      <c r="AZ2" s="4061"/>
      <c r="BA2" s="4062"/>
      <c r="BB2" s="4060"/>
      <c r="BC2" s="4061"/>
      <c r="BD2" s="4061"/>
      <c r="BE2" s="4061"/>
      <c r="BF2" s="4061"/>
      <c r="BG2" s="4061"/>
      <c r="BH2" s="4061"/>
      <c r="BI2" s="4062"/>
      <c r="BJ2" s="4060"/>
      <c r="BK2" s="4061"/>
      <c r="BL2" s="4061"/>
      <c r="BM2" s="4061"/>
      <c r="BN2" s="4061"/>
      <c r="BO2" s="4061"/>
      <c r="BP2" s="4061"/>
      <c r="BQ2" s="4062"/>
      <c r="BR2" s="4060"/>
      <c r="BS2" s="4061"/>
      <c r="BT2" s="4061"/>
      <c r="BU2" s="4061"/>
      <c r="BV2" s="4061"/>
      <c r="BW2" s="4061"/>
      <c r="BX2" s="4061"/>
      <c r="BY2" s="4062"/>
      <c r="BZ2" s="4060"/>
      <c r="CA2" s="4061"/>
      <c r="CB2" s="4061"/>
      <c r="CC2" s="4061"/>
      <c r="CD2" s="4061"/>
      <c r="CE2" s="4061"/>
      <c r="CF2" s="4061"/>
      <c r="CG2" s="4062"/>
      <c r="CH2" s="4060"/>
      <c r="CI2" s="4061"/>
      <c r="CJ2" s="4061"/>
      <c r="CK2" s="4061"/>
      <c r="CL2" s="4061"/>
      <c r="CM2" s="4061"/>
      <c r="CN2" s="4061"/>
      <c r="CO2" s="4062"/>
      <c r="CP2" s="4060"/>
      <c r="CQ2" s="4061"/>
      <c r="CR2" s="4061"/>
      <c r="CS2" s="4061"/>
      <c r="CT2" s="4061"/>
      <c r="CU2" s="4061"/>
      <c r="CV2" s="4061"/>
      <c r="CW2" s="4062"/>
      <c r="CX2" s="4060"/>
      <c r="CY2" s="4061"/>
      <c r="CZ2" s="4061"/>
      <c r="DA2" s="4061"/>
      <c r="DB2" s="4061"/>
      <c r="DC2" s="4061"/>
      <c r="DD2" s="4061"/>
      <c r="DE2" s="4062"/>
      <c r="DF2" s="4060"/>
      <c r="DG2" s="4061"/>
      <c r="DH2" s="4061"/>
      <c r="DI2" s="4061"/>
      <c r="DJ2" s="4061"/>
      <c r="DK2" s="4061"/>
      <c r="DL2" s="4061"/>
      <c r="DM2" s="4062"/>
      <c r="DN2" s="4060"/>
      <c r="DO2" s="4061"/>
      <c r="DP2" s="4061"/>
      <c r="DQ2" s="4061"/>
      <c r="DR2" s="4061"/>
      <c r="DS2" s="4061"/>
      <c r="DT2" s="4061"/>
      <c r="DU2" s="4062"/>
      <c r="DV2" s="4060"/>
      <c r="DW2" s="4061"/>
      <c r="DX2" s="4061"/>
      <c r="DY2" s="4061"/>
      <c r="DZ2" s="4061"/>
      <c r="EA2" s="4061"/>
      <c r="EB2" s="4061"/>
      <c r="EC2" s="4062"/>
      <c r="ED2" s="4060"/>
      <c r="EE2" s="4061"/>
      <c r="EF2" s="4061"/>
      <c r="EG2" s="4061"/>
      <c r="EH2" s="4061"/>
      <c r="EI2" s="4061"/>
      <c r="EJ2" s="4061"/>
      <c r="EK2" s="4062"/>
      <c r="EL2" s="4062"/>
      <c r="EM2" s="1177" t="s">
        <v>388</v>
      </c>
      <c r="EO2" s="426"/>
      <c r="EP2" s="426" t="str">
        <f t="shared" ref="EP2:EP15" si="0">IF(T2="","",T2)</f>
        <v>Наименование тарифа</v>
      </c>
      <c r="EQ2" s="426"/>
      <c r="ER2" s="426"/>
    </row>
    <row r="3" spans="1:148" ht="21" hidden="1" customHeight="1">
      <c r="A3" s="1279"/>
      <c r="B3" s="1279"/>
      <c r="C3" s="1279"/>
      <c r="D3" s="1279"/>
      <c r="E3" s="4075"/>
      <c r="F3" s="4074">
        <v>1</v>
      </c>
      <c r="G3" s="1279"/>
      <c r="H3" s="1279"/>
      <c r="I3" s="1279"/>
      <c r="J3" s="1279"/>
      <c r="K3" s="1279"/>
      <c r="L3" s="1280"/>
      <c r="M3" s="1281"/>
      <c r="N3" s="1281"/>
      <c r="O3" s="1281"/>
      <c r="P3" s="1249"/>
      <c r="Q3" s="277"/>
      <c r="R3" s="278"/>
      <c r="S3" s="1253" t="e">
        <f>INDEX(PT_DIFFERENTIATION_NUM_TER,MATCH(B3,PT_DIFFERENTIATION_TER_ID,0))</f>
        <v>#N/A</v>
      </c>
      <c r="T3" s="229" t="s">
        <v>389</v>
      </c>
      <c r="U3" s="219"/>
      <c r="V3" s="4060"/>
      <c r="W3" s="4061"/>
      <c r="X3" s="4061"/>
      <c r="Y3" s="4061"/>
      <c r="Z3" s="4061"/>
      <c r="AA3" s="4061"/>
      <c r="AB3" s="4061"/>
      <c r="AC3" s="4062"/>
      <c r="AD3" s="4060" t="e">
        <f>INDEX(PT_DIFFERENTIATION_TER,MATCH(B3,PT_DIFFERENTIATION_TER_ID,0))</f>
        <v>#N/A</v>
      </c>
      <c r="AE3" s="4061"/>
      <c r="AF3" s="4061"/>
      <c r="AG3" s="4061"/>
      <c r="AH3" s="4061"/>
      <c r="AI3" s="4061"/>
      <c r="AJ3" s="4061"/>
      <c r="AK3" s="4061"/>
      <c r="AL3" s="4060"/>
      <c r="AM3" s="4061"/>
      <c r="AN3" s="4061"/>
      <c r="AO3" s="4061"/>
      <c r="AP3" s="4061"/>
      <c r="AQ3" s="4061"/>
      <c r="AR3" s="4061"/>
      <c r="AS3" s="4062"/>
      <c r="AT3" s="4060"/>
      <c r="AU3" s="4061"/>
      <c r="AV3" s="4061"/>
      <c r="AW3" s="4061"/>
      <c r="AX3" s="4061"/>
      <c r="AY3" s="4061"/>
      <c r="AZ3" s="4061"/>
      <c r="BA3" s="4062"/>
      <c r="BB3" s="4060"/>
      <c r="BC3" s="4061"/>
      <c r="BD3" s="4061"/>
      <c r="BE3" s="4061"/>
      <c r="BF3" s="4061"/>
      <c r="BG3" s="4061"/>
      <c r="BH3" s="4061"/>
      <c r="BI3" s="4062"/>
      <c r="BJ3" s="4060"/>
      <c r="BK3" s="4061"/>
      <c r="BL3" s="4061"/>
      <c r="BM3" s="4061"/>
      <c r="BN3" s="4061"/>
      <c r="BO3" s="4061"/>
      <c r="BP3" s="4061"/>
      <c r="BQ3" s="4062"/>
      <c r="BR3" s="4060"/>
      <c r="BS3" s="4061"/>
      <c r="BT3" s="4061"/>
      <c r="BU3" s="4061"/>
      <c r="BV3" s="4061"/>
      <c r="BW3" s="4061"/>
      <c r="BX3" s="4061"/>
      <c r="BY3" s="4062"/>
      <c r="BZ3" s="4060"/>
      <c r="CA3" s="4061"/>
      <c r="CB3" s="4061"/>
      <c r="CC3" s="4061"/>
      <c r="CD3" s="4061"/>
      <c r="CE3" s="4061"/>
      <c r="CF3" s="4061"/>
      <c r="CG3" s="4062"/>
      <c r="CH3" s="4060"/>
      <c r="CI3" s="4061"/>
      <c r="CJ3" s="4061"/>
      <c r="CK3" s="4061"/>
      <c r="CL3" s="4061"/>
      <c r="CM3" s="4061"/>
      <c r="CN3" s="4061"/>
      <c r="CO3" s="4062"/>
      <c r="CP3" s="4060"/>
      <c r="CQ3" s="4061"/>
      <c r="CR3" s="4061"/>
      <c r="CS3" s="4061"/>
      <c r="CT3" s="4061"/>
      <c r="CU3" s="4061"/>
      <c r="CV3" s="4061"/>
      <c r="CW3" s="4062"/>
      <c r="CX3" s="4060"/>
      <c r="CY3" s="4061"/>
      <c r="CZ3" s="4061"/>
      <c r="DA3" s="4061"/>
      <c r="DB3" s="4061"/>
      <c r="DC3" s="4061"/>
      <c r="DD3" s="4061"/>
      <c r="DE3" s="4062"/>
      <c r="DF3" s="4060"/>
      <c r="DG3" s="4061"/>
      <c r="DH3" s="4061"/>
      <c r="DI3" s="4061"/>
      <c r="DJ3" s="4061"/>
      <c r="DK3" s="4061"/>
      <c r="DL3" s="4061"/>
      <c r="DM3" s="4062"/>
      <c r="DN3" s="4060"/>
      <c r="DO3" s="4061"/>
      <c r="DP3" s="4061"/>
      <c r="DQ3" s="4061"/>
      <c r="DR3" s="4061"/>
      <c r="DS3" s="4061"/>
      <c r="DT3" s="4061"/>
      <c r="DU3" s="4062"/>
      <c r="DV3" s="4060"/>
      <c r="DW3" s="4061"/>
      <c r="DX3" s="4061"/>
      <c r="DY3" s="4061"/>
      <c r="DZ3" s="4061"/>
      <c r="EA3" s="4061"/>
      <c r="EB3" s="4061"/>
      <c r="EC3" s="4062"/>
      <c r="ED3" s="4060"/>
      <c r="EE3" s="4061"/>
      <c r="EF3" s="4061"/>
      <c r="EG3" s="4061"/>
      <c r="EH3" s="4061"/>
      <c r="EI3" s="4061"/>
      <c r="EJ3" s="4061"/>
      <c r="EK3" s="4062"/>
      <c r="EL3" s="4062"/>
      <c r="EM3" s="1177" t="s">
        <v>390</v>
      </c>
      <c r="EO3" s="426"/>
      <c r="EP3" s="426" t="str">
        <f t="shared" si="0"/>
        <v>Территория действия тарифа</v>
      </c>
      <c r="EQ3" s="426"/>
      <c r="ER3" s="426"/>
    </row>
    <row r="4" spans="1:148" ht="23.25" hidden="1" customHeight="1">
      <c r="A4" s="1279"/>
      <c r="B4" s="1279"/>
      <c r="C4" s="1279"/>
      <c r="D4" s="1279"/>
      <c r="E4" s="4075"/>
      <c r="F4" s="4075"/>
      <c r="G4" s="4074">
        <v>1</v>
      </c>
      <c r="H4" s="1279"/>
      <c r="I4" s="1279"/>
      <c r="J4" s="1279"/>
      <c r="K4" s="1279"/>
      <c r="L4" s="1280"/>
      <c r="M4" s="1281"/>
      <c r="N4" s="1281"/>
      <c r="O4" s="1281"/>
      <c r="P4" s="279"/>
      <c r="Q4" s="277"/>
      <c r="R4" s="278"/>
      <c r="S4" s="1253" t="e">
        <f>INDEX(PT_DIFFERENTIATION_NUM_CS,MATCH(C4,PT_DIFFERENTIATION_CS_ID,0))</f>
        <v>#N/A</v>
      </c>
      <c r="T4" s="230" t="s">
        <v>391</v>
      </c>
      <c r="U4" s="219"/>
      <c r="V4" s="4060"/>
      <c r="W4" s="4061"/>
      <c r="X4" s="4061"/>
      <c r="Y4" s="4061"/>
      <c r="Z4" s="4061"/>
      <c r="AA4" s="4061"/>
      <c r="AB4" s="4061"/>
      <c r="AC4" s="4062"/>
      <c r="AD4" s="4060" t="e">
        <f>INDEX(PT_DIFFERENTIATION_CS,MATCH(C4,PT_DIFFERENTIATION_CS_ID,0))</f>
        <v>#N/A</v>
      </c>
      <c r="AE4" s="4061"/>
      <c r="AF4" s="4061"/>
      <c r="AG4" s="4061"/>
      <c r="AH4" s="4061"/>
      <c r="AI4" s="4061"/>
      <c r="AJ4" s="4061"/>
      <c r="AK4" s="4061"/>
      <c r="AL4" s="4060"/>
      <c r="AM4" s="4061"/>
      <c r="AN4" s="4061"/>
      <c r="AO4" s="4061"/>
      <c r="AP4" s="4061"/>
      <c r="AQ4" s="4061"/>
      <c r="AR4" s="4061"/>
      <c r="AS4" s="4062"/>
      <c r="AT4" s="4060"/>
      <c r="AU4" s="4061"/>
      <c r="AV4" s="4061"/>
      <c r="AW4" s="4061"/>
      <c r="AX4" s="4061"/>
      <c r="AY4" s="4061"/>
      <c r="AZ4" s="4061"/>
      <c r="BA4" s="4062"/>
      <c r="BB4" s="4060"/>
      <c r="BC4" s="4061"/>
      <c r="BD4" s="4061"/>
      <c r="BE4" s="4061"/>
      <c r="BF4" s="4061"/>
      <c r="BG4" s="4061"/>
      <c r="BH4" s="4061"/>
      <c r="BI4" s="4062"/>
      <c r="BJ4" s="4060"/>
      <c r="BK4" s="4061"/>
      <c r="BL4" s="4061"/>
      <c r="BM4" s="4061"/>
      <c r="BN4" s="4061"/>
      <c r="BO4" s="4061"/>
      <c r="BP4" s="4061"/>
      <c r="BQ4" s="4062"/>
      <c r="BR4" s="4060"/>
      <c r="BS4" s="4061"/>
      <c r="BT4" s="4061"/>
      <c r="BU4" s="4061"/>
      <c r="BV4" s="4061"/>
      <c r="BW4" s="4061"/>
      <c r="BX4" s="4061"/>
      <c r="BY4" s="4062"/>
      <c r="BZ4" s="4060"/>
      <c r="CA4" s="4061"/>
      <c r="CB4" s="4061"/>
      <c r="CC4" s="4061"/>
      <c r="CD4" s="4061"/>
      <c r="CE4" s="4061"/>
      <c r="CF4" s="4061"/>
      <c r="CG4" s="4062"/>
      <c r="CH4" s="4060"/>
      <c r="CI4" s="4061"/>
      <c r="CJ4" s="4061"/>
      <c r="CK4" s="4061"/>
      <c r="CL4" s="4061"/>
      <c r="CM4" s="4061"/>
      <c r="CN4" s="4061"/>
      <c r="CO4" s="4062"/>
      <c r="CP4" s="4060"/>
      <c r="CQ4" s="4061"/>
      <c r="CR4" s="4061"/>
      <c r="CS4" s="4061"/>
      <c r="CT4" s="4061"/>
      <c r="CU4" s="4061"/>
      <c r="CV4" s="4061"/>
      <c r="CW4" s="4062"/>
      <c r="CX4" s="4060"/>
      <c r="CY4" s="4061"/>
      <c r="CZ4" s="4061"/>
      <c r="DA4" s="4061"/>
      <c r="DB4" s="4061"/>
      <c r="DC4" s="4061"/>
      <c r="DD4" s="4061"/>
      <c r="DE4" s="4062"/>
      <c r="DF4" s="4060"/>
      <c r="DG4" s="4061"/>
      <c r="DH4" s="4061"/>
      <c r="DI4" s="4061"/>
      <c r="DJ4" s="4061"/>
      <c r="DK4" s="4061"/>
      <c r="DL4" s="4061"/>
      <c r="DM4" s="4062"/>
      <c r="DN4" s="4060"/>
      <c r="DO4" s="4061"/>
      <c r="DP4" s="4061"/>
      <c r="DQ4" s="4061"/>
      <c r="DR4" s="4061"/>
      <c r="DS4" s="4061"/>
      <c r="DT4" s="4061"/>
      <c r="DU4" s="4062"/>
      <c r="DV4" s="4060"/>
      <c r="DW4" s="4061"/>
      <c r="DX4" s="4061"/>
      <c r="DY4" s="4061"/>
      <c r="DZ4" s="4061"/>
      <c r="EA4" s="4061"/>
      <c r="EB4" s="4061"/>
      <c r="EC4" s="4062"/>
      <c r="ED4" s="4060"/>
      <c r="EE4" s="4061"/>
      <c r="EF4" s="4061"/>
      <c r="EG4" s="4061"/>
      <c r="EH4" s="4061"/>
      <c r="EI4" s="4061"/>
      <c r="EJ4" s="4061"/>
      <c r="EK4" s="4062"/>
      <c r="EL4" s="4062"/>
      <c r="EM4" s="1177" t="s">
        <v>392</v>
      </c>
      <c r="EO4" s="426"/>
      <c r="EP4" s="426" t="str">
        <f t="shared" si="0"/>
        <v xml:space="preserve">Наименование системы теплоснабжения </v>
      </c>
      <c r="EQ4" s="426"/>
      <c r="ER4" s="426"/>
    </row>
    <row r="5" spans="1:148" ht="21" hidden="1" customHeight="1">
      <c r="A5" s="1279"/>
      <c r="B5" s="1279"/>
      <c r="C5" s="1279"/>
      <c r="D5" s="1279"/>
      <c r="E5" s="4075"/>
      <c r="F5" s="4075"/>
      <c r="G5" s="4075"/>
      <c r="H5" s="4074">
        <v>1</v>
      </c>
      <c r="I5" s="1279"/>
      <c r="J5" s="1279"/>
      <c r="K5" s="1279"/>
      <c r="L5" s="1280"/>
      <c r="M5" s="1281"/>
      <c r="N5" s="1281"/>
      <c r="O5" s="1281"/>
      <c r="P5" s="279"/>
      <c r="Q5" s="277"/>
      <c r="R5" s="278"/>
      <c r="S5" s="1253" t="e">
        <f>INDEX(PT_DIFFERENTIATION_NUM_IST_TE,MATCH(D5,PT_DIFFERENTIATION_IST_TE_ID,0))</f>
        <v>#N/A</v>
      </c>
      <c r="T5" s="231" t="s">
        <v>393</v>
      </c>
      <c r="U5" s="219"/>
      <c r="V5" s="4060"/>
      <c r="W5" s="4061"/>
      <c r="X5" s="4061"/>
      <c r="Y5" s="4061"/>
      <c r="Z5" s="4061"/>
      <c r="AA5" s="4061"/>
      <c r="AB5" s="4061"/>
      <c r="AC5" s="4062"/>
      <c r="AD5" s="4060" t="e">
        <f>INDEX(PT_DIFFERENTIATION_IST_TE,MATCH(D5,PT_DIFFERENTIATION_IST_TE_ID,0))</f>
        <v>#N/A</v>
      </c>
      <c r="AE5" s="4061"/>
      <c r="AF5" s="4061"/>
      <c r="AG5" s="4061"/>
      <c r="AH5" s="4061"/>
      <c r="AI5" s="4061"/>
      <c r="AJ5" s="4061"/>
      <c r="AK5" s="4061"/>
      <c r="AL5" s="4060"/>
      <c r="AM5" s="4061"/>
      <c r="AN5" s="4061"/>
      <c r="AO5" s="4061"/>
      <c r="AP5" s="4061"/>
      <c r="AQ5" s="4061"/>
      <c r="AR5" s="4061"/>
      <c r="AS5" s="4062"/>
      <c r="AT5" s="4060"/>
      <c r="AU5" s="4061"/>
      <c r="AV5" s="4061"/>
      <c r="AW5" s="4061"/>
      <c r="AX5" s="4061"/>
      <c r="AY5" s="4061"/>
      <c r="AZ5" s="4061"/>
      <c r="BA5" s="4062"/>
      <c r="BB5" s="4060"/>
      <c r="BC5" s="4061"/>
      <c r="BD5" s="4061"/>
      <c r="BE5" s="4061"/>
      <c r="BF5" s="4061"/>
      <c r="BG5" s="4061"/>
      <c r="BH5" s="4061"/>
      <c r="BI5" s="4062"/>
      <c r="BJ5" s="4060"/>
      <c r="BK5" s="4061"/>
      <c r="BL5" s="4061"/>
      <c r="BM5" s="4061"/>
      <c r="BN5" s="4061"/>
      <c r="BO5" s="4061"/>
      <c r="BP5" s="4061"/>
      <c r="BQ5" s="4062"/>
      <c r="BR5" s="4060"/>
      <c r="BS5" s="4061"/>
      <c r="BT5" s="4061"/>
      <c r="BU5" s="4061"/>
      <c r="BV5" s="4061"/>
      <c r="BW5" s="4061"/>
      <c r="BX5" s="4061"/>
      <c r="BY5" s="4062"/>
      <c r="BZ5" s="4060"/>
      <c r="CA5" s="4061"/>
      <c r="CB5" s="4061"/>
      <c r="CC5" s="4061"/>
      <c r="CD5" s="4061"/>
      <c r="CE5" s="4061"/>
      <c r="CF5" s="4061"/>
      <c r="CG5" s="4062"/>
      <c r="CH5" s="4060"/>
      <c r="CI5" s="4061"/>
      <c r="CJ5" s="4061"/>
      <c r="CK5" s="4061"/>
      <c r="CL5" s="4061"/>
      <c r="CM5" s="4061"/>
      <c r="CN5" s="4061"/>
      <c r="CO5" s="4062"/>
      <c r="CP5" s="4060"/>
      <c r="CQ5" s="4061"/>
      <c r="CR5" s="4061"/>
      <c r="CS5" s="4061"/>
      <c r="CT5" s="4061"/>
      <c r="CU5" s="4061"/>
      <c r="CV5" s="4061"/>
      <c r="CW5" s="4062"/>
      <c r="CX5" s="4060"/>
      <c r="CY5" s="4061"/>
      <c r="CZ5" s="4061"/>
      <c r="DA5" s="4061"/>
      <c r="DB5" s="4061"/>
      <c r="DC5" s="4061"/>
      <c r="DD5" s="4061"/>
      <c r="DE5" s="4062"/>
      <c r="DF5" s="4060"/>
      <c r="DG5" s="4061"/>
      <c r="DH5" s="4061"/>
      <c r="DI5" s="4061"/>
      <c r="DJ5" s="4061"/>
      <c r="DK5" s="4061"/>
      <c r="DL5" s="4061"/>
      <c r="DM5" s="4062"/>
      <c r="DN5" s="4060"/>
      <c r="DO5" s="4061"/>
      <c r="DP5" s="4061"/>
      <c r="DQ5" s="4061"/>
      <c r="DR5" s="4061"/>
      <c r="DS5" s="4061"/>
      <c r="DT5" s="4061"/>
      <c r="DU5" s="4062"/>
      <c r="DV5" s="4060"/>
      <c r="DW5" s="4061"/>
      <c r="DX5" s="4061"/>
      <c r="DY5" s="4061"/>
      <c r="DZ5" s="4061"/>
      <c r="EA5" s="4061"/>
      <c r="EB5" s="4061"/>
      <c r="EC5" s="4062"/>
      <c r="ED5" s="4060"/>
      <c r="EE5" s="4061"/>
      <c r="EF5" s="4061"/>
      <c r="EG5" s="4061"/>
      <c r="EH5" s="4061"/>
      <c r="EI5" s="4061"/>
      <c r="EJ5" s="4061"/>
      <c r="EK5" s="4062"/>
      <c r="EL5" s="4062"/>
      <c r="EM5" s="1177" t="s">
        <v>394</v>
      </c>
      <c r="EO5" s="426"/>
      <c r="EP5" s="426" t="str">
        <f t="shared" si="0"/>
        <v xml:space="preserve">Источник тепловой энергии  </v>
      </c>
      <c r="EQ5" s="426"/>
      <c r="ER5" s="426"/>
    </row>
    <row r="6" spans="1:148" ht="47.25" hidden="1" customHeight="1">
      <c r="A6" s="1279"/>
      <c r="B6" s="1279"/>
      <c r="C6" s="1279"/>
      <c r="D6" s="1279"/>
      <c r="E6" s="4075"/>
      <c r="F6" s="4075"/>
      <c r="G6" s="4075"/>
      <c r="H6" s="4075"/>
      <c r="I6" s="4072" t="e">
        <f>S5&amp;".1"</f>
        <v>#N/A</v>
      </c>
      <c r="J6" s="1279"/>
      <c r="K6" s="1279"/>
      <c r="L6" s="1280" t="s">
        <v>395</v>
      </c>
      <c r="M6" s="462"/>
      <c r="P6" s="4073">
        <v>1</v>
      </c>
      <c r="Q6" s="1248"/>
      <c r="R6" s="281"/>
      <c r="S6" s="1253" t="e">
        <f>$I6</f>
        <v>#N/A</v>
      </c>
      <c r="T6" s="204" t="s">
        <v>396</v>
      </c>
      <c r="U6" s="219"/>
      <c r="V6" s="4063"/>
      <c r="W6" s="4064"/>
      <c r="X6" s="4064"/>
      <c r="Y6" s="4064"/>
      <c r="Z6" s="4064"/>
      <c r="AA6" s="4064"/>
      <c r="AB6" s="4064"/>
      <c r="AC6" s="4065"/>
      <c r="AD6" s="4063"/>
      <c r="AE6" s="4064"/>
      <c r="AF6" s="4064"/>
      <c r="AG6" s="4064"/>
      <c r="AH6" s="4064"/>
      <c r="AI6" s="4064"/>
      <c r="AJ6" s="4064"/>
      <c r="AK6" s="4064"/>
      <c r="AL6" s="4063"/>
      <c r="AM6" s="4064"/>
      <c r="AN6" s="4064"/>
      <c r="AO6" s="4064"/>
      <c r="AP6" s="4064"/>
      <c r="AQ6" s="4064"/>
      <c r="AR6" s="4064"/>
      <c r="AS6" s="4065"/>
      <c r="AT6" s="4063"/>
      <c r="AU6" s="4064"/>
      <c r="AV6" s="4064"/>
      <c r="AW6" s="4064"/>
      <c r="AX6" s="4064"/>
      <c r="AY6" s="4064"/>
      <c r="AZ6" s="4064"/>
      <c r="BA6" s="4065"/>
      <c r="BB6" s="4063"/>
      <c r="BC6" s="4064"/>
      <c r="BD6" s="4064"/>
      <c r="BE6" s="4064"/>
      <c r="BF6" s="4064"/>
      <c r="BG6" s="4064"/>
      <c r="BH6" s="4064"/>
      <c r="BI6" s="4065"/>
      <c r="BJ6" s="4063"/>
      <c r="BK6" s="4064"/>
      <c r="BL6" s="4064"/>
      <c r="BM6" s="4064"/>
      <c r="BN6" s="4064"/>
      <c r="BO6" s="4064"/>
      <c r="BP6" s="4064"/>
      <c r="BQ6" s="4065"/>
      <c r="BR6" s="4063"/>
      <c r="BS6" s="4064"/>
      <c r="BT6" s="4064"/>
      <c r="BU6" s="4064"/>
      <c r="BV6" s="4064"/>
      <c r="BW6" s="4064"/>
      <c r="BX6" s="4064"/>
      <c r="BY6" s="4065"/>
      <c r="BZ6" s="4063"/>
      <c r="CA6" s="4064"/>
      <c r="CB6" s="4064"/>
      <c r="CC6" s="4064"/>
      <c r="CD6" s="4064"/>
      <c r="CE6" s="4064"/>
      <c r="CF6" s="4064"/>
      <c r="CG6" s="4065"/>
      <c r="CH6" s="4063"/>
      <c r="CI6" s="4064"/>
      <c r="CJ6" s="4064"/>
      <c r="CK6" s="4064"/>
      <c r="CL6" s="4064"/>
      <c r="CM6" s="4064"/>
      <c r="CN6" s="4064"/>
      <c r="CO6" s="4065"/>
      <c r="CP6" s="4063"/>
      <c r="CQ6" s="4064"/>
      <c r="CR6" s="4064"/>
      <c r="CS6" s="4064"/>
      <c r="CT6" s="4064"/>
      <c r="CU6" s="4064"/>
      <c r="CV6" s="4064"/>
      <c r="CW6" s="4065"/>
      <c r="CX6" s="4063"/>
      <c r="CY6" s="4064"/>
      <c r="CZ6" s="4064"/>
      <c r="DA6" s="4064"/>
      <c r="DB6" s="4064"/>
      <c r="DC6" s="4064"/>
      <c r="DD6" s="4064"/>
      <c r="DE6" s="4065"/>
      <c r="DF6" s="4063"/>
      <c r="DG6" s="4064"/>
      <c r="DH6" s="4064"/>
      <c r="DI6" s="4064"/>
      <c r="DJ6" s="4064"/>
      <c r="DK6" s="4064"/>
      <c r="DL6" s="4064"/>
      <c r="DM6" s="4065"/>
      <c r="DN6" s="4063"/>
      <c r="DO6" s="4064"/>
      <c r="DP6" s="4064"/>
      <c r="DQ6" s="4064"/>
      <c r="DR6" s="4064"/>
      <c r="DS6" s="4064"/>
      <c r="DT6" s="4064"/>
      <c r="DU6" s="4065"/>
      <c r="DV6" s="4063"/>
      <c r="DW6" s="4064"/>
      <c r="DX6" s="4064"/>
      <c r="DY6" s="4064"/>
      <c r="DZ6" s="4064"/>
      <c r="EA6" s="4064"/>
      <c r="EB6" s="4064"/>
      <c r="EC6" s="4065"/>
      <c r="ED6" s="4063"/>
      <c r="EE6" s="4064"/>
      <c r="EF6" s="4064"/>
      <c r="EG6" s="4064"/>
      <c r="EH6" s="4064"/>
      <c r="EI6" s="4064"/>
      <c r="EJ6" s="4064"/>
      <c r="EK6" s="4065"/>
      <c r="EL6" s="4065"/>
      <c r="EM6" s="1177" t="s">
        <v>397</v>
      </c>
      <c r="EO6" s="426"/>
      <c r="EP6" s="426" t="str">
        <f t="shared" si="0"/>
        <v>Схема подключения теплопотребляющей установки к коллектору источника тепловой энергии</v>
      </c>
      <c r="EQ6" s="426"/>
      <c r="ER6" s="426"/>
    </row>
    <row r="7" spans="1:148" ht="21" hidden="1" customHeight="1">
      <c r="A7" s="1279"/>
      <c r="B7" s="1279"/>
      <c r="C7" s="1279"/>
      <c r="D7" s="1279"/>
      <c r="E7" s="4075"/>
      <c r="F7" s="4075"/>
      <c r="G7" s="4075"/>
      <c r="H7" s="4075"/>
      <c r="I7" s="4095"/>
      <c r="J7" s="4072" t="e">
        <f>I6&amp;".1"</f>
        <v>#N/A</v>
      </c>
      <c r="K7" s="1279"/>
      <c r="L7" s="1280" t="s">
        <v>398</v>
      </c>
      <c r="M7" s="462"/>
      <c r="N7" s="1282"/>
      <c r="P7" s="4073"/>
      <c r="Q7" s="4073">
        <v>1</v>
      </c>
      <c r="R7" s="282"/>
      <c r="S7" s="1253" t="e">
        <f>$J7</f>
        <v>#N/A</v>
      </c>
      <c r="T7" s="205" t="s">
        <v>399</v>
      </c>
      <c r="U7" s="219"/>
      <c r="V7" s="4063"/>
      <c r="W7" s="4064"/>
      <c r="X7" s="4064"/>
      <c r="Y7" s="4064"/>
      <c r="Z7" s="4064"/>
      <c r="AA7" s="4064"/>
      <c r="AB7" s="4064"/>
      <c r="AC7" s="4065"/>
      <c r="AD7" s="4063"/>
      <c r="AE7" s="4064"/>
      <c r="AF7" s="4064"/>
      <c r="AG7" s="4064"/>
      <c r="AH7" s="4064"/>
      <c r="AI7" s="4064"/>
      <c r="AJ7" s="4064"/>
      <c r="AK7" s="4064"/>
      <c r="AL7" s="4063"/>
      <c r="AM7" s="4064"/>
      <c r="AN7" s="4064"/>
      <c r="AO7" s="4064"/>
      <c r="AP7" s="4064"/>
      <c r="AQ7" s="4064"/>
      <c r="AR7" s="4064"/>
      <c r="AS7" s="4065"/>
      <c r="AT7" s="4063"/>
      <c r="AU7" s="4064"/>
      <c r="AV7" s="4064"/>
      <c r="AW7" s="4064"/>
      <c r="AX7" s="4064"/>
      <c r="AY7" s="4064"/>
      <c r="AZ7" s="4064"/>
      <c r="BA7" s="4065"/>
      <c r="BB7" s="4063"/>
      <c r="BC7" s="4064"/>
      <c r="BD7" s="4064"/>
      <c r="BE7" s="4064"/>
      <c r="BF7" s="4064"/>
      <c r="BG7" s="4064"/>
      <c r="BH7" s="4064"/>
      <c r="BI7" s="4065"/>
      <c r="BJ7" s="4063"/>
      <c r="BK7" s="4064"/>
      <c r="BL7" s="4064"/>
      <c r="BM7" s="4064"/>
      <c r="BN7" s="4064"/>
      <c r="BO7" s="4064"/>
      <c r="BP7" s="4064"/>
      <c r="BQ7" s="4065"/>
      <c r="BR7" s="4063"/>
      <c r="BS7" s="4064"/>
      <c r="BT7" s="4064"/>
      <c r="BU7" s="4064"/>
      <c r="BV7" s="4064"/>
      <c r="BW7" s="4064"/>
      <c r="BX7" s="4064"/>
      <c r="BY7" s="4065"/>
      <c r="BZ7" s="4063"/>
      <c r="CA7" s="4064"/>
      <c r="CB7" s="4064"/>
      <c r="CC7" s="4064"/>
      <c r="CD7" s="4064"/>
      <c r="CE7" s="4064"/>
      <c r="CF7" s="4064"/>
      <c r="CG7" s="4065"/>
      <c r="CH7" s="4063"/>
      <c r="CI7" s="4064"/>
      <c r="CJ7" s="4064"/>
      <c r="CK7" s="4064"/>
      <c r="CL7" s="4064"/>
      <c r="CM7" s="4064"/>
      <c r="CN7" s="4064"/>
      <c r="CO7" s="4065"/>
      <c r="CP7" s="4063"/>
      <c r="CQ7" s="4064"/>
      <c r="CR7" s="4064"/>
      <c r="CS7" s="4064"/>
      <c r="CT7" s="4064"/>
      <c r="CU7" s="4064"/>
      <c r="CV7" s="4064"/>
      <c r="CW7" s="4065"/>
      <c r="CX7" s="4063"/>
      <c r="CY7" s="4064"/>
      <c r="CZ7" s="4064"/>
      <c r="DA7" s="4064"/>
      <c r="DB7" s="4064"/>
      <c r="DC7" s="4064"/>
      <c r="DD7" s="4064"/>
      <c r="DE7" s="4065"/>
      <c r="DF7" s="4063"/>
      <c r="DG7" s="4064"/>
      <c r="DH7" s="4064"/>
      <c r="DI7" s="4064"/>
      <c r="DJ7" s="4064"/>
      <c r="DK7" s="4064"/>
      <c r="DL7" s="4064"/>
      <c r="DM7" s="4065"/>
      <c r="DN7" s="4063"/>
      <c r="DO7" s="4064"/>
      <c r="DP7" s="4064"/>
      <c r="DQ7" s="4064"/>
      <c r="DR7" s="4064"/>
      <c r="DS7" s="4064"/>
      <c r="DT7" s="4064"/>
      <c r="DU7" s="4065"/>
      <c r="DV7" s="4063"/>
      <c r="DW7" s="4064"/>
      <c r="DX7" s="4064"/>
      <c r="DY7" s="4064"/>
      <c r="DZ7" s="4064"/>
      <c r="EA7" s="4064"/>
      <c r="EB7" s="4064"/>
      <c r="EC7" s="4065"/>
      <c r="ED7" s="4063"/>
      <c r="EE7" s="4064"/>
      <c r="EF7" s="4064"/>
      <c r="EG7" s="4064"/>
      <c r="EH7" s="4064"/>
      <c r="EI7" s="4064"/>
      <c r="EJ7" s="4064"/>
      <c r="EK7" s="4065"/>
      <c r="EL7" s="4065"/>
      <c r="EM7" s="1177" t="s">
        <v>400</v>
      </c>
      <c r="EO7" s="426"/>
      <c r="EP7" s="426" t="str">
        <f t="shared" si="0"/>
        <v>Группа потребителей</v>
      </c>
      <c r="EQ7" s="426"/>
      <c r="ER7" s="426"/>
    </row>
    <row r="8" spans="1:148" ht="21" hidden="1" customHeight="1">
      <c r="A8" s="1279"/>
      <c r="B8" s="1279"/>
      <c r="C8" s="1279"/>
      <c r="D8" s="1279"/>
      <c r="E8" s="4075"/>
      <c r="F8" s="4075"/>
      <c r="G8" s="4075"/>
      <c r="H8" s="4075"/>
      <c r="I8" s="4095"/>
      <c r="J8" s="4095"/>
      <c r="K8" s="4072" t="e">
        <f>J7&amp;".1"</f>
        <v>#N/A</v>
      </c>
      <c r="L8" s="1280" t="s">
        <v>401</v>
      </c>
      <c r="M8" s="462"/>
      <c r="N8" s="1282"/>
      <c r="O8" s="1282"/>
      <c r="P8" s="4073"/>
      <c r="Q8" s="4073"/>
      <c r="R8" s="282">
        <v>1</v>
      </c>
      <c r="S8" s="1253" t="e">
        <f>$K8</f>
        <v>#N/A</v>
      </c>
      <c r="T8" s="1264"/>
      <c r="U8" s="219"/>
      <c r="V8" s="668"/>
      <c r="W8" s="251"/>
      <c r="X8" s="668"/>
      <c r="Y8" s="1176"/>
      <c r="Z8" s="4077"/>
      <c r="AA8" s="3927" t="s">
        <v>65</v>
      </c>
      <c r="AB8" s="4077"/>
      <c r="AC8" s="3927" t="s">
        <v>65</v>
      </c>
      <c r="AD8" s="668"/>
      <c r="AE8" s="251"/>
      <c r="AF8" s="668"/>
      <c r="AG8" s="1176"/>
      <c r="AH8" s="4077"/>
      <c r="AI8" s="3927" t="s">
        <v>65</v>
      </c>
      <c r="AJ8" s="4077"/>
      <c r="AK8" s="3927" t="s">
        <v>65</v>
      </c>
      <c r="AL8" s="1946"/>
      <c r="AM8" s="1947"/>
      <c r="AN8" s="1946"/>
      <c r="AO8" s="1948"/>
      <c r="AP8" s="4077"/>
      <c r="AQ8" s="3927" t="s">
        <v>65</v>
      </c>
      <c r="AR8" s="4077"/>
      <c r="AS8" s="3927" t="s">
        <v>65</v>
      </c>
      <c r="AT8" s="1946"/>
      <c r="AU8" s="1947"/>
      <c r="AV8" s="1946"/>
      <c r="AW8" s="1948"/>
      <c r="AX8" s="4077"/>
      <c r="AY8" s="3927" t="s">
        <v>65</v>
      </c>
      <c r="AZ8" s="4077"/>
      <c r="BA8" s="3927" t="s">
        <v>65</v>
      </c>
      <c r="BB8" s="1946"/>
      <c r="BC8" s="1947"/>
      <c r="BD8" s="1946"/>
      <c r="BE8" s="1948"/>
      <c r="BF8" s="4077"/>
      <c r="BG8" s="3927" t="s">
        <v>65</v>
      </c>
      <c r="BH8" s="4077"/>
      <c r="BI8" s="3927" t="s">
        <v>65</v>
      </c>
      <c r="BJ8" s="1946"/>
      <c r="BK8" s="1947"/>
      <c r="BL8" s="1946"/>
      <c r="BM8" s="1948"/>
      <c r="BN8" s="4077"/>
      <c r="BO8" s="3927" t="s">
        <v>65</v>
      </c>
      <c r="BP8" s="4077"/>
      <c r="BQ8" s="3927" t="s">
        <v>65</v>
      </c>
      <c r="BR8" s="1946"/>
      <c r="BS8" s="1947"/>
      <c r="BT8" s="1946"/>
      <c r="BU8" s="1948"/>
      <c r="BV8" s="4077"/>
      <c r="BW8" s="3927" t="s">
        <v>65</v>
      </c>
      <c r="BX8" s="4077"/>
      <c r="BY8" s="3927" t="s">
        <v>65</v>
      </c>
      <c r="BZ8" s="1946"/>
      <c r="CA8" s="1947"/>
      <c r="CB8" s="1946"/>
      <c r="CC8" s="1948"/>
      <c r="CD8" s="4077"/>
      <c r="CE8" s="3927" t="s">
        <v>65</v>
      </c>
      <c r="CF8" s="4077"/>
      <c r="CG8" s="3927" t="s">
        <v>65</v>
      </c>
      <c r="CH8" s="1946"/>
      <c r="CI8" s="1947"/>
      <c r="CJ8" s="1946"/>
      <c r="CK8" s="1948"/>
      <c r="CL8" s="4077"/>
      <c r="CM8" s="3927" t="s">
        <v>65</v>
      </c>
      <c r="CN8" s="4077"/>
      <c r="CO8" s="3927" t="s">
        <v>65</v>
      </c>
      <c r="CP8" s="1946"/>
      <c r="CQ8" s="1947"/>
      <c r="CR8" s="1946"/>
      <c r="CS8" s="1948"/>
      <c r="CT8" s="4077"/>
      <c r="CU8" s="3927" t="s">
        <v>65</v>
      </c>
      <c r="CV8" s="4077"/>
      <c r="CW8" s="3927" t="s">
        <v>65</v>
      </c>
      <c r="CX8" s="1946"/>
      <c r="CY8" s="1947"/>
      <c r="CZ8" s="1946"/>
      <c r="DA8" s="1948"/>
      <c r="DB8" s="4077"/>
      <c r="DC8" s="3927" t="s">
        <v>65</v>
      </c>
      <c r="DD8" s="4077"/>
      <c r="DE8" s="3927" t="s">
        <v>65</v>
      </c>
      <c r="DF8" s="1946"/>
      <c r="DG8" s="1947"/>
      <c r="DH8" s="1946"/>
      <c r="DI8" s="1948"/>
      <c r="DJ8" s="4077"/>
      <c r="DK8" s="3927" t="s">
        <v>65</v>
      </c>
      <c r="DL8" s="4077"/>
      <c r="DM8" s="3927" t="s">
        <v>65</v>
      </c>
      <c r="DN8" s="1946"/>
      <c r="DO8" s="1947"/>
      <c r="DP8" s="1946"/>
      <c r="DQ8" s="1948"/>
      <c r="DR8" s="4077"/>
      <c r="DS8" s="3927" t="s">
        <v>65</v>
      </c>
      <c r="DT8" s="4077"/>
      <c r="DU8" s="3927" t="s">
        <v>65</v>
      </c>
      <c r="DV8" s="1946"/>
      <c r="DW8" s="1947"/>
      <c r="DX8" s="1946"/>
      <c r="DY8" s="1948"/>
      <c r="DZ8" s="4077"/>
      <c r="EA8" s="3927" t="s">
        <v>65</v>
      </c>
      <c r="EB8" s="4077"/>
      <c r="EC8" s="3927" t="s">
        <v>65</v>
      </c>
      <c r="ED8" s="1946"/>
      <c r="EE8" s="1947"/>
      <c r="EF8" s="1946"/>
      <c r="EG8" s="1948"/>
      <c r="EH8" s="4077"/>
      <c r="EI8" s="3927" t="s">
        <v>65</v>
      </c>
      <c r="EJ8" s="4077"/>
      <c r="EK8" s="3927" t="s">
        <v>65</v>
      </c>
      <c r="EL8" s="251"/>
      <c r="EM8" s="4069" t="s">
        <v>402</v>
      </c>
      <c r="EN8" s="437" t="e">
        <f ca="1">STRCHECKDATE(V9:EL9)</f>
        <v>#NAME?</v>
      </c>
      <c r="EO8" s="426"/>
      <c r="EP8" s="426" t="str">
        <f t="shared" si="0"/>
        <v/>
      </c>
      <c r="EQ8" s="426"/>
      <c r="ER8" s="426"/>
    </row>
    <row r="9" spans="1:148" ht="0.75" hidden="1" customHeight="1">
      <c r="A9" s="1279"/>
      <c r="B9" s="1279"/>
      <c r="C9" s="1279"/>
      <c r="D9" s="1279"/>
      <c r="E9" s="4075"/>
      <c r="F9" s="4075"/>
      <c r="G9" s="4075"/>
      <c r="H9" s="4075"/>
      <c r="I9" s="4095"/>
      <c r="J9" s="4095"/>
      <c r="K9" s="4072"/>
      <c r="L9" s="1280"/>
      <c r="M9" s="462"/>
      <c r="N9" s="1282"/>
      <c r="O9" s="1282"/>
      <c r="P9" s="4073"/>
      <c r="Q9" s="4073"/>
      <c r="R9" s="282"/>
      <c r="S9" s="1259"/>
      <c r="T9" s="219"/>
      <c r="U9" s="219"/>
      <c r="V9" s="251"/>
      <c r="W9" s="251"/>
      <c r="X9" s="251"/>
      <c r="Y9" s="255" t="str">
        <f>Z8&amp;"-"&amp;AB8</f>
        <v>-</v>
      </c>
      <c r="Z9" s="4078"/>
      <c r="AA9" s="3927"/>
      <c r="AB9" s="4078"/>
      <c r="AC9" s="3927"/>
      <c r="AD9" s="251"/>
      <c r="AE9" s="251"/>
      <c r="AF9" s="251"/>
      <c r="AG9" s="255" t="str">
        <f>AH8&amp;"-"&amp;AJ8</f>
        <v>-</v>
      </c>
      <c r="AH9" s="4078"/>
      <c r="AI9" s="3927"/>
      <c r="AJ9" s="4078"/>
      <c r="AK9" s="3927"/>
      <c r="AL9" s="1947"/>
      <c r="AM9" s="1947"/>
      <c r="AN9" s="1947"/>
      <c r="AO9" s="1949" t="str">
        <f>AP8&amp;"-"&amp;AR8</f>
        <v>-</v>
      </c>
      <c r="AP9" s="4078"/>
      <c r="AQ9" s="3927"/>
      <c r="AR9" s="4078"/>
      <c r="AS9" s="3927"/>
      <c r="AT9" s="1947"/>
      <c r="AU9" s="1947"/>
      <c r="AV9" s="1947"/>
      <c r="AW9" s="1949" t="str">
        <f>AX8&amp;"-"&amp;AZ8</f>
        <v>-</v>
      </c>
      <c r="AX9" s="4078"/>
      <c r="AY9" s="3927"/>
      <c r="AZ9" s="4078"/>
      <c r="BA9" s="3927"/>
      <c r="BB9" s="1947"/>
      <c r="BC9" s="1947"/>
      <c r="BD9" s="1947"/>
      <c r="BE9" s="1949" t="str">
        <f>BF8&amp;"-"&amp;BH8</f>
        <v>-</v>
      </c>
      <c r="BF9" s="4078"/>
      <c r="BG9" s="3927"/>
      <c r="BH9" s="4078"/>
      <c r="BI9" s="3927"/>
      <c r="BJ9" s="1947"/>
      <c r="BK9" s="1947"/>
      <c r="BL9" s="1947"/>
      <c r="BM9" s="1949" t="str">
        <f>BN8&amp;"-"&amp;BP8</f>
        <v>-</v>
      </c>
      <c r="BN9" s="4078"/>
      <c r="BO9" s="3927"/>
      <c r="BP9" s="4078"/>
      <c r="BQ9" s="3927"/>
      <c r="BR9" s="1947"/>
      <c r="BS9" s="1947"/>
      <c r="BT9" s="1947"/>
      <c r="BU9" s="1949" t="str">
        <f>BV8&amp;"-"&amp;BX8</f>
        <v>-</v>
      </c>
      <c r="BV9" s="4078"/>
      <c r="BW9" s="3927"/>
      <c r="BX9" s="4078"/>
      <c r="BY9" s="3927"/>
      <c r="BZ9" s="1947"/>
      <c r="CA9" s="1947"/>
      <c r="CB9" s="1947"/>
      <c r="CC9" s="1949" t="str">
        <f>CD8&amp;"-"&amp;CF8</f>
        <v>-</v>
      </c>
      <c r="CD9" s="4078"/>
      <c r="CE9" s="3927"/>
      <c r="CF9" s="4078"/>
      <c r="CG9" s="3927"/>
      <c r="CH9" s="1947"/>
      <c r="CI9" s="1947"/>
      <c r="CJ9" s="1947"/>
      <c r="CK9" s="1949" t="str">
        <f>CL8&amp;"-"&amp;CN8</f>
        <v>-</v>
      </c>
      <c r="CL9" s="4078"/>
      <c r="CM9" s="3927"/>
      <c r="CN9" s="4078"/>
      <c r="CO9" s="3927"/>
      <c r="CP9" s="1947"/>
      <c r="CQ9" s="1947"/>
      <c r="CR9" s="1947"/>
      <c r="CS9" s="1949" t="str">
        <f>CT8&amp;"-"&amp;CV8</f>
        <v>-</v>
      </c>
      <c r="CT9" s="4078"/>
      <c r="CU9" s="3927"/>
      <c r="CV9" s="4078"/>
      <c r="CW9" s="3927"/>
      <c r="CX9" s="1947"/>
      <c r="CY9" s="1947"/>
      <c r="CZ9" s="1947"/>
      <c r="DA9" s="1949" t="str">
        <f>DB8&amp;"-"&amp;DD8</f>
        <v>-</v>
      </c>
      <c r="DB9" s="4078"/>
      <c r="DC9" s="3927"/>
      <c r="DD9" s="4078"/>
      <c r="DE9" s="3927"/>
      <c r="DF9" s="1947"/>
      <c r="DG9" s="1947"/>
      <c r="DH9" s="1947"/>
      <c r="DI9" s="1949" t="str">
        <f>DJ8&amp;"-"&amp;DL8</f>
        <v>-</v>
      </c>
      <c r="DJ9" s="4078"/>
      <c r="DK9" s="3927"/>
      <c r="DL9" s="4078"/>
      <c r="DM9" s="3927"/>
      <c r="DN9" s="1947"/>
      <c r="DO9" s="1947"/>
      <c r="DP9" s="1947"/>
      <c r="DQ9" s="1949" t="str">
        <f>DR8&amp;"-"&amp;DT8</f>
        <v>-</v>
      </c>
      <c r="DR9" s="4078"/>
      <c r="DS9" s="3927"/>
      <c r="DT9" s="4078"/>
      <c r="DU9" s="3927"/>
      <c r="DV9" s="1947"/>
      <c r="DW9" s="1947"/>
      <c r="DX9" s="1947"/>
      <c r="DY9" s="1949" t="str">
        <f>DZ8&amp;"-"&amp;EB8</f>
        <v>-</v>
      </c>
      <c r="DZ9" s="4078"/>
      <c r="EA9" s="3927"/>
      <c r="EB9" s="4078"/>
      <c r="EC9" s="3927"/>
      <c r="ED9" s="1947"/>
      <c r="EE9" s="1947"/>
      <c r="EF9" s="1947"/>
      <c r="EG9" s="1949" t="str">
        <f>EH8&amp;"-"&amp;EJ8</f>
        <v>-</v>
      </c>
      <c r="EH9" s="4078"/>
      <c r="EI9" s="3927"/>
      <c r="EJ9" s="4078"/>
      <c r="EK9" s="3927"/>
      <c r="EL9" s="251"/>
      <c r="EM9" s="4070"/>
      <c r="EO9" s="426"/>
      <c r="EP9" s="426" t="str">
        <f t="shared" si="0"/>
        <v/>
      </c>
      <c r="EQ9" s="426"/>
      <c r="ER9" s="426"/>
    </row>
    <row r="10" spans="1:148" ht="15" hidden="1" customHeight="1">
      <c r="A10" s="1279"/>
      <c r="B10" s="1279"/>
      <c r="C10" s="1279"/>
      <c r="D10" s="1279"/>
      <c r="E10" s="4075"/>
      <c r="F10" s="4075"/>
      <c r="G10" s="4075"/>
      <c r="H10" s="4075"/>
      <c r="I10" s="4095"/>
      <c r="J10" s="4072"/>
      <c r="K10" s="1279"/>
      <c r="L10" s="1280"/>
      <c r="M10" s="462"/>
      <c r="N10" s="1282"/>
      <c r="P10" s="4073"/>
      <c r="Q10" s="4073"/>
      <c r="R10" s="281"/>
      <c r="S10" s="1198"/>
      <c r="T10" s="207" t="s">
        <v>403</v>
      </c>
      <c r="U10" s="295"/>
      <c r="V10" s="295"/>
      <c r="W10" s="295"/>
      <c r="X10" s="295"/>
      <c r="Y10" s="295"/>
      <c r="Z10" s="295"/>
      <c r="AA10" s="295"/>
      <c r="AB10" s="295"/>
      <c r="AC10" s="295"/>
      <c r="AD10" s="295"/>
      <c r="AE10" s="295"/>
      <c r="AF10" s="295"/>
      <c r="AG10" s="295"/>
      <c r="AH10" s="295"/>
      <c r="AI10" s="295"/>
      <c r="AJ10" s="295"/>
      <c r="AK10" s="295"/>
      <c r="AL10" s="3175"/>
      <c r="AM10" s="3176"/>
      <c r="AN10" s="3177"/>
      <c r="AO10" s="3178"/>
      <c r="AP10" s="3179"/>
      <c r="AQ10" s="3180"/>
      <c r="AR10" s="3181"/>
      <c r="AS10" s="3182"/>
      <c r="AT10" s="3183"/>
      <c r="AU10" s="3184"/>
      <c r="AV10" s="3185"/>
      <c r="AW10" s="3186"/>
      <c r="AX10" s="3187"/>
      <c r="AY10" s="3188"/>
      <c r="AZ10" s="3189"/>
      <c r="BA10" s="3190"/>
      <c r="BB10" s="3191"/>
      <c r="BC10" s="3192"/>
      <c r="BD10" s="3193"/>
      <c r="BE10" s="3194"/>
      <c r="BF10" s="3195"/>
      <c r="BG10" s="3196"/>
      <c r="BH10" s="3197"/>
      <c r="BI10" s="3198"/>
      <c r="BJ10" s="3199"/>
      <c r="BK10" s="3200"/>
      <c r="BL10" s="3201"/>
      <c r="BM10" s="3202"/>
      <c r="BN10" s="3203"/>
      <c r="BO10" s="3204"/>
      <c r="BP10" s="3205"/>
      <c r="BQ10" s="3206"/>
      <c r="BR10" s="3207"/>
      <c r="BS10" s="3208"/>
      <c r="BT10" s="3209"/>
      <c r="BU10" s="3210"/>
      <c r="BV10" s="3211"/>
      <c r="BW10" s="3212"/>
      <c r="BX10" s="3213"/>
      <c r="BY10" s="3214"/>
      <c r="BZ10" s="3215"/>
      <c r="CA10" s="3216"/>
      <c r="CB10" s="3217"/>
      <c r="CC10" s="3218"/>
      <c r="CD10" s="3219"/>
      <c r="CE10" s="3220"/>
      <c r="CF10" s="3221"/>
      <c r="CG10" s="3222"/>
      <c r="CH10" s="3223"/>
      <c r="CI10" s="3224"/>
      <c r="CJ10" s="3225"/>
      <c r="CK10" s="3226"/>
      <c r="CL10" s="3227"/>
      <c r="CM10" s="3228"/>
      <c r="CN10" s="3229"/>
      <c r="CO10" s="3230"/>
      <c r="CP10" s="3231"/>
      <c r="CQ10" s="3232"/>
      <c r="CR10" s="3233"/>
      <c r="CS10" s="3234"/>
      <c r="CT10" s="3235"/>
      <c r="CU10" s="3236"/>
      <c r="CV10" s="3237"/>
      <c r="CW10" s="3238"/>
      <c r="CX10" s="3239"/>
      <c r="CY10" s="3240"/>
      <c r="CZ10" s="3241"/>
      <c r="DA10" s="3242"/>
      <c r="DB10" s="3243"/>
      <c r="DC10" s="3244"/>
      <c r="DD10" s="3245"/>
      <c r="DE10" s="3246"/>
      <c r="DF10" s="3247"/>
      <c r="DG10" s="3248"/>
      <c r="DH10" s="3249"/>
      <c r="DI10" s="3250"/>
      <c r="DJ10" s="3251"/>
      <c r="DK10" s="3252"/>
      <c r="DL10" s="3253"/>
      <c r="DM10" s="3254"/>
      <c r="DN10" s="3255"/>
      <c r="DO10" s="3256"/>
      <c r="DP10" s="3257"/>
      <c r="DQ10" s="3258"/>
      <c r="DR10" s="3259"/>
      <c r="DS10" s="3260"/>
      <c r="DT10" s="3261"/>
      <c r="DU10" s="3262"/>
      <c r="DV10" s="3263"/>
      <c r="DW10" s="3264"/>
      <c r="DX10" s="3265"/>
      <c r="DY10" s="3266"/>
      <c r="DZ10" s="3267"/>
      <c r="EA10" s="3268"/>
      <c r="EB10" s="3269"/>
      <c r="EC10" s="3270"/>
      <c r="ED10" s="3271"/>
      <c r="EE10" s="3272"/>
      <c r="EF10" s="3273"/>
      <c r="EG10" s="3274"/>
      <c r="EH10" s="3275"/>
      <c r="EI10" s="3276"/>
      <c r="EJ10" s="3277"/>
      <c r="EK10" s="3278"/>
      <c r="EL10" s="250"/>
      <c r="EM10" s="4071"/>
      <c r="EO10" s="426"/>
      <c r="EP10" s="426" t="str">
        <f t="shared" si="0"/>
        <v>Добавить вид теплоносителя (параметры теплоносителя)</v>
      </c>
      <c r="EQ10" s="426"/>
      <c r="ER10" s="426"/>
    </row>
    <row r="11" spans="1:148" ht="15" hidden="1" customHeight="1">
      <c r="A11" s="1279"/>
      <c r="B11" s="1279"/>
      <c r="C11" s="1279"/>
      <c r="D11" s="1279"/>
      <c r="E11" s="4075"/>
      <c r="F11" s="4075"/>
      <c r="G11" s="4075"/>
      <c r="H11" s="4075"/>
      <c r="I11" s="4072"/>
      <c r="J11" s="1279"/>
      <c r="K11" s="1279"/>
      <c r="L11" s="1280"/>
      <c r="M11" s="462"/>
      <c r="P11" s="4073"/>
      <c r="Q11" s="1248"/>
      <c r="R11" s="281"/>
      <c r="S11" s="1198"/>
      <c r="T11" s="206" t="s">
        <v>404</v>
      </c>
      <c r="U11" s="295"/>
      <c r="V11" s="295"/>
      <c r="W11" s="295"/>
      <c r="X11" s="295"/>
      <c r="Y11" s="295"/>
      <c r="Z11" s="295"/>
      <c r="AA11" s="295"/>
      <c r="AB11" s="295"/>
      <c r="AC11" s="294"/>
      <c r="AD11" s="295"/>
      <c r="AE11" s="295"/>
      <c r="AF11" s="295"/>
      <c r="AG11" s="295"/>
      <c r="AH11" s="295"/>
      <c r="AI11" s="295"/>
      <c r="AJ11" s="295"/>
      <c r="AK11" s="294"/>
      <c r="AL11" s="3279"/>
      <c r="AM11" s="3280"/>
      <c r="AN11" s="3281"/>
      <c r="AO11" s="3282"/>
      <c r="AP11" s="3283"/>
      <c r="AQ11" s="3284"/>
      <c r="AR11" s="3285"/>
      <c r="AS11" s="3286"/>
      <c r="AT11" s="3287"/>
      <c r="AU11" s="3288"/>
      <c r="AV11" s="3289"/>
      <c r="AW11" s="3290"/>
      <c r="AX11" s="3291"/>
      <c r="AY11" s="3292"/>
      <c r="AZ11" s="3293"/>
      <c r="BA11" s="3294"/>
      <c r="BB11" s="3295"/>
      <c r="BC11" s="3296"/>
      <c r="BD11" s="3297"/>
      <c r="BE11" s="3298"/>
      <c r="BF11" s="3299"/>
      <c r="BG11" s="3300"/>
      <c r="BH11" s="3301"/>
      <c r="BI11" s="3302"/>
      <c r="BJ11" s="3303"/>
      <c r="BK11" s="3304"/>
      <c r="BL11" s="3305"/>
      <c r="BM11" s="3306"/>
      <c r="BN11" s="3307"/>
      <c r="BO11" s="3308"/>
      <c r="BP11" s="3309"/>
      <c r="BQ11" s="3310"/>
      <c r="BR11" s="3311"/>
      <c r="BS11" s="3312"/>
      <c r="BT11" s="3313"/>
      <c r="BU11" s="3314"/>
      <c r="BV11" s="3315"/>
      <c r="BW11" s="3316"/>
      <c r="BX11" s="3317"/>
      <c r="BY11" s="3318"/>
      <c r="BZ11" s="3319"/>
      <c r="CA11" s="3320"/>
      <c r="CB11" s="3321"/>
      <c r="CC11" s="3322"/>
      <c r="CD11" s="3323"/>
      <c r="CE11" s="3324"/>
      <c r="CF11" s="3325"/>
      <c r="CG11" s="3326"/>
      <c r="CH11" s="3327"/>
      <c r="CI11" s="3328"/>
      <c r="CJ11" s="3329"/>
      <c r="CK11" s="3330"/>
      <c r="CL11" s="3331"/>
      <c r="CM11" s="3332"/>
      <c r="CN11" s="3333"/>
      <c r="CO11" s="3334"/>
      <c r="CP11" s="3335"/>
      <c r="CQ11" s="3336"/>
      <c r="CR11" s="3337"/>
      <c r="CS11" s="3338"/>
      <c r="CT11" s="3339"/>
      <c r="CU11" s="3340"/>
      <c r="CV11" s="3341"/>
      <c r="CW11" s="3342"/>
      <c r="CX11" s="3343"/>
      <c r="CY11" s="3344"/>
      <c r="CZ11" s="3345"/>
      <c r="DA11" s="3346"/>
      <c r="DB11" s="3347"/>
      <c r="DC11" s="3348"/>
      <c r="DD11" s="3349"/>
      <c r="DE11" s="3350"/>
      <c r="DF11" s="3351"/>
      <c r="DG11" s="3352"/>
      <c r="DH11" s="3353"/>
      <c r="DI11" s="3354"/>
      <c r="DJ11" s="3355"/>
      <c r="DK11" s="3356"/>
      <c r="DL11" s="3357"/>
      <c r="DM11" s="3358"/>
      <c r="DN11" s="3359"/>
      <c r="DO11" s="3360"/>
      <c r="DP11" s="3361"/>
      <c r="DQ11" s="3362"/>
      <c r="DR11" s="3363"/>
      <c r="DS11" s="3364"/>
      <c r="DT11" s="3365"/>
      <c r="DU11" s="3366"/>
      <c r="DV11" s="3367"/>
      <c r="DW11" s="3368"/>
      <c r="DX11" s="3369"/>
      <c r="DY11" s="3370"/>
      <c r="DZ11" s="3371"/>
      <c r="EA11" s="3372"/>
      <c r="EB11" s="3373"/>
      <c r="EC11" s="3374"/>
      <c r="ED11" s="3375"/>
      <c r="EE11" s="3376"/>
      <c r="EF11" s="3377"/>
      <c r="EG11" s="3378"/>
      <c r="EH11" s="3379"/>
      <c r="EI11" s="3380"/>
      <c r="EJ11" s="3381"/>
      <c r="EK11" s="3382"/>
      <c r="EL11" s="295"/>
      <c r="EM11" s="222"/>
      <c r="EO11" s="426"/>
      <c r="EP11" s="426" t="str">
        <f t="shared" si="0"/>
        <v>Добавить группу потребителей</v>
      </c>
      <c r="EQ11" s="426"/>
      <c r="ER11" s="426"/>
    </row>
    <row r="12" spans="1:148" ht="14.25" hidden="1" customHeight="1">
      <c r="A12" s="1279"/>
      <c r="B12" s="1279"/>
      <c r="C12" s="1279"/>
      <c r="D12" s="1279"/>
      <c r="E12" s="4075"/>
      <c r="F12" s="4075"/>
      <c r="G12" s="4075"/>
      <c r="H12" s="4074"/>
      <c r="I12" s="1279"/>
      <c r="J12" s="1279"/>
      <c r="K12" s="1279"/>
      <c r="L12" s="1280"/>
      <c r="M12" s="1281"/>
      <c r="N12" s="1281"/>
      <c r="O12" s="462"/>
      <c r="P12" s="285"/>
      <c r="Q12" s="304"/>
      <c r="R12" s="280"/>
      <c r="S12" s="1198"/>
      <c r="T12" s="292" t="s">
        <v>405</v>
      </c>
      <c r="U12" s="295"/>
      <c r="V12" s="295"/>
      <c r="W12" s="295"/>
      <c r="X12" s="295"/>
      <c r="Y12" s="295"/>
      <c r="Z12" s="295"/>
      <c r="AA12" s="295"/>
      <c r="AB12" s="295"/>
      <c r="AC12" s="294"/>
      <c r="AD12" s="295"/>
      <c r="AE12" s="295"/>
      <c r="AF12" s="295"/>
      <c r="AG12" s="295"/>
      <c r="AH12" s="295"/>
      <c r="AI12" s="295"/>
      <c r="AJ12" s="295"/>
      <c r="AK12" s="294"/>
      <c r="AL12" s="3383"/>
      <c r="AM12" s="3384"/>
      <c r="AN12" s="3385"/>
      <c r="AO12" s="3386"/>
      <c r="AP12" s="3387"/>
      <c r="AQ12" s="3388"/>
      <c r="AR12" s="3389"/>
      <c r="AS12" s="3390"/>
      <c r="AT12" s="3391"/>
      <c r="AU12" s="3392"/>
      <c r="AV12" s="3393"/>
      <c r="AW12" s="3394"/>
      <c r="AX12" s="3395"/>
      <c r="AY12" s="3396"/>
      <c r="AZ12" s="3397"/>
      <c r="BA12" s="3398"/>
      <c r="BB12" s="3399"/>
      <c r="BC12" s="3400"/>
      <c r="BD12" s="3401"/>
      <c r="BE12" s="3402"/>
      <c r="BF12" s="3403"/>
      <c r="BG12" s="3404"/>
      <c r="BH12" s="3405"/>
      <c r="BI12" s="3406"/>
      <c r="BJ12" s="3407"/>
      <c r="BK12" s="3408"/>
      <c r="BL12" s="3409"/>
      <c r="BM12" s="3410"/>
      <c r="BN12" s="3411"/>
      <c r="BO12" s="3412"/>
      <c r="BP12" s="3413"/>
      <c r="BQ12" s="3414"/>
      <c r="BR12" s="3415"/>
      <c r="BS12" s="3416"/>
      <c r="BT12" s="3417"/>
      <c r="BU12" s="3418"/>
      <c r="BV12" s="3419"/>
      <c r="BW12" s="3420"/>
      <c r="BX12" s="3421"/>
      <c r="BY12" s="3422"/>
      <c r="BZ12" s="3423"/>
      <c r="CA12" s="3424"/>
      <c r="CB12" s="3425"/>
      <c r="CC12" s="3426"/>
      <c r="CD12" s="3427"/>
      <c r="CE12" s="3428"/>
      <c r="CF12" s="3429"/>
      <c r="CG12" s="3430"/>
      <c r="CH12" s="3431"/>
      <c r="CI12" s="3432"/>
      <c r="CJ12" s="3433"/>
      <c r="CK12" s="3434"/>
      <c r="CL12" s="3435"/>
      <c r="CM12" s="3436"/>
      <c r="CN12" s="3437"/>
      <c r="CO12" s="3438"/>
      <c r="CP12" s="3439"/>
      <c r="CQ12" s="3440"/>
      <c r="CR12" s="3441"/>
      <c r="CS12" s="3442"/>
      <c r="CT12" s="3443"/>
      <c r="CU12" s="3444"/>
      <c r="CV12" s="3445"/>
      <c r="CW12" s="3446"/>
      <c r="CX12" s="3447"/>
      <c r="CY12" s="3448"/>
      <c r="CZ12" s="3449"/>
      <c r="DA12" s="3450"/>
      <c r="DB12" s="3451"/>
      <c r="DC12" s="3452"/>
      <c r="DD12" s="3453"/>
      <c r="DE12" s="3454"/>
      <c r="DF12" s="3455"/>
      <c r="DG12" s="3456"/>
      <c r="DH12" s="3457"/>
      <c r="DI12" s="3458"/>
      <c r="DJ12" s="3459"/>
      <c r="DK12" s="3460"/>
      <c r="DL12" s="3461"/>
      <c r="DM12" s="3462"/>
      <c r="DN12" s="3463"/>
      <c r="DO12" s="3464"/>
      <c r="DP12" s="3465"/>
      <c r="DQ12" s="3466"/>
      <c r="DR12" s="3467"/>
      <c r="DS12" s="3468"/>
      <c r="DT12" s="3469"/>
      <c r="DU12" s="3470"/>
      <c r="DV12" s="3471"/>
      <c r="DW12" s="3472"/>
      <c r="DX12" s="3473"/>
      <c r="DY12" s="3474"/>
      <c r="DZ12" s="3475"/>
      <c r="EA12" s="3476"/>
      <c r="EB12" s="3477"/>
      <c r="EC12" s="3478"/>
      <c r="ED12" s="3479"/>
      <c r="EE12" s="3480"/>
      <c r="EF12" s="3481"/>
      <c r="EG12" s="3482"/>
      <c r="EH12" s="3483"/>
      <c r="EI12" s="3484"/>
      <c r="EJ12" s="3485"/>
      <c r="EK12" s="3486"/>
      <c r="EL12" s="295"/>
      <c r="EM12" s="222"/>
      <c r="EO12" s="426"/>
      <c r="EP12" s="426" t="str">
        <f t="shared" si="0"/>
        <v>Добавить схему подключения</v>
      </c>
      <c r="EQ12" s="426"/>
      <c r="ER12" s="426"/>
    </row>
    <row r="13" spans="1:148" s="2550" customFormat="1" ht="0.75" hidden="1" customHeight="1">
      <c r="A13" s="1232"/>
      <c r="B13" s="1232"/>
      <c r="C13" s="1232"/>
      <c r="D13" s="1232"/>
      <c r="E13" s="4075"/>
      <c r="F13" s="4075"/>
      <c r="G13" s="4074"/>
      <c r="H13" s="1232"/>
      <c r="I13" s="1232"/>
      <c r="J13" s="1232"/>
      <c r="K13" s="1232"/>
      <c r="L13" s="1256"/>
      <c r="M13" s="1233"/>
      <c r="N13" s="1233"/>
      <c r="P13" s="1234"/>
      <c r="Q13" s="1235"/>
      <c r="R13" s="1234"/>
      <c r="S13" s="1236"/>
      <c r="T13" s="1237" t="s">
        <v>166</v>
      </c>
      <c r="U13" s="1238"/>
      <c r="V13" s="1238"/>
      <c r="W13" s="1238"/>
      <c r="X13" s="1238"/>
      <c r="Y13" s="1238"/>
      <c r="Z13" s="1238"/>
      <c r="AA13" s="1238"/>
      <c r="AB13" s="1238"/>
      <c r="AC13" s="1238"/>
      <c r="AD13" s="1238"/>
      <c r="AE13" s="1238"/>
      <c r="AF13" s="1238"/>
      <c r="AG13" s="1238"/>
      <c r="AH13" s="1238"/>
      <c r="AI13" s="1238"/>
      <c r="AJ13" s="1238"/>
      <c r="AK13" s="1238"/>
      <c r="AL13" s="2551"/>
      <c r="AM13" s="2551"/>
      <c r="AN13" s="2551"/>
      <c r="AO13" s="2551"/>
      <c r="AP13" s="2551"/>
      <c r="AQ13" s="2551"/>
      <c r="AR13" s="2551"/>
      <c r="AS13" s="2551"/>
      <c r="AT13" s="2551"/>
      <c r="AU13" s="2551"/>
      <c r="AV13" s="2551"/>
      <c r="AW13" s="2551"/>
      <c r="AX13" s="2551"/>
      <c r="AY13" s="2551"/>
      <c r="AZ13" s="2551"/>
      <c r="BA13" s="2551"/>
      <c r="BB13" s="2551"/>
      <c r="BC13" s="2551"/>
      <c r="BD13" s="2551"/>
      <c r="BE13" s="2551"/>
      <c r="BF13" s="2551"/>
      <c r="BG13" s="2551"/>
      <c r="BH13" s="2551"/>
      <c r="BI13" s="2551"/>
      <c r="BJ13" s="2551"/>
      <c r="BK13" s="2551"/>
      <c r="BL13" s="2551"/>
      <c r="BM13" s="2551"/>
      <c r="BN13" s="2551"/>
      <c r="BO13" s="2551"/>
      <c r="BP13" s="2551"/>
      <c r="BQ13" s="2551"/>
      <c r="BR13" s="2551"/>
      <c r="BS13" s="2551"/>
      <c r="BT13" s="2551"/>
      <c r="BU13" s="2551"/>
      <c r="BV13" s="2551"/>
      <c r="BW13" s="2551"/>
      <c r="BX13" s="2551"/>
      <c r="BY13" s="2551"/>
      <c r="BZ13" s="2551"/>
      <c r="CA13" s="2551"/>
      <c r="CB13" s="2551"/>
      <c r="CC13" s="2551"/>
      <c r="CD13" s="2551"/>
      <c r="CE13" s="2551"/>
      <c r="CF13" s="2551"/>
      <c r="CG13" s="2551"/>
      <c r="CH13" s="2551"/>
      <c r="CI13" s="2551"/>
      <c r="CJ13" s="2551"/>
      <c r="CK13" s="2551"/>
      <c r="CL13" s="2551"/>
      <c r="CM13" s="2551"/>
      <c r="CN13" s="2551"/>
      <c r="CO13" s="2551"/>
      <c r="CP13" s="2551"/>
      <c r="CQ13" s="2551"/>
      <c r="CR13" s="2551"/>
      <c r="CS13" s="2551"/>
      <c r="CT13" s="2551"/>
      <c r="CU13" s="2551"/>
      <c r="CV13" s="2551"/>
      <c r="CW13" s="2551"/>
      <c r="CX13" s="2551"/>
      <c r="CY13" s="2551"/>
      <c r="CZ13" s="2551"/>
      <c r="DA13" s="2551"/>
      <c r="DB13" s="2551"/>
      <c r="DC13" s="2551"/>
      <c r="DD13" s="2551"/>
      <c r="DE13" s="2551"/>
      <c r="DF13" s="2551"/>
      <c r="DG13" s="2551"/>
      <c r="DH13" s="2551"/>
      <c r="DI13" s="2551"/>
      <c r="DJ13" s="2551"/>
      <c r="DK13" s="2551"/>
      <c r="DL13" s="2551"/>
      <c r="DM13" s="2551"/>
      <c r="DN13" s="2551"/>
      <c r="DO13" s="2551"/>
      <c r="DP13" s="2551"/>
      <c r="DQ13" s="2551"/>
      <c r="DR13" s="2551"/>
      <c r="DS13" s="2551"/>
      <c r="DT13" s="2551"/>
      <c r="DU13" s="2551"/>
      <c r="DV13" s="2551"/>
      <c r="DW13" s="2551"/>
      <c r="DX13" s="2551"/>
      <c r="DY13" s="2551"/>
      <c r="DZ13" s="2551"/>
      <c r="EA13" s="2551"/>
      <c r="EB13" s="2551"/>
      <c r="EC13" s="2551"/>
      <c r="ED13" s="2551"/>
      <c r="EE13" s="2551"/>
      <c r="EF13" s="2551"/>
      <c r="EG13" s="2551"/>
      <c r="EH13" s="2551"/>
      <c r="EI13" s="2551"/>
      <c r="EJ13" s="2551"/>
      <c r="EK13" s="2551"/>
      <c r="EL13" s="1238"/>
      <c r="EM13" s="1238"/>
      <c r="EO13" s="706"/>
      <c r="EP13" s="706" t="str">
        <f t="shared" si="0"/>
        <v>Добавить источник для дифференциации</v>
      </c>
      <c r="EQ13" s="706"/>
      <c r="ER13" s="706"/>
    </row>
    <row r="14" spans="1:148" s="2550" customFormat="1" ht="0.75" hidden="1" customHeight="1">
      <c r="A14" s="1232"/>
      <c r="B14" s="1232"/>
      <c r="C14" s="1232"/>
      <c r="D14" s="1232"/>
      <c r="E14" s="4075"/>
      <c r="F14" s="4074"/>
      <c r="G14" s="1232"/>
      <c r="H14" s="1232"/>
      <c r="I14" s="1232"/>
      <c r="J14" s="1232"/>
      <c r="K14" s="1232"/>
      <c r="L14" s="1256"/>
      <c r="M14" s="1239"/>
      <c r="N14" s="1239"/>
      <c r="P14" s="1234"/>
      <c r="Q14" s="1235"/>
      <c r="R14" s="1234"/>
      <c r="S14" s="1240"/>
      <c r="T14" s="1241" t="s">
        <v>167</v>
      </c>
      <c r="U14" s="1242"/>
      <c r="V14" s="1242"/>
      <c r="W14" s="1242"/>
      <c r="X14" s="1242"/>
      <c r="Y14" s="1242"/>
      <c r="Z14" s="1242"/>
      <c r="AA14" s="1242"/>
      <c r="AB14" s="1242"/>
      <c r="AC14" s="1242"/>
      <c r="AD14" s="1242"/>
      <c r="AE14" s="1242"/>
      <c r="AF14" s="1242"/>
      <c r="AG14" s="1242"/>
      <c r="AH14" s="1242"/>
      <c r="AI14" s="1242"/>
      <c r="AJ14" s="1242"/>
      <c r="AK14" s="1242"/>
      <c r="AL14" s="2552"/>
      <c r="AM14" s="2552"/>
      <c r="AN14" s="2552"/>
      <c r="AO14" s="2552"/>
      <c r="AP14" s="2552"/>
      <c r="AQ14" s="2552"/>
      <c r="AR14" s="2552"/>
      <c r="AS14" s="2552"/>
      <c r="AT14" s="2552"/>
      <c r="AU14" s="2552"/>
      <c r="AV14" s="2552"/>
      <c r="AW14" s="2552"/>
      <c r="AX14" s="2552"/>
      <c r="AY14" s="2552"/>
      <c r="AZ14" s="2552"/>
      <c r="BA14" s="2552"/>
      <c r="BB14" s="2552"/>
      <c r="BC14" s="2552"/>
      <c r="BD14" s="2552"/>
      <c r="BE14" s="2552"/>
      <c r="BF14" s="2552"/>
      <c r="BG14" s="2552"/>
      <c r="BH14" s="2552"/>
      <c r="BI14" s="2552"/>
      <c r="BJ14" s="2552"/>
      <c r="BK14" s="2552"/>
      <c r="BL14" s="2552"/>
      <c r="BM14" s="2552"/>
      <c r="BN14" s="2552"/>
      <c r="BO14" s="2552"/>
      <c r="BP14" s="2552"/>
      <c r="BQ14" s="2552"/>
      <c r="BR14" s="2552"/>
      <c r="BS14" s="2552"/>
      <c r="BT14" s="2552"/>
      <c r="BU14" s="2552"/>
      <c r="BV14" s="2552"/>
      <c r="BW14" s="2552"/>
      <c r="BX14" s="2552"/>
      <c r="BY14" s="2552"/>
      <c r="BZ14" s="2552"/>
      <c r="CA14" s="2552"/>
      <c r="CB14" s="2552"/>
      <c r="CC14" s="2552"/>
      <c r="CD14" s="2552"/>
      <c r="CE14" s="2552"/>
      <c r="CF14" s="2552"/>
      <c r="CG14" s="2552"/>
      <c r="CH14" s="2552"/>
      <c r="CI14" s="2552"/>
      <c r="CJ14" s="2552"/>
      <c r="CK14" s="2552"/>
      <c r="CL14" s="2552"/>
      <c r="CM14" s="2552"/>
      <c r="CN14" s="2552"/>
      <c r="CO14" s="2552"/>
      <c r="CP14" s="2552"/>
      <c r="CQ14" s="2552"/>
      <c r="CR14" s="2552"/>
      <c r="CS14" s="2552"/>
      <c r="CT14" s="2552"/>
      <c r="CU14" s="2552"/>
      <c r="CV14" s="2552"/>
      <c r="CW14" s="2552"/>
      <c r="CX14" s="2552"/>
      <c r="CY14" s="2552"/>
      <c r="CZ14" s="2552"/>
      <c r="DA14" s="2552"/>
      <c r="DB14" s="2552"/>
      <c r="DC14" s="2552"/>
      <c r="DD14" s="2552"/>
      <c r="DE14" s="2552"/>
      <c r="DF14" s="2552"/>
      <c r="DG14" s="2552"/>
      <c r="DH14" s="2552"/>
      <c r="DI14" s="2552"/>
      <c r="DJ14" s="2552"/>
      <c r="DK14" s="2552"/>
      <c r="DL14" s="2552"/>
      <c r="DM14" s="2552"/>
      <c r="DN14" s="2552"/>
      <c r="DO14" s="2552"/>
      <c r="DP14" s="2552"/>
      <c r="DQ14" s="2552"/>
      <c r="DR14" s="2552"/>
      <c r="DS14" s="2552"/>
      <c r="DT14" s="2552"/>
      <c r="DU14" s="2552"/>
      <c r="DV14" s="2552"/>
      <c r="DW14" s="2552"/>
      <c r="DX14" s="2552"/>
      <c r="DY14" s="2552"/>
      <c r="DZ14" s="2552"/>
      <c r="EA14" s="2552"/>
      <c r="EB14" s="2552"/>
      <c r="EC14" s="2552"/>
      <c r="ED14" s="2552"/>
      <c r="EE14" s="2552"/>
      <c r="EF14" s="2552"/>
      <c r="EG14" s="2552"/>
      <c r="EH14" s="2552"/>
      <c r="EI14" s="2552"/>
      <c r="EJ14" s="2552"/>
      <c r="EK14" s="2552"/>
      <c r="EL14" s="1242"/>
      <c r="EM14" s="1242"/>
      <c r="EO14" s="706"/>
      <c r="EP14" s="706" t="str">
        <f t="shared" si="0"/>
        <v>Добавить централизованную систему для дифференциации</v>
      </c>
      <c r="EQ14" s="706"/>
      <c r="ER14" s="706"/>
    </row>
    <row r="15" spans="1:148" s="2550" customFormat="1" ht="0.75" hidden="1" customHeight="1">
      <c r="A15" s="1232"/>
      <c r="B15" s="1232"/>
      <c r="C15" s="1232"/>
      <c r="D15" s="1232"/>
      <c r="E15" s="4074"/>
      <c r="F15" s="1232"/>
      <c r="G15" s="1232"/>
      <c r="H15" s="1232"/>
      <c r="I15" s="1232"/>
      <c r="J15" s="1232"/>
      <c r="K15" s="1232"/>
      <c r="L15" s="1256"/>
      <c r="M15" s="1239"/>
      <c r="N15" s="1239"/>
      <c r="P15" s="1234"/>
      <c r="Q15" s="1235"/>
      <c r="R15" s="1234"/>
      <c r="S15" s="1240"/>
      <c r="T15" s="1243" t="s">
        <v>168</v>
      </c>
      <c r="U15" s="1242"/>
      <c r="V15" s="1242"/>
      <c r="W15" s="1242"/>
      <c r="X15" s="1242"/>
      <c r="Y15" s="1242"/>
      <c r="Z15" s="1242"/>
      <c r="AA15" s="1242"/>
      <c r="AB15" s="1242"/>
      <c r="AC15" s="1242"/>
      <c r="AD15" s="1242"/>
      <c r="AE15" s="1242"/>
      <c r="AF15" s="1242"/>
      <c r="AG15" s="1242"/>
      <c r="AH15" s="1242"/>
      <c r="AI15" s="1242"/>
      <c r="AJ15" s="1242"/>
      <c r="AK15" s="1242"/>
      <c r="AL15" s="2552"/>
      <c r="AM15" s="2552"/>
      <c r="AN15" s="2552"/>
      <c r="AO15" s="2552"/>
      <c r="AP15" s="2552"/>
      <c r="AQ15" s="2552"/>
      <c r="AR15" s="2552"/>
      <c r="AS15" s="2552"/>
      <c r="AT15" s="2552"/>
      <c r="AU15" s="2552"/>
      <c r="AV15" s="2552"/>
      <c r="AW15" s="2552"/>
      <c r="AX15" s="2552"/>
      <c r="AY15" s="2552"/>
      <c r="AZ15" s="2552"/>
      <c r="BA15" s="2552"/>
      <c r="BB15" s="2552"/>
      <c r="BC15" s="2552"/>
      <c r="BD15" s="2552"/>
      <c r="BE15" s="2552"/>
      <c r="BF15" s="2552"/>
      <c r="BG15" s="2552"/>
      <c r="BH15" s="2552"/>
      <c r="BI15" s="2552"/>
      <c r="BJ15" s="2552"/>
      <c r="BK15" s="2552"/>
      <c r="BL15" s="2552"/>
      <c r="BM15" s="2552"/>
      <c r="BN15" s="2552"/>
      <c r="BO15" s="2552"/>
      <c r="BP15" s="2552"/>
      <c r="BQ15" s="2552"/>
      <c r="BR15" s="2552"/>
      <c r="BS15" s="2552"/>
      <c r="BT15" s="2552"/>
      <c r="BU15" s="2552"/>
      <c r="BV15" s="2552"/>
      <c r="BW15" s="2552"/>
      <c r="BX15" s="2552"/>
      <c r="BY15" s="2552"/>
      <c r="BZ15" s="2552"/>
      <c r="CA15" s="2552"/>
      <c r="CB15" s="2552"/>
      <c r="CC15" s="2552"/>
      <c r="CD15" s="2552"/>
      <c r="CE15" s="2552"/>
      <c r="CF15" s="2552"/>
      <c r="CG15" s="2552"/>
      <c r="CH15" s="2552"/>
      <c r="CI15" s="2552"/>
      <c r="CJ15" s="2552"/>
      <c r="CK15" s="2552"/>
      <c r="CL15" s="2552"/>
      <c r="CM15" s="2552"/>
      <c r="CN15" s="2552"/>
      <c r="CO15" s="2552"/>
      <c r="CP15" s="2552"/>
      <c r="CQ15" s="2552"/>
      <c r="CR15" s="2552"/>
      <c r="CS15" s="2552"/>
      <c r="CT15" s="2552"/>
      <c r="CU15" s="2552"/>
      <c r="CV15" s="2552"/>
      <c r="CW15" s="2552"/>
      <c r="CX15" s="2552"/>
      <c r="CY15" s="2552"/>
      <c r="CZ15" s="2552"/>
      <c r="DA15" s="2552"/>
      <c r="DB15" s="2552"/>
      <c r="DC15" s="2552"/>
      <c r="DD15" s="2552"/>
      <c r="DE15" s="2552"/>
      <c r="DF15" s="2552"/>
      <c r="DG15" s="2552"/>
      <c r="DH15" s="2552"/>
      <c r="DI15" s="2552"/>
      <c r="DJ15" s="2552"/>
      <c r="DK15" s="2552"/>
      <c r="DL15" s="2552"/>
      <c r="DM15" s="2552"/>
      <c r="DN15" s="2552"/>
      <c r="DO15" s="2552"/>
      <c r="DP15" s="2552"/>
      <c r="DQ15" s="2552"/>
      <c r="DR15" s="2552"/>
      <c r="DS15" s="2552"/>
      <c r="DT15" s="2552"/>
      <c r="DU15" s="2552"/>
      <c r="DV15" s="2552"/>
      <c r="DW15" s="2552"/>
      <c r="DX15" s="2552"/>
      <c r="DY15" s="2552"/>
      <c r="DZ15" s="2552"/>
      <c r="EA15" s="2552"/>
      <c r="EB15" s="2552"/>
      <c r="EC15" s="2552"/>
      <c r="ED15" s="2552"/>
      <c r="EE15" s="2552"/>
      <c r="EF15" s="2552"/>
      <c r="EG15" s="2552"/>
      <c r="EH15" s="2552"/>
      <c r="EI15" s="2552"/>
      <c r="EJ15" s="2552"/>
      <c r="EK15" s="2552"/>
      <c r="EL15" s="1242"/>
      <c r="EM15" s="1242"/>
      <c r="EO15" s="706"/>
      <c r="EP15" s="706" t="str">
        <f t="shared" si="0"/>
        <v>Добавить территорию для дифференциации</v>
      </c>
      <c r="EQ15" s="706"/>
      <c r="ER15" s="706"/>
    </row>
    <row r="16" spans="1:148" ht="14.25" hidden="1" customHeight="1">
      <c r="AC16" s="254"/>
      <c r="AK16" s="254"/>
      <c r="AL16" s="1945"/>
      <c r="AM16" s="1945"/>
      <c r="AN16" s="1945"/>
      <c r="AO16" s="1945"/>
      <c r="AP16" s="1945"/>
      <c r="AQ16" s="1945"/>
      <c r="AR16" s="1945"/>
      <c r="AS16" s="1945"/>
      <c r="AT16" s="1945"/>
      <c r="AU16" s="1945"/>
      <c r="AV16" s="1945"/>
      <c r="AW16" s="1945"/>
      <c r="AX16" s="1945"/>
      <c r="AY16" s="1945"/>
      <c r="AZ16" s="1945"/>
      <c r="BA16" s="1945"/>
      <c r="BB16" s="1945"/>
      <c r="BC16" s="1945"/>
      <c r="BD16" s="1945"/>
      <c r="BE16" s="1945"/>
      <c r="BF16" s="1945"/>
      <c r="BG16" s="1945"/>
      <c r="BH16" s="1945"/>
      <c r="BI16" s="1945"/>
      <c r="BJ16" s="1945"/>
      <c r="BK16" s="1945"/>
      <c r="BL16" s="1945"/>
      <c r="BM16" s="1945"/>
      <c r="BN16" s="1945"/>
      <c r="BO16" s="1945"/>
      <c r="BP16" s="1945"/>
      <c r="BQ16" s="1945"/>
      <c r="BR16" s="1945"/>
      <c r="BS16" s="1945"/>
      <c r="BT16" s="1945"/>
      <c r="BU16" s="1945"/>
      <c r="BV16" s="1945"/>
      <c r="BW16" s="1945"/>
      <c r="BX16" s="1945"/>
      <c r="BY16" s="1945"/>
      <c r="BZ16" s="1945"/>
      <c r="CA16" s="1945"/>
      <c r="CB16" s="1945"/>
      <c r="CC16" s="1945"/>
      <c r="CD16" s="1945"/>
      <c r="CE16" s="1945"/>
      <c r="CF16" s="1945"/>
      <c r="CG16" s="1945"/>
      <c r="CH16" s="1945"/>
      <c r="CI16" s="1945"/>
      <c r="CJ16" s="1945"/>
      <c r="CK16" s="1945"/>
      <c r="CL16" s="1945"/>
      <c r="CM16" s="1945"/>
      <c r="CN16" s="1945"/>
      <c r="CO16" s="1945"/>
      <c r="CP16" s="1945"/>
      <c r="CQ16" s="1945"/>
      <c r="CR16" s="1945"/>
      <c r="CS16" s="1945"/>
      <c r="CT16" s="1945"/>
      <c r="CU16" s="1945"/>
      <c r="CV16" s="1945"/>
      <c r="CW16" s="1945"/>
      <c r="CX16" s="1945"/>
      <c r="CY16" s="1945"/>
      <c r="CZ16" s="1945"/>
      <c r="DA16" s="1945"/>
      <c r="DB16" s="1945"/>
      <c r="DC16" s="1945"/>
      <c r="DD16" s="1945"/>
      <c r="DE16" s="1945"/>
      <c r="DF16" s="1945"/>
      <c r="DG16" s="1945"/>
      <c r="DH16" s="1945"/>
      <c r="DI16" s="1945"/>
      <c r="DJ16" s="1945"/>
      <c r="DK16" s="1945"/>
      <c r="DL16" s="1945"/>
      <c r="DM16" s="1945"/>
      <c r="DN16" s="1945"/>
      <c r="DO16" s="1945"/>
      <c r="DP16" s="1945"/>
      <c r="DQ16" s="1945"/>
      <c r="DR16" s="1945"/>
      <c r="DS16" s="1945"/>
      <c r="DT16" s="1945"/>
      <c r="DU16" s="1945"/>
      <c r="DV16" s="1945"/>
      <c r="DW16" s="1945"/>
      <c r="DX16" s="1945"/>
      <c r="DY16" s="1945"/>
      <c r="DZ16" s="1945"/>
      <c r="EA16" s="1945"/>
      <c r="EB16" s="1945"/>
      <c r="EC16" s="1945"/>
      <c r="ED16" s="1945"/>
      <c r="EE16" s="1945"/>
      <c r="EF16" s="1945"/>
      <c r="EG16" s="1945"/>
      <c r="EH16" s="1945"/>
      <c r="EI16" s="1945"/>
      <c r="EJ16" s="1945"/>
      <c r="EK16" s="1945"/>
    </row>
    <row r="17" spans="1:148" ht="14.25" hidden="1" customHeight="1">
      <c r="AD17" s="1276"/>
      <c r="AE17" s="1276"/>
      <c r="AF17" s="1276"/>
      <c r="AG17" s="1277"/>
      <c r="AH17" s="4079"/>
      <c r="AI17" s="4080" t="s">
        <v>65</v>
      </c>
      <c r="AJ17" s="4079"/>
      <c r="AK17" s="4080" t="s">
        <v>65</v>
      </c>
      <c r="AL17" s="1945"/>
      <c r="AM17" s="1945"/>
      <c r="AN17" s="1945"/>
      <c r="AO17" s="1945"/>
      <c r="AP17" s="1945"/>
      <c r="AQ17" s="1945"/>
      <c r="AR17" s="1945"/>
      <c r="AS17" s="1945"/>
      <c r="AT17" s="1945"/>
      <c r="AU17" s="1945"/>
      <c r="AV17" s="1945"/>
      <c r="AW17" s="1945"/>
      <c r="AX17" s="1945"/>
      <c r="AY17" s="1945"/>
      <c r="AZ17" s="1945"/>
      <c r="BA17" s="1945"/>
      <c r="BB17" s="1945"/>
      <c r="BC17" s="1945"/>
      <c r="BD17" s="1945"/>
      <c r="BE17" s="1945"/>
      <c r="BF17" s="1945"/>
      <c r="BG17" s="1945"/>
      <c r="BH17" s="1945"/>
      <c r="BI17" s="1945"/>
      <c r="BJ17" s="1945"/>
      <c r="BK17" s="1945"/>
      <c r="BL17" s="1945"/>
      <c r="BM17" s="1945"/>
      <c r="BN17" s="1945"/>
      <c r="BO17" s="1945"/>
      <c r="BP17" s="1945"/>
      <c r="BQ17" s="1945"/>
      <c r="BR17" s="1945"/>
      <c r="BS17" s="1945"/>
      <c r="BT17" s="1945"/>
      <c r="BU17" s="1945"/>
      <c r="BV17" s="1945"/>
      <c r="BW17" s="1945"/>
      <c r="BX17" s="1945"/>
      <c r="BY17" s="1945"/>
      <c r="BZ17" s="1945"/>
      <c r="CA17" s="1945"/>
      <c r="CB17" s="1945"/>
      <c r="CC17" s="1945"/>
      <c r="CD17" s="1945"/>
      <c r="CE17" s="1945"/>
      <c r="CF17" s="1945"/>
      <c r="CG17" s="1945"/>
      <c r="CH17" s="1945"/>
      <c r="CI17" s="1945"/>
      <c r="CJ17" s="1945"/>
      <c r="CK17" s="1945"/>
      <c r="CL17" s="1945"/>
      <c r="CM17" s="1945"/>
      <c r="CN17" s="1945"/>
      <c r="CO17" s="1945"/>
      <c r="CP17" s="1945"/>
      <c r="CQ17" s="1945"/>
      <c r="CR17" s="1945"/>
      <c r="CS17" s="1945"/>
      <c r="CT17" s="1945"/>
      <c r="CU17" s="1945"/>
      <c r="CV17" s="1945"/>
      <c r="CW17" s="1945"/>
      <c r="CX17" s="1945"/>
      <c r="CY17" s="1945"/>
      <c r="CZ17" s="1945"/>
      <c r="DA17" s="1945"/>
      <c r="DB17" s="1945"/>
      <c r="DC17" s="1945"/>
      <c r="DD17" s="1945"/>
      <c r="DE17" s="1945"/>
      <c r="DF17" s="1945"/>
      <c r="DG17" s="1945"/>
      <c r="DH17" s="1945"/>
      <c r="DI17" s="1945"/>
      <c r="DJ17" s="1945"/>
      <c r="DK17" s="1945"/>
      <c r="DL17" s="1945"/>
      <c r="DM17" s="1945"/>
      <c r="DN17" s="1945"/>
      <c r="DO17" s="1945"/>
      <c r="DP17" s="1945"/>
      <c r="DQ17" s="1945"/>
      <c r="DR17" s="1945"/>
      <c r="DS17" s="1945"/>
      <c r="DT17" s="1945"/>
      <c r="DU17" s="1945"/>
      <c r="DV17" s="1945"/>
      <c r="DW17" s="1945"/>
      <c r="DX17" s="1945"/>
      <c r="DY17" s="1945"/>
      <c r="DZ17" s="1945"/>
      <c r="EA17" s="1945"/>
      <c r="EB17" s="1945"/>
      <c r="EC17" s="1945"/>
      <c r="ED17" s="1945"/>
      <c r="EE17" s="1945"/>
      <c r="EF17" s="1945"/>
      <c r="EG17" s="1945"/>
      <c r="EH17" s="1945"/>
      <c r="EI17" s="1945"/>
      <c r="EJ17" s="1945"/>
      <c r="EK17" s="1945"/>
    </row>
    <row r="18" spans="1:148" ht="14.25" hidden="1" customHeight="1">
      <c r="AD18" s="1276"/>
      <c r="AE18" s="1276"/>
      <c r="AF18" s="1276"/>
      <c r="AG18" s="255" t="str">
        <f>AH17&amp;"-"&amp;AJ17</f>
        <v>-</v>
      </c>
      <c r="AH18" s="4080"/>
      <c r="AI18" s="4080"/>
      <c r="AJ18" s="4080"/>
      <c r="AK18" s="4080"/>
      <c r="AL18" s="1945"/>
      <c r="AM18" s="1945"/>
      <c r="AN18" s="1945"/>
      <c r="AO18" s="1945"/>
      <c r="AP18" s="1945"/>
      <c r="AQ18" s="1945"/>
      <c r="AR18" s="1945"/>
      <c r="AS18" s="1945"/>
      <c r="AT18" s="1945"/>
      <c r="AU18" s="1945"/>
      <c r="AV18" s="1945"/>
      <c r="AW18" s="1945"/>
      <c r="AX18" s="1945"/>
      <c r="AY18" s="1945"/>
      <c r="AZ18" s="1945"/>
      <c r="BA18" s="1945"/>
      <c r="BB18" s="1945"/>
      <c r="BC18" s="1945"/>
      <c r="BD18" s="1945"/>
      <c r="BE18" s="1945"/>
      <c r="BF18" s="1945"/>
      <c r="BG18" s="1945"/>
      <c r="BH18" s="1945"/>
      <c r="BI18" s="1945"/>
      <c r="BJ18" s="1945"/>
      <c r="BK18" s="1945"/>
      <c r="BL18" s="1945"/>
      <c r="BM18" s="1945"/>
      <c r="BN18" s="1945"/>
      <c r="BO18" s="1945"/>
      <c r="BP18" s="1945"/>
      <c r="BQ18" s="1945"/>
      <c r="BR18" s="1945"/>
      <c r="BS18" s="1945"/>
      <c r="BT18" s="1945"/>
      <c r="BU18" s="1945"/>
      <c r="BV18" s="1945"/>
      <c r="BW18" s="1945"/>
      <c r="BX18" s="1945"/>
      <c r="BY18" s="1945"/>
      <c r="BZ18" s="1945"/>
      <c r="CA18" s="1945"/>
      <c r="CB18" s="1945"/>
      <c r="CC18" s="1945"/>
      <c r="CD18" s="1945"/>
      <c r="CE18" s="1945"/>
      <c r="CF18" s="1945"/>
      <c r="CG18" s="1945"/>
      <c r="CH18" s="1945"/>
      <c r="CI18" s="1945"/>
      <c r="CJ18" s="1945"/>
      <c r="CK18" s="1945"/>
      <c r="CL18" s="1945"/>
      <c r="CM18" s="1945"/>
      <c r="CN18" s="1945"/>
      <c r="CO18" s="1945"/>
      <c r="CP18" s="1945"/>
      <c r="CQ18" s="1945"/>
      <c r="CR18" s="1945"/>
      <c r="CS18" s="1945"/>
      <c r="CT18" s="1945"/>
      <c r="CU18" s="1945"/>
      <c r="CV18" s="1945"/>
      <c r="CW18" s="1945"/>
      <c r="CX18" s="1945"/>
      <c r="CY18" s="1945"/>
      <c r="CZ18" s="1945"/>
      <c r="DA18" s="1945"/>
      <c r="DB18" s="1945"/>
      <c r="DC18" s="1945"/>
      <c r="DD18" s="1945"/>
      <c r="DE18" s="1945"/>
      <c r="DF18" s="1945"/>
      <c r="DG18" s="1945"/>
      <c r="DH18" s="1945"/>
      <c r="DI18" s="1945"/>
      <c r="DJ18" s="1945"/>
      <c r="DK18" s="1945"/>
      <c r="DL18" s="1945"/>
      <c r="DM18" s="1945"/>
      <c r="DN18" s="1945"/>
      <c r="DO18" s="1945"/>
      <c r="DP18" s="1945"/>
      <c r="DQ18" s="1945"/>
      <c r="DR18" s="1945"/>
      <c r="DS18" s="1945"/>
      <c r="DT18" s="1945"/>
      <c r="DU18" s="1945"/>
      <c r="DV18" s="1945"/>
      <c r="DW18" s="1945"/>
      <c r="DX18" s="1945"/>
      <c r="DY18" s="1945"/>
      <c r="DZ18" s="1945"/>
      <c r="EA18" s="1945"/>
      <c r="EB18" s="1945"/>
      <c r="EC18" s="1945"/>
      <c r="ED18" s="1945"/>
      <c r="EE18" s="1945"/>
      <c r="EF18" s="1945"/>
      <c r="EG18" s="1945"/>
      <c r="EH18" s="1945"/>
      <c r="EI18" s="1945"/>
      <c r="EJ18" s="1945"/>
      <c r="EK18" s="1945"/>
    </row>
    <row r="19" spans="1:148" ht="14.25" hidden="1" customHeight="1">
      <c r="AK19" s="254"/>
      <c r="AL19" s="1945"/>
      <c r="AM19" s="1945"/>
      <c r="AN19" s="1945"/>
      <c r="AO19" s="1945"/>
      <c r="AP19" s="1945"/>
      <c r="AQ19" s="1945"/>
      <c r="AR19" s="1945"/>
      <c r="AS19" s="1945"/>
      <c r="AT19" s="1945"/>
      <c r="AU19" s="1945"/>
      <c r="AV19" s="1945"/>
      <c r="AW19" s="1945"/>
      <c r="AX19" s="1945"/>
      <c r="AY19" s="1945"/>
      <c r="AZ19" s="1945"/>
      <c r="BA19" s="1945"/>
      <c r="BB19" s="1945"/>
      <c r="BC19" s="1945"/>
      <c r="BD19" s="1945"/>
      <c r="BE19" s="1945"/>
      <c r="BF19" s="1945"/>
      <c r="BG19" s="1945"/>
      <c r="BH19" s="1945"/>
      <c r="BI19" s="1945"/>
      <c r="BJ19" s="1945"/>
      <c r="BK19" s="1945"/>
      <c r="BL19" s="1945"/>
      <c r="BM19" s="1945"/>
      <c r="BN19" s="1945"/>
      <c r="BO19" s="1945"/>
      <c r="BP19" s="1945"/>
      <c r="BQ19" s="1945"/>
      <c r="BR19" s="1945"/>
      <c r="BS19" s="1945"/>
      <c r="BT19" s="1945"/>
      <c r="BU19" s="1945"/>
      <c r="BV19" s="1945"/>
      <c r="BW19" s="1945"/>
      <c r="BX19" s="1945"/>
      <c r="BY19" s="1945"/>
      <c r="BZ19" s="1945"/>
      <c r="CA19" s="1945"/>
      <c r="CB19" s="1945"/>
      <c r="CC19" s="1945"/>
      <c r="CD19" s="1945"/>
      <c r="CE19" s="1945"/>
      <c r="CF19" s="1945"/>
      <c r="CG19" s="1945"/>
      <c r="CH19" s="1945"/>
      <c r="CI19" s="1945"/>
      <c r="CJ19" s="1945"/>
      <c r="CK19" s="1945"/>
      <c r="CL19" s="1945"/>
      <c r="CM19" s="1945"/>
      <c r="CN19" s="1945"/>
      <c r="CO19" s="1945"/>
      <c r="CP19" s="1945"/>
      <c r="CQ19" s="1945"/>
      <c r="CR19" s="1945"/>
      <c r="CS19" s="1945"/>
      <c r="CT19" s="1945"/>
      <c r="CU19" s="1945"/>
      <c r="CV19" s="1945"/>
      <c r="CW19" s="1945"/>
      <c r="CX19" s="1945"/>
      <c r="CY19" s="1945"/>
      <c r="CZ19" s="1945"/>
      <c r="DA19" s="1945"/>
      <c r="DB19" s="1945"/>
      <c r="DC19" s="1945"/>
      <c r="DD19" s="1945"/>
      <c r="DE19" s="1945"/>
      <c r="DF19" s="1945"/>
      <c r="DG19" s="1945"/>
      <c r="DH19" s="1945"/>
      <c r="DI19" s="1945"/>
      <c r="DJ19" s="1945"/>
      <c r="DK19" s="1945"/>
      <c r="DL19" s="1945"/>
      <c r="DM19" s="1945"/>
      <c r="DN19" s="1945"/>
      <c r="DO19" s="1945"/>
      <c r="DP19" s="1945"/>
      <c r="DQ19" s="1945"/>
      <c r="DR19" s="1945"/>
      <c r="DS19" s="1945"/>
      <c r="DT19" s="1945"/>
      <c r="DU19" s="1945"/>
      <c r="DV19" s="1945"/>
      <c r="DW19" s="1945"/>
      <c r="DX19" s="1945"/>
      <c r="DY19" s="1945"/>
      <c r="DZ19" s="1945"/>
      <c r="EA19" s="1945"/>
      <c r="EB19" s="1945"/>
      <c r="EC19" s="1945"/>
      <c r="ED19" s="1945"/>
      <c r="EE19" s="1945"/>
      <c r="EF19" s="1945"/>
      <c r="EG19" s="1945"/>
      <c r="EH19" s="1945"/>
      <c r="EI19" s="1945"/>
      <c r="EJ19" s="1945"/>
      <c r="EK19" s="1945"/>
    </row>
    <row r="20" spans="1:148" s="2553" customFormat="1" ht="22.5" hidden="1" customHeight="1">
      <c r="L20" s="1246"/>
      <c r="M20" s="1278"/>
      <c r="N20" s="1278"/>
      <c r="O20" s="1283" t="s">
        <v>406</v>
      </c>
      <c r="P20" s="1278"/>
      <c r="Q20" s="1287"/>
      <c r="R20" s="1287"/>
      <c r="S20" s="648"/>
      <c r="Z20" s="1283"/>
      <c r="AB20" s="1283"/>
      <c r="AC20" s="1282"/>
      <c r="AH20" s="1283"/>
      <c r="AJ20" s="1283"/>
      <c r="AK20" s="1282"/>
      <c r="AL20" s="2558"/>
      <c r="AM20" s="2558"/>
      <c r="AN20" s="2558"/>
      <c r="AO20" s="2558"/>
      <c r="AP20" s="2559"/>
      <c r="AQ20" s="2558"/>
      <c r="AR20" s="2559"/>
      <c r="AS20" s="2558"/>
      <c r="AT20" s="2558"/>
      <c r="AU20" s="2558"/>
      <c r="AV20" s="2558"/>
      <c r="AW20" s="2558"/>
      <c r="AX20" s="2559"/>
      <c r="AY20" s="2558"/>
      <c r="AZ20" s="2559"/>
      <c r="BA20" s="2558"/>
      <c r="BB20" s="2558"/>
      <c r="BC20" s="2558"/>
      <c r="BD20" s="2558"/>
      <c r="BE20" s="2558"/>
      <c r="BF20" s="2559"/>
      <c r="BG20" s="2558"/>
      <c r="BH20" s="2559"/>
      <c r="BI20" s="2558"/>
      <c r="BJ20" s="2558"/>
      <c r="BK20" s="2558"/>
      <c r="BL20" s="2558"/>
      <c r="BM20" s="2558"/>
      <c r="BN20" s="2559"/>
      <c r="BO20" s="2558"/>
      <c r="BP20" s="2559"/>
      <c r="BQ20" s="2558"/>
      <c r="BR20" s="2558"/>
      <c r="BS20" s="2558"/>
      <c r="BT20" s="2558"/>
      <c r="BU20" s="2558"/>
      <c r="BV20" s="2559"/>
      <c r="BW20" s="2558"/>
      <c r="BX20" s="2559"/>
      <c r="BY20" s="2558"/>
      <c r="BZ20" s="2558"/>
      <c r="CA20" s="2558"/>
      <c r="CB20" s="2558"/>
      <c r="CC20" s="2558"/>
      <c r="CD20" s="2559"/>
      <c r="CE20" s="2558"/>
      <c r="CF20" s="2559"/>
      <c r="CG20" s="2558"/>
      <c r="CH20" s="2558"/>
      <c r="CI20" s="2558"/>
      <c r="CJ20" s="2558"/>
      <c r="CK20" s="2558"/>
      <c r="CL20" s="2559"/>
      <c r="CM20" s="2558"/>
      <c r="CN20" s="2559"/>
      <c r="CO20" s="2558"/>
      <c r="CP20" s="2558"/>
      <c r="CQ20" s="2558"/>
      <c r="CR20" s="2558"/>
      <c r="CS20" s="2558"/>
      <c r="CT20" s="2559"/>
      <c r="CU20" s="2558"/>
      <c r="CV20" s="2559"/>
      <c r="CW20" s="2558"/>
      <c r="CX20" s="2558"/>
      <c r="CY20" s="2558"/>
      <c r="CZ20" s="2558"/>
      <c r="DA20" s="2558"/>
      <c r="DB20" s="2559"/>
      <c r="DC20" s="2558"/>
      <c r="DD20" s="2559"/>
      <c r="DE20" s="2558"/>
      <c r="DF20" s="2558"/>
      <c r="DG20" s="2558"/>
      <c r="DH20" s="2558"/>
      <c r="DI20" s="2558"/>
      <c r="DJ20" s="2559"/>
      <c r="DK20" s="2558"/>
      <c r="DL20" s="2559"/>
      <c r="DM20" s="2558"/>
      <c r="DN20" s="2558"/>
      <c r="DO20" s="2558"/>
      <c r="DP20" s="2558"/>
      <c r="DQ20" s="2558"/>
      <c r="DR20" s="2559"/>
      <c r="DS20" s="2558"/>
      <c r="DT20" s="2559"/>
      <c r="DU20" s="2558"/>
      <c r="DV20" s="2558"/>
      <c r="DW20" s="2558"/>
      <c r="DX20" s="2558"/>
      <c r="DY20" s="2558"/>
      <c r="DZ20" s="2559"/>
      <c r="EA20" s="2558"/>
      <c r="EB20" s="2559"/>
      <c r="EC20" s="2558"/>
      <c r="ED20" s="2558"/>
      <c r="EE20" s="2558"/>
      <c r="EF20" s="2558"/>
      <c r="EG20" s="2558"/>
      <c r="EH20" s="2559"/>
      <c r="EI20" s="2558"/>
      <c r="EJ20" s="2559"/>
      <c r="EK20" s="2558"/>
      <c r="EN20" s="437"/>
      <c r="EO20" s="437"/>
      <c r="EP20" s="437"/>
      <c r="EQ20" s="437"/>
      <c r="ER20" s="437"/>
    </row>
    <row r="21" spans="1:148" s="2553" customFormat="1" ht="14.25" hidden="1" customHeight="1">
      <c r="L21" s="1246"/>
      <c r="M21" s="1278"/>
      <c r="N21" s="1278"/>
      <c r="O21" s="1278"/>
      <c r="P21" s="1278"/>
      <c r="Q21" s="1287"/>
      <c r="R21" s="1287"/>
      <c r="S21" s="648"/>
      <c r="AC21" s="1282"/>
      <c r="AK21" s="1282"/>
      <c r="AL21" s="2558"/>
      <c r="AM21" s="2558"/>
      <c r="AN21" s="2558"/>
      <c r="AO21" s="2558"/>
      <c r="AP21" s="2558"/>
      <c r="AQ21" s="2558"/>
      <c r="AR21" s="2558"/>
      <c r="AS21" s="2558"/>
      <c r="AT21" s="2558"/>
      <c r="AU21" s="2558"/>
      <c r="AV21" s="2558"/>
      <c r="AW21" s="2558"/>
      <c r="AX21" s="2558"/>
      <c r="AY21" s="2558"/>
      <c r="AZ21" s="2558"/>
      <c r="BA21" s="2558"/>
      <c r="BB21" s="2558"/>
      <c r="BC21" s="2558"/>
      <c r="BD21" s="2558"/>
      <c r="BE21" s="2558"/>
      <c r="BF21" s="2558"/>
      <c r="BG21" s="2558"/>
      <c r="BH21" s="2558"/>
      <c r="BI21" s="2558"/>
      <c r="BJ21" s="2558"/>
      <c r="BK21" s="2558"/>
      <c r="BL21" s="2558"/>
      <c r="BM21" s="2558"/>
      <c r="BN21" s="2558"/>
      <c r="BO21" s="2558"/>
      <c r="BP21" s="2558"/>
      <c r="BQ21" s="2558"/>
      <c r="BR21" s="2558"/>
      <c r="BS21" s="2558"/>
      <c r="BT21" s="2558"/>
      <c r="BU21" s="2558"/>
      <c r="BV21" s="2558"/>
      <c r="BW21" s="2558"/>
      <c r="BX21" s="2558"/>
      <c r="BY21" s="2558"/>
      <c r="BZ21" s="2558"/>
      <c r="CA21" s="2558"/>
      <c r="CB21" s="2558"/>
      <c r="CC21" s="2558"/>
      <c r="CD21" s="2558"/>
      <c r="CE21" s="2558"/>
      <c r="CF21" s="2558"/>
      <c r="CG21" s="2558"/>
      <c r="CH21" s="2558"/>
      <c r="CI21" s="2558"/>
      <c r="CJ21" s="2558"/>
      <c r="CK21" s="2558"/>
      <c r="CL21" s="2558"/>
      <c r="CM21" s="2558"/>
      <c r="CN21" s="2558"/>
      <c r="CO21" s="2558"/>
      <c r="CP21" s="2558"/>
      <c r="CQ21" s="2558"/>
      <c r="CR21" s="2558"/>
      <c r="CS21" s="2558"/>
      <c r="CT21" s="2558"/>
      <c r="CU21" s="2558"/>
      <c r="CV21" s="2558"/>
      <c r="CW21" s="2558"/>
      <c r="CX21" s="2558"/>
      <c r="CY21" s="2558"/>
      <c r="CZ21" s="2558"/>
      <c r="DA21" s="2558"/>
      <c r="DB21" s="2558"/>
      <c r="DC21" s="2558"/>
      <c r="DD21" s="2558"/>
      <c r="DE21" s="2558"/>
      <c r="DF21" s="2558"/>
      <c r="DG21" s="2558"/>
      <c r="DH21" s="2558"/>
      <c r="DI21" s="2558"/>
      <c r="DJ21" s="2558"/>
      <c r="DK21" s="2558"/>
      <c r="DL21" s="2558"/>
      <c r="DM21" s="2558"/>
      <c r="DN21" s="2558"/>
      <c r="DO21" s="2558"/>
      <c r="DP21" s="2558"/>
      <c r="DQ21" s="2558"/>
      <c r="DR21" s="2558"/>
      <c r="DS21" s="2558"/>
      <c r="DT21" s="2558"/>
      <c r="DU21" s="2558"/>
      <c r="DV21" s="2558"/>
      <c r="DW21" s="2558"/>
      <c r="DX21" s="2558"/>
      <c r="DY21" s="2558"/>
      <c r="DZ21" s="2558"/>
      <c r="EA21" s="2558"/>
      <c r="EB21" s="2558"/>
      <c r="EC21" s="2558"/>
      <c r="ED21" s="2558"/>
      <c r="EE21" s="2558"/>
      <c r="EF21" s="2558"/>
      <c r="EG21" s="2558"/>
      <c r="EH21" s="2558"/>
      <c r="EI21" s="2558"/>
      <c r="EJ21" s="2558"/>
      <c r="EK21" s="2558"/>
      <c r="EN21" s="437"/>
      <c r="EO21" s="437"/>
      <c r="EP21" s="437"/>
      <c r="EQ21" s="437"/>
      <c r="ER21" s="437"/>
    </row>
    <row r="22" spans="1:148" s="2553" customFormat="1" ht="14.25" hidden="1" customHeight="1">
      <c r="L22" s="1246"/>
      <c r="M22" s="1278"/>
      <c r="N22" s="1278"/>
      <c r="O22" s="1280" t="s">
        <v>407</v>
      </c>
      <c r="P22" s="1278"/>
      <c r="Q22" s="1287"/>
      <c r="R22" s="1287"/>
      <c r="S22" s="648"/>
      <c r="T22" s="1060" t="s">
        <v>408</v>
      </c>
      <c r="AA22" s="107" t="s">
        <v>409</v>
      </c>
      <c r="AC22" s="107" t="s">
        <v>410</v>
      </c>
      <c r="AD22" s="1060" t="s">
        <v>408</v>
      </c>
      <c r="AI22" s="107" t="s">
        <v>411</v>
      </c>
      <c r="AK22" s="107" t="s">
        <v>410</v>
      </c>
      <c r="AL22" s="2558"/>
      <c r="AM22" s="2558"/>
      <c r="AN22" s="2558"/>
      <c r="AO22" s="2558"/>
      <c r="AP22" s="2558"/>
      <c r="AQ22" s="2560" t="s">
        <v>409</v>
      </c>
      <c r="AR22" s="2558"/>
      <c r="AS22" s="2560" t="s">
        <v>410</v>
      </c>
      <c r="AT22" s="2558"/>
      <c r="AU22" s="2558"/>
      <c r="AV22" s="2558"/>
      <c r="AW22" s="2558"/>
      <c r="AX22" s="2558"/>
      <c r="AY22" s="2560" t="s">
        <v>409</v>
      </c>
      <c r="AZ22" s="2558"/>
      <c r="BA22" s="2560" t="s">
        <v>410</v>
      </c>
      <c r="BB22" s="2558"/>
      <c r="BC22" s="2558"/>
      <c r="BD22" s="2558"/>
      <c r="BE22" s="2558"/>
      <c r="BF22" s="2558"/>
      <c r="BG22" s="2560" t="s">
        <v>409</v>
      </c>
      <c r="BH22" s="2558"/>
      <c r="BI22" s="2560" t="s">
        <v>410</v>
      </c>
      <c r="BJ22" s="2558"/>
      <c r="BK22" s="2558"/>
      <c r="BL22" s="2558"/>
      <c r="BM22" s="2558"/>
      <c r="BN22" s="2558"/>
      <c r="BO22" s="2560" t="s">
        <v>409</v>
      </c>
      <c r="BP22" s="2558"/>
      <c r="BQ22" s="2560" t="s">
        <v>410</v>
      </c>
      <c r="BR22" s="2558"/>
      <c r="BS22" s="2558"/>
      <c r="BT22" s="2558"/>
      <c r="BU22" s="2558"/>
      <c r="BV22" s="2558"/>
      <c r="BW22" s="2560" t="s">
        <v>409</v>
      </c>
      <c r="BX22" s="2558"/>
      <c r="BY22" s="2560" t="s">
        <v>410</v>
      </c>
      <c r="BZ22" s="2558"/>
      <c r="CA22" s="2558"/>
      <c r="CB22" s="2558"/>
      <c r="CC22" s="2558"/>
      <c r="CD22" s="2558"/>
      <c r="CE22" s="2560" t="s">
        <v>409</v>
      </c>
      <c r="CF22" s="2558"/>
      <c r="CG22" s="2560" t="s">
        <v>410</v>
      </c>
      <c r="CH22" s="2558"/>
      <c r="CI22" s="2558"/>
      <c r="CJ22" s="2558"/>
      <c r="CK22" s="2558"/>
      <c r="CL22" s="2558"/>
      <c r="CM22" s="2560" t="s">
        <v>409</v>
      </c>
      <c r="CN22" s="2558"/>
      <c r="CO22" s="2560" t="s">
        <v>410</v>
      </c>
      <c r="CP22" s="2558"/>
      <c r="CQ22" s="2558"/>
      <c r="CR22" s="2558"/>
      <c r="CS22" s="2558"/>
      <c r="CT22" s="2558"/>
      <c r="CU22" s="2560" t="s">
        <v>409</v>
      </c>
      <c r="CV22" s="2558"/>
      <c r="CW22" s="2560" t="s">
        <v>410</v>
      </c>
      <c r="CX22" s="2558"/>
      <c r="CY22" s="2558"/>
      <c r="CZ22" s="2558"/>
      <c r="DA22" s="2558"/>
      <c r="DB22" s="2558"/>
      <c r="DC22" s="2560" t="s">
        <v>409</v>
      </c>
      <c r="DD22" s="2558"/>
      <c r="DE22" s="2560" t="s">
        <v>410</v>
      </c>
      <c r="DF22" s="2558"/>
      <c r="DG22" s="2558"/>
      <c r="DH22" s="2558"/>
      <c r="DI22" s="2558"/>
      <c r="DJ22" s="2558"/>
      <c r="DK22" s="2560" t="s">
        <v>409</v>
      </c>
      <c r="DL22" s="2558"/>
      <c r="DM22" s="2560" t="s">
        <v>410</v>
      </c>
      <c r="DN22" s="2558"/>
      <c r="DO22" s="2558"/>
      <c r="DP22" s="2558"/>
      <c r="DQ22" s="2558"/>
      <c r="DR22" s="2558"/>
      <c r="DS22" s="2560" t="s">
        <v>409</v>
      </c>
      <c r="DT22" s="2558"/>
      <c r="DU22" s="2560" t="s">
        <v>410</v>
      </c>
      <c r="DV22" s="2558"/>
      <c r="DW22" s="2558"/>
      <c r="DX22" s="2558"/>
      <c r="DY22" s="2558"/>
      <c r="DZ22" s="2558"/>
      <c r="EA22" s="2560" t="s">
        <v>409</v>
      </c>
      <c r="EB22" s="2558"/>
      <c r="EC22" s="2560" t="s">
        <v>410</v>
      </c>
      <c r="ED22" s="2558"/>
      <c r="EE22" s="2558"/>
      <c r="EF22" s="2558"/>
      <c r="EG22" s="2558"/>
      <c r="EH22" s="2558"/>
      <c r="EI22" s="2560" t="s">
        <v>409</v>
      </c>
      <c r="EJ22" s="2558"/>
      <c r="EK22" s="2560" t="s">
        <v>410</v>
      </c>
      <c r="EN22" s="437"/>
      <c r="EO22" s="437"/>
      <c r="EP22" s="437"/>
      <c r="EQ22" s="437"/>
      <c r="ER22" s="437"/>
    </row>
    <row r="23" spans="1:148" ht="14.25" hidden="1" customHeight="1">
      <c r="O23" s="1280"/>
      <c r="AL23" s="1945"/>
      <c r="AM23" s="1945"/>
      <c r="AN23" s="1945"/>
      <c r="AO23" s="1945"/>
      <c r="AP23" s="1945"/>
      <c r="AQ23" s="1945"/>
      <c r="AR23" s="1945"/>
      <c r="AS23" s="1945"/>
      <c r="AT23" s="1945"/>
      <c r="AU23" s="1945"/>
      <c r="AV23" s="1945"/>
      <c r="AW23" s="1945"/>
      <c r="AX23" s="1945"/>
      <c r="AY23" s="1945"/>
      <c r="AZ23" s="1945"/>
      <c r="BA23" s="1945"/>
      <c r="BB23" s="1945"/>
      <c r="BC23" s="1945"/>
      <c r="BD23" s="1945"/>
      <c r="BE23" s="1945"/>
      <c r="BF23" s="1945"/>
      <c r="BG23" s="1945"/>
      <c r="BH23" s="1945"/>
      <c r="BI23" s="1945"/>
      <c r="BJ23" s="1945"/>
      <c r="BK23" s="1945"/>
      <c r="BL23" s="1945"/>
      <c r="BM23" s="1945"/>
      <c r="BN23" s="1945"/>
      <c r="BO23" s="1945"/>
      <c r="BP23" s="1945"/>
      <c r="BQ23" s="1945"/>
      <c r="BR23" s="1945"/>
      <c r="BS23" s="1945"/>
      <c r="BT23" s="1945"/>
      <c r="BU23" s="1945"/>
      <c r="BV23" s="1945"/>
      <c r="BW23" s="1945"/>
      <c r="BX23" s="1945"/>
      <c r="BY23" s="1945"/>
      <c r="BZ23" s="1945"/>
      <c r="CA23" s="1945"/>
      <c r="CB23" s="1945"/>
      <c r="CC23" s="1945"/>
      <c r="CD23" s="1945"/>
      <c r="CE23" s="1945"/>
      <c r="CF23" s="1945"/>
      <c r="CG23" s="1945"/>
      <c r="CH23" s="1945"/>
      <c r="CI23" s="1945"/>
      <c r="CJ23" s="1945"/>
      <c r="CK23" s="1945"/>
      <c r="CL23" s="1945"/>
      <c r="CM23" s="1945"/>
      <c r="CN23" s="1945"/>
      <c r="CO23" s="1945"/>
      <c r="CP23" s="1945"/>
      <c r="CQ23" s="1945"/>
      <c r="CR23" s="1945"/>
      <c r="CS23" s="1945"/>
      <c r="CT23" s="1945"/>
      <c r="CU23" s="1945"/>
      <c r="CV23" s="1945"/>
      <c r="CW23" s="1945"/>
      <c r="CX23" s="1945"/>
      <c r="CY23" s="1945"/>
      <c r="CZ23" s="1945"/>
      <c r="DA23" s="1945"/>
      <c r="DB23" s="1945"/>
      <c r="DC23" s="1945"/>
      <c r="DD23" s="1945"/>
      <c r="DE23" s="1945"/>
      <c r="DF23" s="1945"/>
      <c r="DG23" s="1945"/>
      <c r="DH23" s="1945"/>
      <c r="DI23" s="1945"/>
      <c r="DJ23" s="1945"/>
      <c r="DK23" s="1945"/>
      <c r="DL23" s="1945"/>
      <c r="DM23" s="1945"/>
      <c r="DN23" s="1945"/>
      <c r="DO23" s="1945"/>
      <c r="DP23" s="1945"/>
      <c r="DQ23" s="1945"/>
      <c r="DR23" s="1945"/>
      <c r="DS23" s="1945"/>
      <c r="DT23" s="1945"/>
      <c r="DU23" s="1945"/>
      <c r="DV23" s="1945"/>
      <c r="DW23" s="1945"/>
      <c r="DX23" s="1945"/>
      <c r="DY23" s="1945"/>
      <c r="DZ23" s="1945"/>
      <c r="EA23" s="1945"/>
      <c r="EB23" s="1945"/>
      <c r="EC23" s="1945"/>
      <c r="ED23" s="1945"/>
      <c r="EE23" s="1945"/>
      <c r="EF23" s="1945"/>
      <c r="EG23" s="1945"/>
      <c r="EH23" s="1945"/>
      <c r="EI23" s="1945"/>
      <c r="EJ23" s="1945"/>
      <c r="EK23" s="1945"/>
    </row>
    <row r="24" spans="1:148" ht="14.25" hidden="1" customHeight="1">
      <c r="O24" s="1280"/>
      <c r="AL24" s="1945"/>
      <c r="AM24" s="1945"/>
      <c r="AN24" s="1945"/>
      <c r="AO24" s="1945"/>
      <c r="AP24" s="1945"/>
      <c r="AQ24" s="1945"/>
      <c r="AR24" s="1945"/>
      <c r="AS24" s="1945"/>
      <c r="AT24" s="1945"/>
      <c r="AU24" s="1945"/>
      <c r="AV24" s="1945"/>
      <c r="AW24" s="1945"/>
      <c r="AX24" s="1945"/>
      <c r="AY24" s="1945"/>
      <c r="AZ24" s="1945"/>
      <c r="BA24" s="1945"/>
      <c r="BB24" s="1945"/>
      <c r="BC24" s="1945"/>
      <c r="BD24" s="1945"/>
      <c r="BE24" s="1945"/>
      <c r="BF24" s="1945"/>
      <c r="BG24" s="1945"/>
      <c r="BH24" s="1945"/>
      <c r="BI24" s="1945"/>
      <c r="BJ24" s="1945"/>
      <c r="BK24" s="1945"/>
      <c r="BL24" s="1945"/>
      <c r="BM24" s="1945"/>
      <c r="BN24" s="1945"/>
      <c r="BO24" s="1945"/>
      <c r="BP24" s="1945"/>
      <c r="BQ24" s="1945"/>
      <c r="BR24" s="1945"/>
      <c r="BS24" s="1945"/>
      <c r="BT24" s="1945"/>
      <c r="BU24" s="1945"/>
      <c r="BV24" s="1945"/>
      <c r="BW24" s="1945"/>
      <c r="BX24" s="1945"/>
      <c r="BY24" s="1945"/>
      <c r="BZ24" s="1945"/>
      <c r="CA24" s="1945"/>
      <c r="CB24" s="1945"/>
      <c r="CC24" s="1945"/>
      <c r="CD24" s="1945"/>
      <c r="CE24" s="1945"/>
      <c r="CF24" s="1945"/>
      <c r="CG24" s="1945"/>
      <c r="CH24" s="1945"/>
      <c r="CI24" s="1945"/>
      <c r="CJ24" s="1945"/>
      <c r="CK24" s="1945"/>
      <c r="CL24" s="1945"/>
      <c r="CM24" s="1945"/>
      <c r="CN24" s="1945"/>
      <c r="CO24" s="1945"/>
      <c r="CP24" s="1945"/>
      <c r="CQ24" s="1945"/>
      <c r="CR24" s="1945"/>
      <c r="CS24" s="1945"/>
      <c r="CT24" s="1945"/>
      <c r="CU24" s="1945"/>
      <c r="CV24" s="1945"/>
      <c r="CW24" s="1945"/>
      <c r="CX24" s="1945"/>
      <c r="CY24" s="1945"/>
      <c r="CZ24" s="1945"/>
      <c r="DA24" s="1945"/>
      <c r="DB24" s="1945"/>
      <c r="DC24" s="1945"/>
      <c r="DD24" s="1945"/>
      <c r="DE24" s="1945"/>
      <c r="DF24" s="1945"/>
      <c r="DG24" s="1945"/>
      <c r="DH24" s="1945"/>
      <c r="DI24" s="1945"/>
      <c r="DJ24" s="1945"/>
      <c r="DK24" s="1945"/>
      <c r="DL24" s="1945"/>
      <c r="DM24" s="1945"/>
      <c r="DN24" s="1945"/>
      <c r="DO24" s="1945"/>
      <c r="DP24" s="1945"/>
      <c r="DQ24" s="1945"/>
      <c r="DR24" s="1945"/>
      <c r="DS24" s="1945"/>
      <c r="DT24" s="1945"/>
      <c r="DU24" s="1945"/>
      <c r="DV24" s="1945"/>
      <c r="DW24" s="1945"/>
      <c r="DX24" s="1945"/>
      <c r="DY24" s="1945"/>
      <c r="DZ24" s="1945"/>
      <c r="EA24" s="1945"/>
      <c r="EB24" s="1945"/>
      <c r="EC24" s="1945"/>
      <c r="ED24" s="1945"/>
      <c r="EE24" s="1945"/>
      <c r="EF24" s="1945"/>
      <c r="EG24" s="1945"/>
      <c r="EH24" s="1945"/>
      <c r="EI24" s="1945"/>
      <c r="EJ24" s="1945"/>
      <c r="EK24" s="1945"/>
    </row>
    <row r="25" spans="1:148"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c r="AL25" s="1945"/>
      <c r="AM25" s="1945"/>
      <c r="AN25" s="1945"/>
      <c r="AO25" s="1945"/>
      <c r="AP25" s="1945"/>
      <c r="AQ25" s="1945"/>
      <c r="AR25" s="1945"/>
      <c r="AS25" s="1945"/>
      <c r="AT25" s="1945"/>
      <c r="AU25" s="1945"/>
      <c r="AV25" s="1945"/>
      <c r="AW25" s="1945"/>
      <c r="AX25" s="1945"/>
      <c r="AY25" s="1945"/>
      <c r="AZ25" s="1945"/>
      <c r="BA25" s="1945"/>
      <c r="BB25" s="1945"/>
      <c r="BC25" s="1945"/>
      <c r="BD25" s="1945"/>
      <c r="BE25" s="1945"/>
      <c r="BF25" s="1945"/>
      <c r="BG25" s="1945"/>
      <c r="BH25" s="1945"/>
      <c r="BI25" s="1945"/>
      <c r="BJ25" s="1945"/>
      <c r="BK25" s="1945"/>
      <c r="BL25" s="1945"/>
      <c r="BM25" s="1945"/>
      <c r="BN25" s="1945"/>
      <c r="BO25" s="1945"/>
      <c r="BP25" s="1945"/>
      <c r="BQ25" s="1945"/>
      <c r="BR25" s="1945"/>
      <c r="BS25" s="1945"/>
      <c r="BT25" s="1945"/>
      <c r="BU25" s="1945"/>
      <c r="BV25" s="1945"/>
      <c r="BW25" s="1945"/>
      <c r="BX25" s="1945"/>
      <c r="BY25" s="1945"/>
      <c r="BZ25" s="1945"/>
      <c r="CA25" s="1945"/>
      <c r="CB25" s="1945"/>
      <c r="CC25" s="1945"/>
      <c r="CD25" s="1945"/>
      <c r="CE25" s="1945"/>
      <c r="CF25" s="1945"/>
      <c r="CG25" s="1945"/>
      <c r="CH25" s="1945"/>
      <c r="CI25" s="1945"/>
      <c r="CJ25" s="1945"/>
      <c r="CK25" s="1945"/>
      <c r="CL25" s="1945"/>
      <c r="CM25" s="1945"/>
      <c r="CN25" s="1945"/>
      <c r="CO25" s="1945"/>
      <c r="CP25" s="1945"/>
      <c r="CQ25" s="1945"/>
      <c r="CR25" s="1945"/>
      <c r="CS25" s="1945"/>
      <c r="CT25" s="1945"/>
      <c r="CU25" s="1945"/>
      <c r="CV25" s="1945"/>
      <c r="CW25" s="1945"/>
      <c r="CX25" s="1945"/>
      <c r="CY25" s="1945"/>
      <c r="CZ25" s="1945"/>
      <c r="DA25" s="1945"/>
      <c r="DB25" s="1945"/>
      <c r="DC25" s="1945"/>
      <c r="DD25" s="1945"/>
      <c r="DE25" s="1945"/>
      <c r="DF25" s="1945"/>
      <c r="DG25" s="1945"/>
      <c r="DH25" s="1945"/>
      <c r="DI25" s="1945"/>
      <c r="DJ25" s="1945"/>
      <c r="DK25" s="1945"/>
      <c r="DL25" s="1945"/>
      <c r="DM25" s="1945"/>
      <c r="DN25" s="1945"/>
      <c r="DO25" s="1945"/>
      <c r="DP25" s="1945"/>
      <c r="DQ25" s="1945"/>
      <c r="DR25" s="1945"/>
      <c r="DS25" s="1945"/>
      <c r="DT25" s="1945"/>
      <c r="DU25" s="1945"/>
      <c r="DV25" s="1945"/>
      <c r="DW25" s="1945"/>
      <c r="DX25" s="1945"/>
      <c r="DY25" s="1945"/>
      <c r="DZ25" s="1945"/>
      <c r="EA25" s="1945"/>
      <c r="EB25" s="1945"/>
      <c r="EC25" s="1945"/>
      <c r="ED25" s="1945"/>
      <c r="EE25" s="1945"/>
      <c r="EF25" s="1945"/>
      <c r="EG25" s="1945"/>
      <c r="EH25" s="1945"/>
      <c r="EI25" s="1945"/>
      <c r="EJ25" s="1945"/>
      <c r="EK25" s="1945"/>
    </row>
    <row r="26" spans="1:148" ht="14.25" customHeight="1">
      <c r="Q26" s="305"/>
      <c r="R26" s="305"/>
      <c r="S26" s="405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4058"/>
      <c r="U26" s="4058"/>
      <c r="V26" s="4058"/>
      <c r="W26" s="4058"/>
      <c r="X26" s="4058"/>
      <c r="Y26" s="4058"/>
      <c r="Z26" s="4058"/>
      <c r="AA26" s="4058"/>
      <c r="AB26" s="4058"/>
      <c r="AC26" s="4058"/>
      <c r="AD26" s="4058"/>
      <c r="AE26" s="4058"/>
      <c r="AF26" s="4058"/>
      <c r="AG26" s="4058"/>
      <c r="AH26" s="4058"/>
      <c r="AI26" s="4058"/>
      <c r="AJ26" s="4058"/>
      <c r="AK26" s="1152"/>
      <c r="AL26" s="2561"/>
      <c r="AM26" s="2561"/>
      <c r="AN26" s="2561"/>
      <c r="AO26" s="2561"/>
      <c r="AP26" s="2561"/>
      <c r="AQ26" s="2561"/>
      <c r="AR26" s="2561"/>
      <c r="AS26" s="2561"/>
      <c r="AT26" s="2561"/>
      <c r="AU26" s="2561"/>
      <c r="AV26" s="2561"/>
      <c r="AW26" s="2561"/>
      <c r="AX26" s="2561"/>
      <c r="AY26" s="2561"/>
      <c r="AZ26" s="2561"/>
      <c r="BA26" s="2561"/>
      <c r="BB26" s="2561"/>
      <c r="BC26" s="2561"/>
      <c r="BD26" s="2561"/>
      <c r="BE26" s="2561"/>
      <c r="BF26" s="2561"/>
      <c r="BG26" s="2561"/>
      <c r="BH26" s="2561"/>
      <c r="BI26" s="2561"/>
      <c r="BJ26" s="2561"/>
      <c r="BK26" s="2561"/>
      <c r="BL26" s="2561"/>
      <c r="BM26" s="2561"/>
      <c r="BN26" s="2561"/>
      <c r="BO26" s="2561"/>
      <c r="BP26" s="2561"/>
      <c r="BQ26" s="2561"/>
      <c r="BR26" s="2561"/>
      <c r="BS26" s="2561"/>
      <c r="BT26" s="2561"/>
      <c r="BU26" s="2561"/>
      <c r="BV26" s="2561"/>
      <c r="BW26" s="2561"/>
      <c r="BX26" s="2561"/>
      <c r="BY26" s="2561"/>
      <c r="BZ26" s="2561"/>
      <c r="CA26" s="2561"/>
      <c r="CB26" s="2561"/>
      <c r="CC26" s="2561"/>
      <c r="CD26" s="2561"/>
      <c r="CE26" s="2561"/>
      <c r="CF26" s="2561"/>
      <c r="CG26" s="2561"/>
      <c r="CH26" s="2561"/>
      <c r="CI26" s="2561"/>
      <c r="CJ26" s="2561"/>
      <c r="CK26" s="2561"/>
      <c r="CL26" s="2561"/>
      <c r="CM26" s="2561"/>
      <c r="CN26" s="2561"/>
      <c r="CO26" s="2561"/>
      <c r="CP26" s="2561"/>
      <c r="CQ26" s="2561"/>
      <c r="CR26" s="2561"/>
      <c r="CS26" s="2561"/>
      <c r="CT26" s="2561"/>
      <c r="CU26" s="2561"/>
      <c r="CV26" s="2561"/>
      <c r="CW26" s="2561"/>
      <c r="CX26" s="2561"/>
      <c r="CY26" s="2561"/>
      <c r="CZ26" s="2561"/>
      <c r="DA26" s="2561"/>
      <c r="DB26" s="2561"/>
      <c r="DC26" s="2561"/>
      <c r="DD26" s="2561"/>
      <c r="DE26" s="2561"/>
      <c r="DF26" s="2561"/>
      <c r="DG26" s="2561"/>
      <c r="DH26" s="2561"/>
      <c r="DI26" s="2561"/>
      <c r="DJ26" s="2561"/>
      <c r="DK26" s="2561"/>
      <c r="DL26" s="2561"/>
      <c r="DM26" s="2561"/>
      <c r="DN26" s="2561"/>
      <c r="DO26" s="2561"/>
      <c r="DP26" s="2561"/>
      <c r="DQ26" s="2561"/>
      <c r="DR26" s="2561"/>
      <c r="DS26" s="2561"/>
      <c r="DT26" s="2561"/>
      <c r="DU26" s="2561"/>
      <c r="DV26" s="2561"/>
      <c r="DW26" s="2561"/>
      <c r="DX26" s="2561"/>
      <c r="DY26" s="2561"/>
      <c r="DZ26" s="2561"/>
      <c r="EA26" s="2561"/>
      <c r="EB26" s="2561"/>
      <c r="EC26" s="2561"/>
      <c r="ED26" s="2561"/>
      <c r="EE26" s="2561"/>
      <c r="EF26" s="2561"/>
      <c r="EG26" s="2561"/>
      <c r="EH26" s="2561"/>
      <c r="EI26" s="2561"/>
      <c r="EJ26" s="2561"/>
      <c r="EK26" s="2561"/>
    </row>
    <row r="27" spans="1:148" ht="14.25" customHeight="1">
      <c r="Q27" s="305"/>
      <c r="R27" s="305"/>
      <c r="S27" s="4004" t="str">
        <f>IF(org=0,"Не определено",org)</f>
        <v>ООО «РИР-Сахалин»</v>
      </c>
      <c r="T27" s="4004"/>
      <c r="U27" s="4004"/>
      <c r="V27" s="4004"/>
      <c r="W27" s="4004"/>
      <c r="X27" s="4004"/>
      <c r="Y27" s="4004"/>
      <c r="Z27" s="4004"/>
      <c r="AA27" s="4004"/>
      <c r="AB27" s="4004"/>
      <c r="AC27" s="4004"/>
      <c r="AD27" s="4004"/>
      <c r="AE27" s="4004"/>
      <c r="AF27" s="4004"/>
      <c r="AG27" s="4004"/>
      <c r="AH27" s="4004"/>
      <c r="AI27" s="4004"/>
      <c r="AJ27" s="4004"/>
      <c r="AK27" s="1152"/>
      <c r="AL27" s="2562"/>
      <c r="AM27" s="2562"/>
      <c r="AN27" s="2562"/>
      <c r="AO27" s="2562"/>
      <c r="AP27" s="2562"/>
      <c r="AQ27" s="2562"/>
      <c r="AR27" s="2562"/>
      <c r="AS27" s="2562"/>
      <c r="AT27" s="2562"/>
      <c r="AU27" s="2562"/>
      <c r="AV27" s="2562"/>
      <c r="AW27" s="2562"/>
      <c r="AX27" s="2562"/>
      <c r="AY27" s="2562"/>
      <c r="AZ27" s="2562"/>
      <c r="BA27" s="2562"/>
      <c r="BB27" s="2562"/>
      <c r="BC27" s="2562"/>
      <c r="BD27" s="2562"/>
      <c r="BE27" s="2562"/>
      <c r="BF27" s="2562"/>
      <c r="BG27" s="2562"/>
      <c r="BH27" s="2562"/>
      <c r="BI27" s="2562"/>
      <c r="BJ27" s="2562"/>
      <c r="BK27" s="2562"/>
      <c r="BL27" s="2562"/>
      <c r="BM27" s="2562"/>
      <c r="BN27" s="2562"/>
      <c r="BO27" s="2562"/>
      <c r="BP27" s="2562"/>
      <c r="BQ27" s="2562"/>
      <c r="BR27" s="2562"/>
      <c r="BS27" s="2562"/>
      <c r="BT27" s="2562"/>
      <c r="BU27" s="2562"/>
      <c r="BV27" s="2562"/>
      <c r="BW27" s="2562"/>
      <c r="BX27" s="2562"/>
      <c r="BY27" s="2562"/>
      <c r="BZ27" s="2562"/>
      <c r="CA27" s="2562"/>
      <c r="CB27" s="2562"/>
      <c r="CC27" s="2562"/>
      <c r="CD27" s="2562"/>
      <c r="CE27" s="2562"/>
      <c r="CF27" s="2562"/>
      <c r="CG27" s="2562"/>
      <c r="CH27" s="2562"/>
      <c r="CI27" s="2562"/>
      <c r="CJ27" s="2562"/>
      <c r="CK27" s="2562"/>
      <c r="CL27" s="2562"/>
      <c r="CM27" s="2562"/>
      <c r="CN27" s="2562"/>
      <c r="CO27" s="2562"/>
      <c r="CP27" s="2562"/>
      <c r="CQ27" s="2562"/>
      <c r="CR27" s="2562"/>
      <c r="CS27" s="2562"/>
      <c r="CT27" s="2562"/>
      <c r="CU27" s="2562"/>
      <c r="CV27" s="2562"/>
      <c r="CW27" s="2562"/>
      <c r="CX27" s="2562"/>
      <c r="CY27" s="2562"/>
      <c r="CZ27" s="2562"/>
      <c r="DA27" s="2562"/>
      <c r="DB27" s="2562"/>
      <c r="DC27" s="2562"/>
      <c r="DD27" s="2562"/>
      <c r="DE27" s="2562"/>
      <c r="DF27" s="2562"/>
      <c r="DG27" s="2562"/>
      <c r="DH27" s="2562"/>
      <c r="DI27" s="2562"/>
      <c r="DJ27" s="2562"/>
      <c r="DK27" s="2562"/>
      <c r="DL27" s="2562"/>
      <c r="DM27" s="2562"/>
      <c r="DN27" s="2562"/>
      <c r="DO27" s="2562"/>
      <c r="DP27" s="2562"/>
      <c r="DQ27" s="2562"/>
      <c r="DR27" s="2562"/>
      <c r="DS27" s="2562"/>
      <c r="DT27" s="2562"/>
      <c r="DU27" s="2562"/>
      <c r="DV27" s="2562"/>
      <c r="DW27" s="2562"/>
      <c r="DX27" s="2562"/>
      <c r="DY27" s="2562"/>
      <c r="DZ27" s="2562"/>
      <c r="EA27" s="2562"/>
      <c r="EB27" s="2562"/>
      <c r="EC27" s="2562"/>
      <c r="ED27" s="2562"/>
      <c r="EE27" s="2562"/>
      <c r="EF27" s="2562"/>
      <c r="EG27" s="2562"/>
      <c r="EH27" s="2562"/>
      <c r="EI27" s="2562"/>
      <c r="EJ27" s="2562"/>
      <c r="EK27" s="2562"/>
    </row>
    <row r="28" spans="1:148" ht="14.25" hidden="1"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2563"/>
      <c r="AM28" s="2563"/>
      <c r="AN28" s="2563"/>
      <c r="AO28" s="2563"/>
      <c r="AP28" s="2563"/>
      <c r="AQ28" s="2563"/>
      <c r="AR28" s="2563"/>
      <c r="AS28" s="2563"/>
      <c r="AT28" s="2563"/>
      <c r="AU28" s="2563"/>
      <c r="AV28" s="2563"/>
      <c r="AW28" s="2563"/>
      <c r="AX28" s="2563"/>
      <c r="AY28" s="2563"/>
      <c r="AZ28" s="2563"/>
      <c r="BA28" s="2563"/>
      <c r="BB28" s="2563"/>
      <c r="BC28" s="2563"/>
      <c r="BD28" s="2563"/>
      <c r="BE28" s="2563"/>
      <c r="BF28" s="2563"/>
      <c r="BG28" s="2563"/>
      <c r="BH28" s="2563"/>
      <c r="BI28" s="2563"/>
      <c r="BJ28" s="2563"/>
      <c r="BK28" s="2563"/>
      <c r="BL28" s="2563"/>
      <c r="BM28" s="2563"/>
      <c r="BN28" s="2563"/>
      <c r="BO28" s="2563"/>
      <c r="BP28" s="2563"/>
      <c r="BQ28" s="2563"/>
      <c r="BR28" s="2563"/>
      <c r="BS28" s="2563"/>
      <c r="BT28" s="2563"/>
      <c r="BU28" s="2563"/>
      <c r="BV28" s="2563"/>
      <c r="BW28" s="2563"/>
      <c r="BX28" s="2563"/>
      <c r="BY28" s="2563"/>
      <c r="BZ28" s="2563"/>
      <c r="CA28" s="2563"/>
      <c r="CB28" s="2563"/>
      <c r="CC28" s="2563"/>
      <c r="CD28" s="2563"/>
      <c r="CE28" s="2563"/>
      <c r="CF28" s="2563"/>
      <c r="CG28" s="2563"/>
      <c r="CH28" s="2563"/>
      <c r="CI28" s="2563"/>
      <c r="CJ28" s="2563"/>
      <c r="CK28" s="2563"/>
      <c r="CL28" s="2563"/>
      <c r="CM28" s="2563"/>
      <c r="CN28" s="2563"/>
      <c r="CO28" s="2563"/>
      <c r="CP28" s="2563"/>
      <c r="CQ28" s="2563"/>
      <c r="CR28" s="2563"/>
      <c r="CS28" s="2563"/>
      <c r="CT28" s="2563"/>
      <c r="CU28" s="2563"/>
      <c r="CV28" s="2563"/>
      <c r="CW28" s="2563"/>
      <c r="CX28" s="2563"/>
      <c r="CY28" s="2563"/>
      <c r="CZ28" s="2563"/>
      <c r="DA28" s="2563"/>
      <c r="DB28" s="2563"/>
      <c r="DC28" s="2563"/>
      <c r="DD28" s="2563"/>
      <c r="DE28" s="2563"/>
      <c r="DF28" s="2563"/>
      <c r="DG28" s="2563"/>
      <c r="DH28" s="2563"/>
      <c r="DI28" s="2563"/>
      <c r="DJ28" s="2563"/>
      <c r="DK28" s="2563"/>
      <c r="DL28" s="2563"/>
      <c r="DM28" s="2563"/>
      <c r="DN28" s="2563"/>
      <c r="DO28" s="2563"/>
      <c r="DP28" s="2563"/>
      <c r="DQ28" s="2563"/>
      <c r="DR28" s="2563"/>
      <c r="DS28" s="2563"/>
      <c r="DT28" s="2563"/>
      <c r="DU28" s="2563"/>
      <c r="DV28" s="2563"/>
      <c r="DW28" s="2563"/>
      <c r="DX28" s="2563"/>
      <c r="DY28" s="2563"/>
      <c r="DZ28" s="2563"/>
      <c r="EA28" s="2563"/>
      <c r="EB28" s="2563"/>
      <c r="EC28" s="2563"/>
      <c r="ED28" s="2563"/>
      <c r="EE28" s="2563"/>
      <c r="EF28" s="2563"/>
      <c r="EG28" s="2563"/>
      <c r="EH28" s="2563"/>
      <c r="EI28" s="2563"/>
      <c r="EJ28" s="2563"/>
      <c r="EK28" s="2563"/>
      <c r="EL28" s="435"/>
    </row>
    <row r="29" spans="1:148" s="2564" customFormat="1" ht="25.5" hidden="1" customHeight="1">
      <c r="A29" s="1284"/>
      <c r="B29" s="1284"/>
      <c r="C29" s="1284"/>
      <c r="D29" s="1284"/>
      <c r="E29" s="1284"/>
      <c r="F29" s="1284"/>
      <c r="G29" s="1284"/>
      <c r="H29" s="1284"/>
      <c r="I29" s="1284"/>
      <c r="J29" s="1284"/>
      <c r="K29" s="1284"/>
      <c r="L29" s="1285"/>
      <c r="M29" s="1284"/>
      <c r="N29" s="1284"/>
      <c r="O29" s="1284"/>
      <c r="S29" s="4066" t="s">
        <v>38</v>
      </c>
      <c r="T29" s="4066"/>
      <c r="U29" s="1288"/>
      <c r="V29" s="4067" t="str">
        <f>IF(TITLE_NAME_OR_PR_CHANGE="",IF(TITLE_NAME_OR_PR="","",TITLE_NAME_OR_PR),TITLE_NAME_OR_PR_CHANGE)</f>
        <v/>
      </c>
      <c r="W29" s="4067"/>
      <c r="X29" s="4067"/>
      <c r="Y29" s="4067"/>
      <c r="Z29" s="4067"/>
      <c r="AA29" s="4067"/>
      <c r="AB29" s="4067"/>
      <c r="AC29" s="253"/>
      <c r="AD29" s="4067" t="str">
        <f>IF(TITLE_NAME_OR_PR_CHANGE="",IF(TITLE_NAME_OR_PR="","",TITLE_NAME_OR_PR),TITLE_NAME_OR_PR_CHANGE)</f>
        <v/>
      </c>
      <c r="AE29" s="4067"/>
      <c r="AF29" s="4067"/>
      <c r="AG29" s="4067"/>
      <c r="AH29" s="4067"/>
      <c r="AI29" s="4067"/>
      <c r="AJ29" s="4067"/>
      <c r="AK29" s="253"/>
      <c r="AL29" s="4067" t="str">
        <f>IF(TITLE_NAME_OR_PR_CHANGE="",IF(TITLE_NAME_OR_PR="","",TITLE_NAME_OR_PR),TITLE_NAME_OR_PR_CHANGE)</f>
        <v/>
      </c>
      <c r="AM29" s="4067"/>
      <c r="AN29" s="4067"/>
      <c r="AO29" s="4067"/>
      <c r="AP29" s="4067"/>
      <c r="AQ29" s="4067"/>
      <c r="AR29" s="4067"/>
      <c r="AS29" s="1945"/>
      <c r="AT29" s="4067" t="str">
        <f>IF(TITLE_NAME_OR_PR_CHANGE="",IF(TITLE_NAME_OR_PR="","",TITLE_NAME_OR_PR),TITLE_NAME_OR_PR_CHANGE)</f>
        <v/>
      </c>
      <c r="AU29" s="4067"/>
      <c r="AV29" s="4067"/>
      <c r="AW29" s="4067"/>
      <c r="AX29" s="4067"/>
      <c r="AY29" s="4067"/>
      <c r="AZ29" s="4067"/>
      <c r="BA29" s="1945"/>
      <c r="BB29" s="4067" t="str">
        <f>IF(TITLE_NAME_OR_PR_CHANGE="",IF(TITLE_NAME_OR_PR="","",TITLE_NAME_OR_PR),TITLE_NAME_OR_PR_CHANGE)</f>
        <v/>
      </c>
      <c r="BC29" s="4067"/>
      <c r="BD29" s="4067"/>
      <c r="BE29" s="4067"/>
      <c r="BF29" s="4067"/>
      <c r="BG29" s="4067"/>
      <c r="BH29" s="4067"/>
      <c r="BI29" s="1945"/>
      <c r="BJ29" s="4067" t="str">
        <f>IF(TITLE_NAME_OR_PR_CHANGE="",IF(TITLE_NAME_OR_PR="","",TITLE_NAME_OR_PR),TITLE_NAME_OR_PR_CHANGE)</f>
        <v/>
      </c>
      <c r="BK29" s="4067"/>
      <c r="BL29" s="4067"/>
      <c r="BM29" s="4067"/>
      <c r="BN29" s="4067"/>
      <c r="BO29" s="4067"/>
      <c r="BP29" s="4067"/>
      <c r="BQ29" s="1945"/>
      <c r="BR29" s="4067" t="str">
        <f>IF(TITLE_NAME_OR_PR_CHANGE="",IF(TITLE_NAME_OR_PR="","",TITLE_NAME_OR_PR),TITLE_NAME_OR_PR_CHANGE)</f>
        <v/>
      </c>
      <c r="BS29" s="4067"/>
      <c r="BT29" s="4067"/>
      <c r="BU29" s="4067"/>
      <c r="BV29" s="4067"/>
      <c r="BW29" s="4067"/>
      <c r="BX29" s="4067"/>
      <c r="BY29" s="1945"/>
      <c r="BZ29" s="4067" t="str">
        <f>IF(TITLE_NAME_OR_PR_CHANGE="",IF(TITLE_NAME_OR_PR="","",TITLE_NAME_OR_PR),TITLE_NAME_OR_PR_CHANGE)</f>
        <v/>
      </c>
      <c r="CA29" s="4067"/>
      <c r="CB29" s="4067"/>
      <c r="CC29" s="4067"/>
      <c r="CD29" s="4067"/>
      <c r="CE29" s="4067"/>
      <c r="CF29" s="4067"/>
      <c r="CG29" s="1945"/>
      <c r="CH29" s="4067" t="str">
        <f>IF(TITLE_NAME_OR_PR_CHANGE="",IF(TITLE_NAME_OR_PR="","",TITLE_NAME_OR_PR),TITLE_NAME_OR_PR_CHANGE)</f>
        <v/>
      </c>
      <c r="CI29" s="4067"/>
      <c r="CJ29" s="4067"/>
      <c r="CK29" s="4067"/>
      <c r="CL29" s="4067"/>
      <c r="CM29" s="4067"/>
      <c r="CN29" s="4067"/>
      <c r="CO29" s="1945"/>
      <c r="CP29" s="4067" t="str">
        <f>IF(TITLE_NAME_OR_PR_CHANGE="",IF(TITLE_NAME_OR_PR="","",TITLE_NAME_OR_PR),TITLE_NAME_OR_PR_CHANGE)</f>
        <v/>
      </c>
      <c r="CQ29" s="4067"/>
      <c r="CR29" s="4067"/>
      <c r="CS29" s="4067"/>
      <c r="CT29" s="4067"/>
      <c r="CU29" s="4067"/>
      <c r="CV29" s="4067"/>
      <c r="CW29" s="1945"/>
      <c r="CX29" s="4067" t="str">
        <f>IF(TITLE_NAME_OR_PR_CHANGE="",IF(TITLE_NAME_OR_PR="","",TITLE_NAME_OR_PR),TITLE_NAME_OR_PR_CHANGE)</f>
        <v/>
      </c>
      <c r="CY29" s="4067"/>
      <c r="CZ29" s="4067"/>
      <c r="DA29" s="4067"/>
      <c r="DB29" s="4067"/>
      <c r="DC29" s="4067"/>
      <c r="DD29" s="4067"/>
      <c r="DE29" s="1945"/>
      <c r="DF29" s="4067" t="str">
        <f>IF(TITLE_NAME_OR_PR_CHANGE="",IF(TITLE_NAME_OR_PR="","",TITLE_NAME_OR_PR),TITLE_NAME_OR_PR_CHANGE)</f>
        <v/>
      </c>
      <c r="DG29" s="4067"/>
      <c r="DH29" s="4067"/>
      <c r="DI29" s="4067"/>
      <c r="DJ29" s="4067"/>
      <c r="DK29" s="4067"/>
      <c r="DL29" s="4067"/>
      <c r="DM29" s="1945"/>
      <c r="DN29" s="4067" t="str">
        <f>IF(TITLE_NAME_OR_PR_CHANGE="",IF(TITLE_NAME_OR_PR="","",TITLE_NAME_OR_PR),TITLE_NAME_OR_PR_CHANGE)</f>
        <v/>
      </c>
      <c r="DO29" s="4067"/>
      <c r="DP29" s="4067"/>
      <c r="DQ29" s="4067"/>
      <c r="DR29" s="4067"/>
      <c r="DS29" s="4067"/>
      <c r="DT29" s="4067"/>
      <c r="DU29" s="1945"/>
      <c r="DV29" s="4067" t="str">
        <f>IF(TITLE_NAME_OR_PR_CHANGE="",IF(TITLE_NAME_OR_PR="","",TITLE_NAME_OR_PR),TITLE_NAME_OR_PR_CHANGE)</f>
        <v/>
      </c>
      <c r="DW29" s="4067"/>
      <c r="DX29" s="4067"/>
      <c r="DY29" s="4067"/>
      <c r="DZ29" s="4067"/>
      <c r="EA29" s="4067"/>
      <c r="EB29" s="4067"/>
      <c r="EC29" s="1945"/>
      <c r="ED29" s="4067" t="str">
        <f>IF(TITLE_NAME_OR_PR_CHANGE="",IF(TITLE_NAME_OR_PR="","",TITLE_NAME_OR_PR),TITLE_NAME_OR_PR_CHANGE)</f>
        <v/>
      </c>
      <c r="EE29" s="4067"/>
      <c r="EF29" s="4067"/>
      <c r="EG29" s="4067"/>
      <c r="EH29" s="4067"/>
      <c r="EI29" s="4067"/>
      <c r="EJ29" s="4067"/>
      <c r="EK29" s="1945"/>
      <c r="EL29" s="253"/>
      <c r="EM29" s="200"/>
      <c r="EN29" s="296"/>
      <c r="EO29" s="296"/>
      <c r="EP29" s="296"/>
      <c r="EQ29" s="296"/>
      <c r="ER29" s="296"/>
    </row>
    <row r="30" spans="1:148" s="2564" customFormat="1" ht="18.75" hidden="1" customHeight="1">
      <c r="A30" s="1284"/>
      <c r="B30" s="1284"/>
      <c r="C30" s="1284"/>
      <c r="D30" s="1284"/>
      <c r="E30" s="1284"/>
      <c r="F30" s="1284"/>
      <c r="G30" s="1284"/>
      <c r="H30" s="1284"/>
      <c r="I30" s="1284"/>
      <c r="J30" s="1284"/>
      <c r="K30" s="1284"/>
      <c r="L30" s="1285"/>
      <c r="M30" s="1284"/>
      <c r="N30" s="1284"/>
      <c r="O30" s="1284"/>
      <c r="S30" s="4066" t="s">
        <v>412</v>
      </c>
      <c r="T30" s="4066"/>
      <c r="U30" s="1288"/>
      <c r="V30" s="4076">
        <f>IF(TITLE_DATE_PR_CHANGE="",IF(TITLE_DATE_PR="","",TITLE_DATE_PR),TITLE_DATE_PR_CHANGE)</f>
        <v>45289.465104166666</v>
      </c>
      <c r="W30" s="4076"/>
      <c r="X30" s="4076"/>
      <c r="Y30" s="4076"/>
      <c r="Z30" s="4076"/>
      <c r="AA30" s="4076"/>
      <c r="AB30" s="4076"/>
      <c r="AC30" s="253"/>
      <c r="AD30" s="4076">
        <f>IF(TITLE_DATE_PR_CHANGE="",IF(TITLE_DATE_PR="","",TITLE_DATE_PR),TITLE_DATE_PR_CHANGE)</f>
        <v>45289.465104166666</v>
      </c>
      <c r="AE30" s="4076"/>
      <c r="AF30" s="4076"/>
      <c r="AG30" s="4076"/>
      <c r="AH30" s="4076"/>
      <c r="AI30" s="4076"/>
      <c r="AJ30" s="4076"/>
      <c r="AK30" s="253"/>
      <c r="AL30" s="4076">
        <f>IF(TITLE_DATE_PR_CHANGE="",IF(TITLE_DATE_PR="","",TITLE_DATE_PR),TITLE_DATE_PR_CHANGE)</f>
        <v>45289.465104166666</v>
      </c>
      <c r="AM30" s="4076"/>
      <c r="AN30" s="4076"/>
      <c r="AO30" s="4076"/>
      <c r="AP30" s="4076"/>
      <c r="AQ30" s="4076"/>
      <c r="AR30" s="4076"/>
      <c r="AS30" s="1945"/>
      <c r="AT30" s="4076">
        <f>IF(TITLE_DATE_PR_CHANGE="",IF(TITLE_DATE_PR="","",TITLE_DATE_PR),TITLE_DATE_PR_CHANGE)</f>
        <v>45289.465104166666</v>
      </c>
      <c r="AU30" s="4076"/>
      <c r="AV30" s="4076"/>
      <c r="AW30" s="4076"/>
      <c r="AX30" s="4076"/>
      <c r="AY30" s="4076"/>
      <c r="AZ30" s="4076"/>
      <c r="BA30" s="1945"/>
      <c r="BB30" s="4076">
        <f>IF(TITLE_DATE_PR_CHANGE="",IF(TITLE_DATE_PR="","",TITLE_DATE_PR),TITLE_DATE_PR_CHANGE)</f>
        <v>45289.465104166666</v>
      </c>
      <c r="BC30" s="4076"/>
      <c r="BD30" s="4076"/>
      <c r="BE30" s="4076"/>
      <c r="BF30" s="4076"/>
      <c r="BG30" s="4076"/>
      <c r="BH30" s="4076"/>
      <c r="BI30" s="1945"/>
      <c r="BJ30" s="4076">
        <f>IF(TITLE_DATE_PR_CHANGE="",IF(TITLE_DATE_PR="","",TITLE_DATE_PR),TITLE_DATE_PR_CHANGE)</f>
        <v>45289.465104166666</v>
      </c>
      <c r="BK30" s="4076"/>
      <c r="BL30" s="4076"/>
      <c r="BM30" s="4076"/>
      <c r="BN30" s="4076"/>
      <c r="BO30" s="4076"/>
      <c r="BP30" s="4076"/>
      <c r="BQ30" s="1945"/>
      <c r="BR30" s="4076">
        <f>IF(TITLE_DATE_PR_CHANGE="",IF(TITLE_DATE_PR="","",TITLE_DATE_PR),TITLE_DATE_PR_CHANGE)</f>
        <v>45289.465104166666</v>
      </c>
      <c r="BS30" s="4076"/>
      <c r="BT30" s="4076"/>
      <c r="BU30" s="4076"/>
      <c r="BV30" s="4076"/>
      <c r="BW30" s="4076"/>
      <c r="BX30" s="4076"/>
      <c r="BY30" s="1945"/>
      <c r="BZ30" s="4076">
        <f>IF(TITLE_DATE_PR_CHANGE="",IF(TITLE_DATE_PR="","",TITLE_DATE_PR),TITLE_DATE_PR_CHANGE)</f>
        <v>45289.465104166666</v>
      </c>
      <c r="CA30" s="4076"/>
      <c r="CB30" s="4076"/>
      <c r="CC30" s="4076"/>
      <c r="CD30" s="4076"/>
      <c r="CE30" s="4076"/>
      <c r="CF30" s="4076"/>
      <c r="CG30" s="1945"/>
      <c r="CH30" s="4076">
        <f>IF(TITLE_DATE_PR_CHANGE="",IF(TITLE_DATE_PR="","",TITLE_DATE_PR),TITLE_DATE_PR_CHANGE)</f>
        <v>45289.465104166666</v>
      </c>
      <c r="CI30" s="4076"/>
      <c r="CJ30" s="4076"/>
      <c r="CK30" s="4076"/>
      <c r="CL30" s="4076"/>
      <c r="CM30" s="4076"/>
      <c r="CN30" s="4076"/>
      <c r="CO30" s="1945"/>
      <c r="CP30" s="4076">
        <f>IF(TITLE_DATE_PR_CHANGE="",IF(TITLE_DATE_PR="","",TITLE_DATE_PR),TITLE_DATE_PR_CHANGE)</f>
        <v>45289.465104166666</v>
      </c>
      <c r="CQ30" s="4076"/>
      <c r="CR30" s="4076"/>
      <c r="CS30" s="4076"/>
      <c r="CT30" s="4076"/>
      <c r="CU30" s="4076"/>
      <c r="CV30" s="4076"/>
      <c r="CW30" s="1945"/>
      <c r="CX30" s="4076">
        <f>IF(TITLE_DATE_PR_CHANGE="",IF(TITLE_DATE_PR="","",TITLE_DATE_PR),TITLE_DATE_PR_CHANGE)</f>
        <v>45289.465104166666</v>
      </c>
      <c r="CY30" s="4076"/>
      <c r="CZ30" s="4076"/>
      <c r="DA30" s="4076"/>
      <c r="DB30" s="4076"/>
      <c r="DC30" s="4076"/>
      <c r="DD30" s="4076"/>
      <c r="DE30" s="1945"/>
      <c r="DF30" s="4076">
        <f>IF(TITLE_DATE_PR_CHANGE="",IF(TITLE_DATE_PR="","",TITLE_DATE_PR),TITLE_DATE_PR_CHANGE)</f>
        <v>45289.465104166666</v>
      </c>
      <c r="DG30" s="4076"/>
      <c r="DH30" s="4076"/>
      <c r="DI30" s="4076"/>
      <c r="DJ30" s="4076"/>
      <c r="DK30" s="4076"/>
      <c r="DL30" s="4076"/>
      <c r="DM30" s="1945"/>
      <c r="DN30" s="4076">
        <f>IF(TITLE_DATE_PR_CHANGE="",IF(TITLE_DATE_PR="","",TITLE_DATE_PR),TITLE_DATE_PR_CHANGE)</f>
        <v>45289.465104166666</v>
      </c>
      <c r="DO30" s="4076"/>
      <c r="DP30" s="4076"/>
      <c r="DQ30" s="4076"/>
      <c r="DR30" s="4076"/>
      <c r="DS30" s="4076"/>
      <c r="DT30" s="4076"/>
      <c r="DU30" s="1945"/>
      <c r="DV30" s="4076">
        <f>IF(TITLE_DATE_PR_CHANGE="",IF(TITLE_DATE_PR="","",TITLE_DATE_PR),TITLE_DATE_PR_CHANGE)</f>
        <v>45289.465104166666</v>
      </c>
      <c r="DW30" s="4076"/>
      <c r="DX30" s="4076"/>
      <c r="DY30" s="4076"/>
      <c r="DZ30" s="4076"/>
      <c r="EA30" s="4076"/>
      <c r="EB30" s="4076"/>
      <c r="EC30" s="1945"/>
      <c r="ED30" s="4076">
        <f>IF(TITLE_DATE_PR_CHANGE="",IF(TITLE_DATE_PR="","",TITLE_DATE_PR),TITLE_DATE_PR_CHANGE)</f>
        <v>45289.465104166666</v>
      </c>
      <c r="EE30" s="4076"/>
      <c r="EF30" s="4076"/>
      <c r="EG30" s="4076"/>
      <c r="EH30" s="4076"/>
      <c r="EI30" s="4076"/>
      <c r="EJ30" s="4076"/>
      <c r="EK30" s="1945"/>
      <c r="EL30" s="253"/>
      <c r="EM30" s="200"/>
      <c r="EN30" s="296"/>
      <c r="EO30" s="296"/>
      <c r="EP30" s="296"/>
      <c r="EQ30" s="296"/>
      <c r="ER30" s="296"/>
    </row>
    <row r="31" spans="1:148" s="2564" customFormat="1" ht="18.75" hidden="1" customHeight="1">
      <c r="A31" s="1284"/>
      <c r="B31" s="1284"/>
      <c r="C31" s="1284"/>
      <c r="D31" s="1284"/>
      <c r="E31" s="1284"/>
      <c r="F31" s="1284"/>
      <c r="G31" s="1284"/>
      <c r="H31" s="1284"/>
      <c r="I31" s="1284"/>
      <c r="J31" s="1284"/>
      <c r="K31" s="1284"/>
      <c r="L31" s="1285"/>
      <c r="M31" s="1284"/>
      <c r="N31" s="1284"/>
      <c r="O31" s="1284"/>
      <c r="S31" s="4066" t="s">
        <v>413</v>
      </c>
      <c r="T31" s="4066"/>
      <c r="U31" s="1288"/>
      <c r="V31" s="4067" t="str">
        <f>IF(TITLE_NUMBER_PR_CHANGE="",IF(TITLE_NUMBER_PR="","",TITLE_NUMBER_PR),TITLE_NUMBER_PR_CHANGE)</f>
        <v>761-1/201-1</v>
      </c>
      <c r="W31" s="4067"/>
      <c r="X31" s="4067"/>
      <c r="Y31" s="4067"/>
      <c r="Z31" s="4067"/>
      <c r="AA31" s="4067"/>
      <c r="AB31" s="4067"/>
      <c r="AC31" s="253"/>
      <c r="AD31" s="4067" t="str">
        <f>IF(TITLE_NUMBER_PR_CHANGE="",IF(TITLE_NUMBER_PR="","",TITLE_NUMBER_PR),TITLE_NUMBER_PR_CHANGE)</f>
        <v>761-1/201-1</v>
      </c>
      <c r="AE31" s="4067"/>
      <c r="AF31" s="4067"/>
      <c r="AG31" s="4067"/>
      <c r="AH31" s="4067"/>
      <c r="AI31" s="4067"/>
      <c r="AJ31" s="4067"/>
      <c r="AK31" s="253"/>
      <c r="AL31" s="4067" t="str">
        <f>IF(TITLE_NUMBER_PR_CHANGE="",IF(TITLE_NUMBER_PR="","",TITLE_NUMBER_PR),TITLE_NUMBER_PR_CHANGE)</f>
        <v>761-1/201-1</v>
      </c>
      <c r="AM31" s="4067"/>
      <c r="AN31" s="4067"/>
      <c r="AO31" s="4067"/>
      <c r="AP31" s="4067"/>
      <c r="AQ31" s="4067"/>
      <c r="AR31" s="4067"/>
      <c r="AS31" s="1945"/>
      <c r="AT31" s="4067" t="str">
        <f>IF(TITLE_NUMBER_PR_CHANGE="",IF(TITLE_NUMBER_PR="","",TITLE_NUMBER_PR),TITLE_NUMBER_PR_CHANGE)</f>
        <v>761-1/201-1</v>
      </c>
      <c r="AU31" s="4067"/>
      <c r="AV31" s="4067"/>
      <c r="AW31" s="4067"/>
      <c r="AX31" s="4067"/>
      <c r="AY31" s="4067"/>
      <c r="AZ31" s="4067"/>
      <c r="BA31" s="1945"/>
      <c r="BB31" s="4067" t="str">
        <f>IF(TITLE_NUMBER_PR_CHANGE="",IF(TITLE_NUMBER_PR="","",TITLE_NUMBER_PR),TITLE_NUMBER_PR_CHANGE)</f>
        <v>761-1/201-1</v>
      </c>
      <c r="BC31" s="4067"/>
      <c r="BD31" s="4067"/>
      <c r="BE31" s="4067"/>
      <c r="BF31" s="4067"/>
      <c r="BG31" s="4067"/>
      <c r="BH31" s="4067"/>
      <c r="BI31" s="1945"/>
      <c r="BJ31" s="4067" t="str">
        <f>IF(TITLE_NUMBER_PR_CHANGE="",IF(TITLE_NUMBER_PR="","",TITLE_NUMBER_PR),TITLE_NUMBER_PR_CHANGE)</f>
        <v>761-1/201-1</v>
      </c>
      <c r="BK31" s="4067"/>
      <c r="BL31" s="4067"/>
      <c r="BM31" s="4067"/>
      <c r="BN31" s="4067"/>
      <c r="BO31" s="4067"/>
      <c r="BP31" s="4067"/>
      <c r="BQ31" s="1945"/>
      <c r="BR31" s="4067" t="str">
        <f>IF(TITLE_NUMBER_PR_CHANGE="",IF(TITLE_NUMBER_PR="","",TITLE_NUMBER_PR),TITLE_NUMBER_PR_CHANGE)</f>
        <v>761-1/201-1</v>
      </c>
      <c r="BS31" s="4067"/>
      <c r="BT31" s="4067"/>
      <c r="BU31" s="4067"/>
      <c r="BV31" s="4067"/>
      <c r="BW31" s="4067"/>
      <c r="BX31" s="4067"/>
      <c r="BY31" s="1945"/>
      <c r="BZ31" s="4067" t="str">
        <f>IF(TITLE_NUMBER_PR_CHANGE="",IF(TITLE_NUMBER_PR="","",TITLE_NUMBER_PR),TITLE_NUMBER_PR_CHANGE)</f>
        <v>761-1/201-1</v>
      </c>
      <c r="CA31" s="4067"/>
      <c r="CB31" s="4067"/>
      <c r="CC31" s="4067"/>
      <c r="CD31" s="4067"/>
      <c r="CE31" s="4067"/>
      <c r="CF31" s="4067"/>
      <c r="CG31" s="1945"/>
      <c r="CH31" s="4067" t="str">
        <f>IF(TITLE_NUMBER_PR_CHANGE="",IF(TITLE_NUMBER_PR="","",TITLE_NUMBER_PR),TITLE_NUMBER_PR_CHANGE)</f>
        <v>761-1/201-1</v>
      </c>
      <c r="CI31" s="4067"/>
      <c r="CJ31" s="4067"/>
      <c r="CK31" s="4067"/>
      <c r="CL31" s="4067"/>
      <c r="CM31" s="4067"/>
      <c r="CN31" s="4067"/>
      <c r="CO31" s="1945"/>
      <c r="CP31" s="4067" t="str">
        <f>IF(TITLE_NUMBER_PR_CHANGE="",IF(TITLE_NUMBER_PR="","",TITLE_NUMBER_PR),TITLE_NUMBER_PR_CHANGE)</f>
        <v>761-1/201-1</v>
      </c>
      <c r="CQ31" s="4067"/>
      <c r="CR31" s="4067"/>
      <c r="CS31" s="4067"/>
      <c r="CT31" s="4067"/>
      <c r="CU31" s="4067"/>
      <c r="CV31" s="4067"/>
      <c r="CW31" s="1945"/>
      <c r="CX31" s="4067" t="str">
        <f>IF(TITLE_NUMBER_PR_CHANGE="",IF(TITLE_NUMBER_PR="","",TITLE_NUMBER_PR),TITLE_NUMBER_PR_CHANGE)</f>
        <v>761-1/201-1</v>
      </c>
      <c r="CY31" s="4067"/>
      <c r="CZ31" s="4067"/>
      <c r="DA31" s="4067"/>
      <c r="DB31" s="4067"/>
      <c r="DC31" s="4067"/>
      <c r="DD31" s="4067"/>
      <c r="DE31" s="1945"/>
      <c r="DF31" s="4067" t="str">
        <f>IF(TITLE_NUMBER_PR_CHANGE="",IF(TITLE_NUMBER_PR="","",TITLE_NUMBER_PR),TITLE_NUMBER_PR_CHANGE)</f>
        <v>761-1/201-1</v>
      </c>
      <c r="DG31" s="4067"/>
      <c r="DH31" s="4067"/>
      <c r="DI31" s="4067"/>
      <c r="DJ31" s="4067"/>
      <c r="DK31" s="4067"/>
      <c r="DL31" s="4067"/>
      <c r="DM31" s="1945"/>
      <c r="DN31" s="4067" t="str">
        <f>IF(TITLE_NUMBER_PR_CHANGE="",IF(TITLE_NUMBER_PR="","",TITLE_NUMBER_PR),TITLE_NUMBER_PR_CHANGE)</f>
        <v>761-1/201-1</v>
      </c>
      <c r="DO31" s="4067"/>
      <c r="DP31" s="4067"/>
      <c r="DQ31" s="4067"/>
      <c r="DR31" s="4067"/>
      <c r="DS31" s="4067"/>
      <c r="DT31" s="4067"/>
      <c r="DU31" s="1945"/>
      <c r="DV31" s="4067" t="str">
        <f>IF(TITLE_NUMBER_PR_CHANGE="",IF(TITLE_NUMBER_PR="","",TITLE_NUMBER_PR),TITLE_NUMBER_PR_CHANGE)</f>
        <v>761-1/201-1</v>
      </c>
      <c r="DW31" s="4067"/>
      <c r="DX31" s="4067"/>
      <c r="DY31" s="4067"/>
      <c r="DZ31" s="4067"/>
      <c r="EA31" s="4067"/>
      <c r="EB31" s="4067"/>
      <c r="EC31" s="1945"/>
      <c r="ED31" s="4067" t="str">
        <f>IF(TITLE_NUMBER_PR_CHANGE="",IF(TITLE_NUMBER_PR="","",TITLE_NUMBER_PR),TITLE_NUMBER_PR_CHANGE)</f>
        <v>761-1/201-1</v>
      </c>
      <c r="EE31" s="4067"/>
      <c r="EF31" s="4067"/>
      <c r="EG31" s="4067"/>
      <c r="EH31" s="4067"/>
      <c r="EI31" s="4067"/>
      <c r="EJ31" s="4067"/>
      <c r="EK31" s="1945"/>
      <c r="EL31" s="253"/>
      <c r="EM31" s="200"/>
      <c r="EN31" s="296"/>
      <c r="EO31" s="296"/>
      <c r="EP31" s="296"/>
      <c r="EQ31" s="296"/>
      <c r="ER31" s="296"/>
    </row>
    <row r="32" spans="1:148" s="2564" customFormat="1" ht="18.75" hidden="1" customHeight="1">
      <c r="A32" s="1284"/>
      <c r="B32" s="1284"/>
      <c r="C32" s="1284"/>
      <c r="D32" s="1284"/>
      <c r="E32" s="1284"/>
      <c r="F32" s="1284"/>
      <c r="G32" s="1284"/>
      <c r="H32" s="1284"/>
      <c r="I32" s="1284"/>
      <c r="J32" s="1284"/>
      <c r="K32" s="1284"/>
      <c r="L32" s="1285"/>
      <c r="M32" s="1284"/>
      <c r="N32" s="1284"/>
      <c r="O32" s="1284"/>
      <c r="S32" s="4066" t="s">
        <v>39</v>
      </c>
      <c r="T32" s="4066"/>
      <c r="U32" s="1288"/>
      <c r="V32" s="4067" t="str">
        <f>IF(TITLE_IST_PUB_CHANGE="",IF(TITLE_IST_PUB="","",TITLE_IST_PUB),TITLE_IST_PUB_CHANGE)</f>
        <v/>
      </c>
      <c r="W32" s="4067"/>
      <c r="X32" s="4067"/>
      <c r="Y32" s="4067"/>
      <c r="Z32" s="4067"/>
      <c r="AA32" s="4067"/>
      <c r="AB32" s="4067"/>
      <c r="AC32" s="253"/>
      <c r="AD32" s="4067" t="str">
        <f>IF(TITLE_IST_PUB_CHANGE="",IF(TITLE_IST_PUB="","",TITLE_IST_PUB),TITLE_IST_PUB_CHANGE)</f>
        <v/>
      </c>
      <c r="AE32" s="4067"/>
      <c r="AF32" s="4067"/>
      <c r="AG32" s="4067"/>
      <c r="AH32" s="4067"/>
      <c r="AI32" s="4067"/>
      <c r="AJ32" s="4067"/>
      <c r="AK32" s="253"/>
      <c r="AL32" s="4067" t="str">
        <f>IF(TITLE_IST_PUB_CHANGE="",IF(TITLE_IST_PUB="","",TITLE_IST_PUB),TITLE_IST_PUB_CHANGE)</f>
        <v/>
      </c>
      <c r="AM32" s="4067"/>
      <c r="AN32" s="4067"/>
      <c r="AO32" s="4067"/>
      <c r="AP32" s="4067"/>
      <c r="AQ32" s="4067"/>
      <c r="AR32" s="4067"/>
      <c r="AS32" s="1945"/>
      <c r="AT32" s="4067" t="str">
        <f>IF(TITLE_IST_PUB_CHANGE="",IF(TITLE_IST_PUB="","",TITLE_IST_PUB),TITLE_IST_PUB_CHANGE)</f>
        <v/>
      </c>
      <c r="AU32" s="4067"/>
      <c r="AV32" s="4067"/>
      <c r="AW32" s="4067"/>
      <c r="AX32" s="4067"/>
      <c r="AY32" s="4067"/>
      <c r="AZ32" s="4067"/>
      <c r="BA32" s="1945"/>
      <c r="BB32" s="4067" t="str">
        <f>IF(TITLE_IST_PUB_CHANGE="",IF(TITLE_IST_PUB="","",TITLE_IST_PUB),TITLE_IST_PUB_CHANGE)</f>
        <v/>
      </c>
      <c r="BC32" s="4067"/>
      <c r="BD32" s="4067"/>
      <c r="BE32" s="4067"/>
      <c r="BF32" s="4067"/>
      <c r="BG32" s="4067"/>
      <c r="BH32" s="4067"/>
      <c r="BI32" s="1945"/>
      <c r="BJ32" s="4067" t="str">
        <f>IF(TITLE_IST_PUB_CHANGE="",IF(TITLE_IST_PUB="","",TITLE_IST_PUB),TITLE_IST_PUB_CHANGE)</f>
        <v/>
      </c>
      <c r="BK32" s="4067"/>
      <c r="BL32" s="4067"/>
      <c r="BM32" s="4067"/>
      <c r="BN32" s="4067"/>
      <c r="BO32" s="4067"/>
      <c r="BP32" s="4067"/>
      <c r="BQ32" s="1945"/>
      <c r="BR32" s="4067" t="str">
        <f>IF(TITLE_IST_PUB_CHANGE="",IF(TITLE_IST_PUB="","",TITLE_IST_PUB),TITLE_IST_PUB_CHANGE)</f>
        <v/>
      </c>
      <c r="BS32" s="4067"/>
      <c r="BT32" s="4067"/>
      <c r="BU32" s="4067"/>
      <c r="BV32" s="4067"/>
      <c r="BW32" s="4067"/>
      <c r="BX32" s="4067"/>
      <c r="BY32" s="1945"/>
      <c r="BZ32" s="4067" t="str">
        <f>IF(TITLE_IST_PUB_CHANGE="",IF(TITLE_IST_PUB="","",TITLE_IST_PUB),TITLE_IST_PUB_CHANGE)</f>
        <v/>
      </c>
      <c r="CA32" s="4067"/>
      <c r="CB32" s="4067"/>
      <c r="CC32" s="4067"/>
      <c r="CD32" s="4067"/>
      <c r="CE32" s="4067"/>
      <c r="CF32" s="4067"/>
      <c r="CG32" s="1945"/>
      <c r="CH32" s="4067" t="str">
        <f>IF(TITLE_IST_PUB_CHANGE="",IF(TITLE_IST_PUB="","",TITLE_IST_PUB),TITLE_IST_PUB_CHANGE)</f>
        <v/>
      </c>
      <c r="CI32" s="4067"/>
      <c r="CJ32" s="4067"/>
      <c r="CK32" s="4067"/>
      <c r="CL32" s="4067"/>
      <c r="CM32" s="4067"/>
      <c r="CN32" s="4067"/>
      <c r="CO32" s="1945"/>
      <c r="CP32" s="4067" t="str">
        <f>IF(TITLE_IST_PUB_CHANGE="",IF(TITLE_IST_PUB="","",TITLE_IST_PUB),TITLE_IST_PUB_CHANGE)</f>
        <v/>
      </c>
      <c r="CQ32" s="4067"/>
      <c r="CR32" s="4067"/>
      <c r="CS32" s="4067"/>
      <c r="CT32" s="4067"/>
      <c r="CU32" s="4067"/>
      <c r="CV32" s="4067"/>
      <c r="CW32" s="1945"/>
      <c r="CX32" s="4067" t="str">
        <f>IF(TITLE_IST_PUB_CHANGE="",IF(TITLE_IST_PUB="","",TITLE_IST_PUB),TITLE_IST_PUB_CHANGE)</f>
        <v/>
      </c>
      <c r="CY32" s="4067"/>
      <c r="CZ32" s="4067"/>
      <c r="DA32" s="4067"/>
      <c r="DB32" s="4067"/>
      <c r="DC32" s="4067"/>
      <c r="DD32" s="4067"/>
      <c r="DE32" s="1945"/>
      <c r="DF32" s="4067" t="str">
        <f>IF(TITLE_IST_PUB_CHANGE="",IF(TITLE_IST_PUB="","",TITLE_IST_PUB),TITLE_IST_PUB_CHANGE)</f>
        <v/>
      </c>
      <c r="DG32" s="4067"/>
      <c r="DH32" s="4067"/>
      <c r="DI32" s="4067"/>
      <c r="DJ32" s="4067"/>
      <c r="DK32" s="4067"/>
      <c r="DL32" s="4067"/>
      <c r="DM32" s="1945"/>
      <c r="DN32" s="4067" t="str">
        <f>IF(TITLE_IST_PUB_CHANGE="",IF(TITLE_IST_PUB="","",TITLE_IST_PUB),TITLE_IST_PUB_CHANGE)</f>
        <v/>
      </c>
      <c r="DO32" s="4067"/>
      <c r="DP32" s="4067"/>
      <c r="DQ32" s="4067"/>
      <c r="DR32" s="4067"/>
      <c r="DS32" s="4067"/>
      <c r="DT32" s="4067"/>
      <c r="DU32" s="1945"/>
      <c r="DV32" s="4067" t="str">
        <f>IF(TITLE_IST_PUB_CHANGE="",IF(TITLE_IST_PUB="","",TITLE_IST_PUB),TITLE_IST_PUB_CHANGE)</f>
        <v/>
      </c>
      <c r="DW32" s="4067"/>
      <c r="DX32" s="4067"/>
      <c r="DY32" s="4067"/>
      <c r="DZ32" s="4067"/>
      <c r="EA32" s="4067"/>
      <c r="EB32" s="4067"/>
      <c r="EC32" s="1945"/>
      <c r="ED32" s="4067" t="str">
        <f>IF(TITLE_IST_PUB_CHANGE="",IF(TITLE_IST_PUB="","",TITLE_IST_PUB),TITLE_IST_PUB_CHANGE)</f>
        <v/>
      </c>
      <c r="EE32" s="4067"/>
      <c r="EF32" s="4067"/>
      <c r="EG32" s="4067"/>
      <c r="EH32" s="4067"/>
      <c r="EI32" s="4067"/>
      <c r="EJ32" s="4067"/>
      <c r="EK32" s="1945"/>
      <c r="EL32" s="253"/>
      <c r="EM32" s="200"/>
      <c r="EN32" s="296"/>
      <c r="EO32" s="296"/>
      <c r="EP32" s="296"/>
      <c r="EQ32" s="296"/>
      <c r="ER32" s="296"/>
    </row>
    <row r="33" spans="1:148" ht="14.25"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2563"/>
      <c r="AM33" s="2563"/>
      <c r="AN33" s="2563"/>
      <c r="AO33" s="2563"/>
      <c r="AP33" s="2563"/>
      <c r="AQ33" s="2563"/>
      <c r="AR33" s="2563"/>
      <c r="AS33" s="2563"/>
      <c r="AT33" s="2563"/>
      <c r="AU33" s="2563"/>
      <c r="AV33" s="2563"/>
      <c r="AW33" s="2563"/>
      <c r="AX33" s="2563"/>
      <c r="AY33" s="2563"/>
      <c r="AZ33" s="2563"/>
      <c r="BA33" s="2563"/>
      <c r="BB33" s="2563"/>
      <c r="BC33" s="2563"/>
      <c r="BD33" s="2563"/>
      <c r="BE33" s="2563"/>
      <c r="BF33" s="2563"/>
      <c r="BG33" s="2563"/>
      <c r="BH33" s="2563"/>
      <c r="BI33" s="2563"/>
      <c r="BJ33" s="2563"/>
      <c r="BK33" s="2563"/>
      <c r="BL33" s="2563"/>
      <c r="BM33" s="2563"/>
      <c r="BN33" s="2563"/>
      <c r="BO33" s="2563"/>
      <c r="BP33" s="2563"/>
      <c r="BQ33" s="2563"/>
      <c r="BR33" s="2563"/>
      <c r="BS33" s="2563"/>
      <c r="BT33" s="2563"/>
      <c r="BU33" s="2563"/>
      <c r="BV33" s="2563"/>
      <c r="BW33" s="2563"/>
      <c r="BX33" s="2563"/>
      <c r="BY33" s="2563"/>
      <c r="BZ33" s="2563"/>
      <c r="CA33" s="2563"/>
      <c r="CB33" s="2563"/>
      <c r="CC33" s="2563"/>
      <c r="CD33" s="2563"/>
      <c r="CE33" s="2563"/>
      <c r="CF33" s="2563"/>
      <c r="CG33" s="2563"/>
      <c r="CH33" s="2563"/>
      <c r="CI33" s="2563"/>
      <c r="CJ33" s="2563"/>
      <c r="CK33" s="2563"/>
      <c r="CL33" s="2563"/>
      <c r="CM33" s="2563"/>
      <c r="CN33" s="2563"/>
      <c r="CO33" s="2563"/>
      <c r="CP33" s="2563"/>
      <c r="CQ33" s="2563"/>
      <c r="CR33" s="2563"/>
      <c r="CS33" s="2563"/>
      <c r="CT33" s="2563"/>
      <c r="CU33" s="2563"/>
      <c r="CV33" s="2563"/>
      <c r="CW33" s="2563"/>
      <c r="CX33" s="2563"/>
      <c r="CY33" s="2563"/>
      <c r="CZ33" s="2563"/>
      <c r="DA33" s="2563"/>
      <c r="DB33" s="2563"/>
      <c r="DC33" s="2563"/>
      <c r="DD33" s="2563"/>
      <c r="DE33" s="2563"/>
      <c r="DF33" s="2563"/>
      <c r="DG33" s="2563"/>
      <c r="DH33" s="2563"/>
      <c r="DI33" s="2563"/>
      <c r="DJ33" s="2563"/>
      <c r="DK33" s="2563"/>
      <c r="DL33" s="2563"/>
      <c r="DM33" s="2563"/>
      <c r="DN33" s="2563"/>
      <c r="DO33" s="2563"/>
      <c r="DP33" s="2563"/>
      <c r="DQ33" s="2563"/>
      <c r="DR33" s="2563"/>
      <c r="DS33" s="2563"/>
      <c r="DT33" s="2563"/>
      <c r="DU33" s="2563"/>
      <c r="DV33" s="2563"/>
      <c r="DW33" s="2563"/>
      <c r="DX33" s="2563"/>
      <c r="DY33" s="2563"/>
      <c r="DZ33" s="2563"/>
      <c r="EA33" s="2563"/>
      <c r="EB33" s="2563"/>
      <c r="EC33" s="2563"/>
      <c r="ED33" s="2563"/>
      <c r="EE33" s="2563"/>
      <c r="EF33" s="2563"/>
      <c r="EG33" s="2563"/>
      <c r="EH33" s="2563"/>
      <c r="EI33" s="2563"/>
      <c r="EJ33" s="2563"/>
      <c r="EK33" s="2563"/>
      <c r="EL33" s="435"/>
    </row>
    <row r="34" spans="1:148" s="2564" customFormat="1" ht="18.75" customHeight="1">
      <c r="A34" s="1284"/>
      <c r="B34" s="1284"/>
      <c r="C34" s="1284"/>
      <c r="D34" s="1284"/>
      <c r="E34" s="1284"/>
      <c r="F34" s="1284"/>
      <c r="G34" s="1284"/>
      <c r="H34" s="1284"/>
      <c r="I34" s="1284"/>
      <c r="J34" s="1284"/>
      <c r="K34" s="1284"/>
      <c r="L34" s="1285"/>
      <c r="M34" s="1284"/>
      <c r="N34" s="1284"/>
      <c r="O34" s="1284"/>
      <c r="S34" s="4066" t="s">
        <v>414</v>
      </c>
      <c r="T34" s="4066"/>
      <c r="U34" s="1288"/>
      <c r="V34" s="4076">
        <f>IF(TITLE_DATE_PR_CHANGE="",IF(TITLE_DATE_PR="","",TITLE_DATE_PR),TITLE_DATE_PR_CHANGE)</f>
        <v>45289.465104166666</v>
      </c>
      <c r="W34" s="4076"/>
      <c r="X34" s="4076"/>
      <c r="Y34" s="4076"/>
      <c r="Z34" s="4076"/>
      <c r="AA34" s="4076"/>
      <c r="AB34" s="4076"/>
      <c r="AC34" s="253"/>
      <c r="AD34" s="4076">
        <f>IF(TITLE_DATE_PR_CHANGE="",IF(TITLE_DATE_PR="","",TITLE_DATE_PR),TITLE_DATE_PR_CHANGE)</f>
        <v>45289.465104166666</v>
      </c>
      <c r="AE34" s="4076"/>
      <c r="AF34" s="4076"/>
      <c r="AG34" s="4076"/>
      <c r="AH34" s="4076"/>
      <c r="AI34" s="4076"/>
      <c r="AJ34" s="4076"/>
      <c r="AK34" s="253"/>
      <c r="AL34" s="4076">
        <f>IF(TITLE_DATE_PR_CHANGE="",IF(TITLE_DATE_PR="","",TITLE_DATE_PR),TITLE_DATE_PR_CHANGE)</f>
        <v>45289.465104166666</v>
      </c>
      <c r="AM34" s="4076"/>
      <c r="AN34" s="4076"/>
      <c r="AO34" s="4076"/>
      <c r="AP34" s="4076"/>
      <c r="AQ34" s="4076"/>
      <c r="AR34" s="4076"/>
      <c r="AS34" s="1945"/>
      <c r="AT34" s="4076">
        <f>IF(TITLE_DATE_PR_CHANGE="",IF(TITLE_DATE_PR="","",TITLE_DATE_PR),TITLE_DATE_PR_CHANGE)</f>
        <v>45289.465104166666</v>
      </c>
      <c r="AU34" s="4076"/>
      <c r="AV34" s="4076"/>
      <c r="AW34" s="4076"/>
      <c r="AX34" s="4076"/>
      <c r="AY34" s="4076"/>
      <c r="AZ34" s="4076"/>
      <c r="BA34" s="1945"/>
      <c r="BB34" s="4076">
        <f>IF(TITLE_DATE_PR_CHANGE="",IF(TITLE_DATE_PR="","",TITLE_DATE_PR),TITLE_DATE_PR_CHANGE)</f>
        <v>45289.465104166666</v>
      </c>
      <c r="BC34" s="4076"/>
      <c r="BD34" s="4076"/>
      <c r="BE34" s="4076"/>
      <c r="BF34" s="4076"/>
      <c r="BG34" s="4076"/>
      <c r="BH34" s="4076"/>
      <c r="BI34" s="1945"/>
      <c r="BJ34" s="4076">
        <f>IF(TITLE_DATE_PR_CHANGE="",IF(TITLE_DATE_PR="","",TITLE_DATE_PR),TITLE_DATE_PR_CHANGE)</f>
        <v>45289.465104166666</v>
      </c>
      <c r="BK34" s="4076"/>
      <c r="BL34" s="4076"/>
      <c r="BM34" s="4076"/>
      <c r="BN34" s="4076"/>
      <c r="BO34" s="4076"/>
      <c r="BP34" s="4076"/>
      <c r="BQ34" s="1945"/>
      <c r="BR34" s="4076">
        <f>IF(TITLE_DATE_PR_CHANGE="",IF(TITLE_DATE_PR="","",TITLE_DATE_PR),TITLE_DATE_PR_CHANGE)</f>
        <v>45289.465104166666</v>
      </c>
      <c r="BS34" s="4076"/>
      <c r="BT34" s="4076"/>
      <c r="BU34" s="4076"/>
      <c r="BV34" s="4076"/>
      <c r="BW34" s="4076"/>
      <c r="BX34" s="4076"/>
      <c r="BY34" s="1945"/>
      <c r="BZ34" s="4076">
        <f>IF(TITLE_DATE_PR_CHANGE="",IF(TITLE_DATE_PR="","",TITLE_DATE_PR),TITLE_DATE_PR_CHANGE)</f>
        <v>45289.465104166666</v>
      </c>
      <c r="CA34" s="4076"/>
      <c r="CB34" s="4076"/>
      <c r="CC34" s="4076"/>
      <c r="CD34" s="4076"/>
      <c r="CE34" s="4076"/>
      <c r="CF34" s="4076"/>
      <c r="CG34" s="1945"/>
      <c r="CH34" s="4076">
        <f>IF(TITLE_DATE_PR_CHANGE="",IF(TITLE_DATE_PR="","",TITLE_DATE_PR),TITLE_DATE_PR_CHANGE)</f>
        <v>45289.465104166666</v>
      </c>
      <c r="CI34" s="4076"/>
      <c r="CJ34" s="4076"/>
      <c r="CK34" s="4076"/>
      <c r="CL34" s="4076"/>
      <c r="CM34" s="4076"/>
      <c r="CN34" s="4076"/>
      <c r="CO34" s="1945"/>
      <c r="CP34" s="4076">
        <f>IF(TITLE_DATE_PR_CHANGE="",IF(TITLE_DATE_PR="","",TITLE_DATE_PR),TITLE_DATE_PR_CHANGE)</f>
        <v>45289.465104166666</v>
      </c>
      <c r="CQ34" s="4076"/>
      <c r="CR34" s="4076"/>
      <c r="CS34" s="4076"/>
      <c r="CT34" s="4076"/>
      <c r="CU34" s="4076"/>
      <c r="CV34" s="4076"/>
      <c r="CW34" s="1945"/>
      <c r="CX34" s="4076">
        <f>IF(TITLE_DATE_PR_CHANGE="",IF(TITLE_DATE_PR="","",TITLE_DATE_PR),TITLE_DATE_PR_CHANGE)</f>
        <v>45289.465104166666</v>
      </c>
      <c r="CY34" s="4076"/>
      <c r="CZ34" s="4076"/>
      <c r="DA34" s="4076"/>
      <c r="DB34" s="4076"/>
      <c r="DC34" s="4076"/>
      <c r="DD34" s="4076"/>
      <c r="DE34" s="1945"/>
      <c r="DF34" s="4076">
        <f>IF(TITLE_DATE_PR_CHANGE="",IF(TITLE_DATE_PR="","",TITLE_DATE_PR),TITLE_DATE_PR_CHANGE)</f>
        <v>45289.465104166666</v>
      </c>
      <c r="DG34" s="4076"/>
      <c r="DH34" s="4076"/>
      <c r="DI34" s="4076"/>
      <c r="DJ34" s="4076"/>
      <c r="DK34" s="4076"/>
      <c r="DL34" s="4076"/>
      <c r="DM34" s="1945"/>
      <c r="DN34" s="4076">
        <f>IF(TITLE_DATE_PR_CHANGE="",IF(TITLE_DATE_PR="","",TITLE_DATE_PR),TITLE_DATE_PR_CHANGE)</f>
        <v>45289.465104166666</v>
      </c>
      <c r="DO34" s="4076"/>
      <c r="DP34" s="4076"/>
      <c r="DQ34" s="4076"/>
      <c r="DR34" s="4076"/>
      <c r="DS34" s="4076"/>
      <c r="DT34" s="4076"/>
      <c r="DU34" s="1945"/>
      <c r="DV34" s="4076">
        <f>IF(TITLE_DATE_PR_CHANGE="",IF(TITLE_DATE_PR="","",TITLE_DATE_PR),TITLE_DATE_PR_CHANGE)</f>
        <v>45289.465104166666</v>
      </c>
      <c r="DW34" s="4076"/>
      <c r="DX34" s="4076"/>
      <c r="DY34" s="4076"/>
      <c r="DZ34" s="4076"/>
      <c r="EA34" s="4076"/>
      <c r="EB34" s="4076"/>
      <c r="EC34" s="1945"/>
      <c r="ED34" s="4076">
        <f>IF(TITLE_DATE_PR_CHANGE="",IF(TITLE_DATE_PR="","",TITLE_DATE_PR),TITLE_DATE_PR_CHANGE)</f>
        <v>45289.465104166666</v>
      </c>
      <c r="EE34" s="4076"/>
      <c r="EF34" s="4076"/>
      <c r="EG34" s="4076"/>
      <c r="EH34" s="4076"/>
      <c r="EI34" s="4076"/>
      <c r="EJ34" s="4076"/>
      <c r="EK34" s="1945"/>
      <c r="EL34" s="253"/>
      <c r="EM34" s="200"/>
      <c r="EN34" s="296"/>
      <c r="EO34" s="296"/>
      <c r="EP34" s="296"/>
      <c r="EQ34" s="296"/>
      <c r="ER34" s="296"/>
    </row>
    <row r="35" spans="1:148" s="2564" customFormat="1" ht="18.75" customHeight="1">
      <c r="A35" s="1284"/>
      <c r="B35" s="1284"/>
      <c r="C35" s="1284"/>
      <c r="D35" s="1284"/>
      <c r="E35" s="1284"/>
      <c r="F35" s="1284"/>
      <c r="G35" s="1284"/>
      <c r="H35" s="1284"/>
      <c r="I35" s="1284"/>
      <c r="J35" s="1284"/>
      <c r="K35" s="1284"/>
      <c r="L35" s="1285"/>
      <c r="M35" s="1284"/>
      <c r="N35" s="1284"/>
      <c r="O35" s="1284"/>
      <c r="S35" s="4066" t="s">
        <v>415</v>
      </c>
      <c r="T35" s="4066"/>
      <c r="U35" s="1288"/>
      <c r="V35" s="4067" t="str">
        <f>IF(TITLE_NUMBER_PR_CHANGE="",IF(TITLE_NUMBER_PR="","",TITLE_NUMBER_PR),TITLE_NUMBER_PR_CHANGE)</f>
        <v>761-1/201-1</v>
      </c>
      <c r="W35" s="4067"/>
      <c r="X35" s="4067"/>
      <c r="Y35" s="4067"/>
      <c r="Z35" s="4067"/>
      <c r="AA35" s="4067"/>
      <c r="AB35" s="4067"/>
      <c r="AC35" s="253"/>
      <c r="AD35" s="4067" t="str">
        <f>IF(TITLE_NUMBER_PR_CHANGE="",IF(TITLE_NUMBER_PR="","",TITLE_NUMBER_PR),TITLE_NUMBER_PR_CHANGE)</f>
        <v>761-1/201-1</v>
      </c>
      <c r="AE35" s="4067"/>
      <c r="AF35" s="4067"/>
      <c r="AG35" s="4067"/>
      <c r="AH35" s="4067"/>
      <c r="AI35" s="4067"/>
      <c r="AJ35" s="4067"/>
      <c r="AK35" s="253"/>
      <c r="AL35" s="4067" t="str">
        <f>IF(TITLE_NUMBER_PR_CHANGE="",IF(TITLE_NUMBER_PR="","",TITLE_NUMBER_PR),TITLE_NUMBER_PR_CHANGE)</f>
        <v>761-1/201-1</v>
      </c>
      <c r="AM35" s="4067"/>
      <c r="AN35" s="4067"/>
      <c r="AO35" s="4067"/>
      <c r="AP35" s="4067"/>
      <c r="AQ35" s="4067"/>
      <c r="AR35" s="4067"/>
      <c r="AS35" s="1945"/>
      <c r="AT35" s="4067" t="str">
        <f>IF(TITLE_NUMBER_PR_CHANGE="",IF(TITLE_NUMBER_PR="","",TITLE_NUMBER_PR),TITLE_NUMBER_PR_CHANGE)</f>
        <v>761-1/201-1</v>
      </c>
      <c r="AU35" s="4067"/>
      <c r="AV35" s="4067"/>
      <c r="AW35" s="4067"/>
      <c r="AX35" s="4067"/>
      <c r="AY35" s="4067"/>
      <c r="AZ35" s="4067"/>
      <c r="BA35" s="1945"/>
      <c r="BB35" s="4067" t="str">
        <f>IF(TITLE_NUMBER_PR_CHANGE="",IF(TITLE_NUMBER_PR="","",TITLE_NUMBER_PR),TITLE_NUMBER_PR_CHANGE)</f>
        <v>761-1/201-1</v>
      </c>
      <c r="BC35" s="4067"/>
      <c r="BD35" s="4067"/>
      <c r="BE35" s="4067"/>
      <c r="BF35" s="4067"/>
      <c r="BG35" s="4067"/>
      <c r="BH35" s="4067"/>
      <c r="BI35" s="1945"/>
      <c r="BJ35" s="4067" t="str">
        <f>IF(TITLE_NUMBER_PR_CHANGE="",IF(TITLE_NUMBER_PR="","",TITLE_NUMBER_PR),TITLE_NUMBER_PR_CHANGE)</f>
        <v>761-1/201-1</v>
      </c>
      <c r="BK35" s="4067"/>
      <c r="BL35" s="4067"/>
      <c r="BM35" s="4067"/>
      <c r="BN35" s="4067"/>
      <c r="BO35" s="4067"/>
      <c r="BP35" s="4067"/>
      <c r="BQ35" s="1945"/>
      <c r="BR35" s="4067" t="str">
        <f>IF(TITLE_NUMBER_PR_CHANGE="",IF(TITLE_NUMBER_PR="","",TITLE_NUMBER_PR),TITLE_NUMBER_PR_CHANGE)</f>
        <v>761-1/201-1</v>
      </c>
      <c r="BS35" s="4067"/>
      <c r="BT35" s="4067"/>
      <c r="BU35" s="4067"/>
      <c r="BV35" s="4067"/>
      <c r="BW35" s="4067"/>
      <c r="BX35" s="4067"/>
      <c r="BY35" s="1945"/>
      <c r="BZ35" s="4067" t="str">
        <f>IF(TITLE_NUMBER_PR_CHANGE="",IF(TITLE_NUMBER_PR="","",TITLE_NUMBER_PR),TITLE_NUMBER_PR_CHANGE)</f>
        <v>761-1/201-1</v>
      </c>
      <c r="CA35" s="4067"/>
      <c r="CB35" s="4067"/>
      <c r="CC35" s="4067"/>
      <c r="CD35" s="4067"/>
      <c r="CE35" s="4067"/>
      <c r="CF35" s="4067"/>
      <c r="CG35" s="1945"/>
      <c r="CH35" s="4067" t="str">
        <f>IF(TITLE_NUMBER_PR_CHANGE="",IF(TITLE_NUMBER_PR="","",TITLE_NUMBER_PR),TITLE_NUMBER_PR_CHANGE)</f>
        <v>761-1/201-1</v>
      </c>
      <c r="CI35" s="4067"/>
      <c r="CJ35" s="4067"/>
      <c r="CK35" s="4067"/>
      <c r="CL35" s="4067"/>
      <c r="CM35" s="4067"/>
      <c r="CN35" s="4067"/>
      <c r="CO35" s="1945"/>
      <c r="CP35" s="4067" t="str">
        <f>IF(TITLE_NUMBER_PR_CHANGE="",IF(TITLE_NUMBER_PR="","",TITLE_NUMBER_PR),TITLE_NUMBER_PR_CHANGE)</f>
        <v>761-1/201-1</v>
      </c>
      <c r="CQ35" s="4067"/>
      <c r="CR35" s="4067"/>
      <c r="CS35" s="4067"/>
      <c r="CT35" s="4067"/>
      <c r="CU35" s="4067"/>
      <c r="CV35" s="4067"/>
      <c r="CW35" s="1945"/>
      <c r="CX35" s="4067" t="str">
        <f>IF(TITLE_NUMBER_PR_CHANGE="",IF(TITLE_NUMBER_PR="","",TITLE_NUMBER_PR),TITLE_NUMBER_PR_CHANGE)</f>
        <v>761-1/201-1</v>
      </c>
      <c r="CY35" s="4067"/>
      <c r="CZ35" s="4067"/>
      <c r="DA35" s="4067"/>
      <c r="DB35" s="4067"/>
      <c r="DC35" s="4067"/>
      <c r="DD35" s="4067"/>
      <c r="DE35" s="1945"/>
      <c r="DF35" s="4067" t="str">
        <f>IF(TITLE_NUMBER_PR_CHANGE="",IF(TITLE_NUMBER_PR="","",TITLE_NUMBER_PR),TITLE_NUMBER_PR_CHANGE)</f>
        <v>761-1/201-1</v>
      </c>
      <c r="DG35" s="4067"/>
      <c r="DH35" s="4067"/>
      <c r="DI35" s="4067"/>
      <c r="DJ35" s="4067"/>
      <c r="DK35" s="4067"/>
      <c r="DL35" s="4067"/>
      <c r="DM35" s="1945"/>
      <c r="DN35" s="4067" t="str">
        <f>IF(TITLE_NUMBER_PR_CHANGE="",IF(TITLE_NUMBER_PR="","",TITLE_NUMBER_PR),TITLE_NUMBER_PR_CHANGE)</f>
        <v>761-1/201-1</v>
      </c>
      <c r="DO35" s="4067"/>
      <c r="DP35" s="4067"/>
      <c r="DQ35" s="4067"/>
      <c r="DR35" s="4067"/>
      <c r="DS35" s="4067"/>
      <c r="DT35" s="4067"/>
      <c r="DU35" s="1945"/>
      <c r="DV35" s="4067" t="str">
        <f>IF(TITLE_NUMBER_PR_CHANGE="",IF(TITLE_NUMBER_PR="","",TITLE_NUMBER_PR),TITLE_NUMBER_PR_CHANGE)</f>
        <v>761-1/201-1</v>
      </c>
      <c r="DW35" s="4067"/>
      <c r="DX35" s="4067"/>
      <c r="DY35" s="4067"/>
      <c r="DZ35" s="4067"/>
      <c r="EA35" s="4067"/>
      <c r="EB35" s="4067"/>
      <c r="EC35" s="1945"/>
      <c r="ED35" s="4067" t="str">
        <f>IF(TITLE_NUMBER_PR_CHANGE="",IF(TITLE_NUMBER_PR="","",TITLE_NUMBER_PR),TITLE_NUMBER_PR_CHANGE)</f>
        <v>761-1/201-1</v>
      </c>
      <c r="EE35" s="4067"/>
      <c r="EF35" s="4067"/>
      <c r="EG35" s="4067"/>
      <c r="EH35" s="4067"/>
      <c r="EI35" s="4067"/>
      <c r="EJ35" s="4067"/>
      <c r="EK35" s="1945"/>
      <c r="EL35" s="253"/>
      <c r="EM35" s="200"/>
      <c r="EN35" s="296"/>
      <c r="EO35" s="296"/>
      <c r="EP35" s="296"/>
      <c r="EQ35" s="296"/>
      <c r="ER35" s="296"/>
    </row>
    <row r="36" spans="1:148" s="2564"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416</v>
      </c>
      <c r="AD36" s="253"/>
      <c r="AE36" s="253"/>
      <c r="AF36" s="253"/>
      <c r="AG36" s="253"/>
      <c r="AH36" s="253"/>
      <c r="AI36" s="253"/>
      <c r="AJ36" s="253"/>
      <c r="AK36" s="198" t="s">
        <v>416</v>
      </c>
      <c r="AL36" s="1945"/>
      <c r="AM36" s="1945"/>
      <c r="AN36" s="1945"/>
      <c r="AO36" s="1945"/>
      <c r="AP36" s="1945"/>
      <c r="AQ36" s="1945"/>
      <c r="AR36" s="1945"/>
      <c r="AS36" s="2566" t="s">
        <v>416</v>
      </c>
      <c r="AT36" s="1945"/>
      <c r="AU36" s="1945"/>
      <c r="AV36" s="1945"/>
      <c r="AW36" s="1945"/>
      <c r="AX36" s="1945"/>
      <c r="AY36" s="1945"/>
      <c r="AZ36" s="1945"/>
      <c r="BA36" s="2566" t="s">
        <v>416</v>
      </c>
      <c r="BB36" s="1945"/>
      <c r="BC36" s="1945"/>
      <c r="BD36" s="1945"/>
      <c r="BE36" s="1945"/>
      <c r="BF36" s="1945"/>
      <c r="BG36" s="1945"/>
      <c r="BH36" s="1945"/>
      <c r="BI36" s="2566" t="s">
        <v>416</v>
      </c>
      <c r="BJ36" s="1945"/>
      <c r="BK36" s="1945"/>
      <c r="BL36" s="1945"/>
      <c r="BM36" s="1945"/>
      <c r="BN36" s="1945"/>
      <c r="BO36" s="1945"/>
      <c r="BP36" s="1945"/>
      <c r="BQ36" s="2566" t="s">
        <v>416</v>
      </c>
      <c r="BR36" s="1945"/>
      <c r="BS36" s="1945"/>
      <c r="BT36" s="1945"/>
      <c r="BU36" s="1945"/>
      <c r="BV36" s="1945"/>
      <c r="BW36" s="1945"/>
      <c r="BX36" s="1945"/>
      <c r="BY36" s="2566" t="s">
        <v>416</v>
      </c>
      <c r="BZ36" s="1945"/>
      <c r="CA36" s="1945"/>
      <c r="CB36" s="1945"/>
      <c r="CC36" s="1945"/>
      <c r="CD36" s="1945"/>
      <c r="CE36" s="1945"/>
      <c r="CF36" s="1945"/>
      <c r="CG36" s="2566" t="s">
        <v>416</v>
      </c>
      <c r="CH36" s="1945"/>
      <c r="CI36" s="1945"/>
      <c r="CJ36" s="1945"/>
      <c r="CK36" s="1945"/>
      <c r="CL36" s="1945"/>
      <c r="CM36" s="1945"/>
      <c r="CN36" s="1945"/>
      <c r="CO36" s="2566" t="s">
        <v>416</v>
      </c>
      <c r="CP36" s="1945"/>
      <c r="CQ36" s="1945"/>
      <c r="CR36" s="1945"/>
      <c r="CS36" s="1945"/>
      <c r="CT36" s="1945"/>
      <c r="CU36" s="1945"/>
      <c r="CV36" s="1945"/>
      <c r="CW36" s="2566" t="s">
        <v>416</v>
      </c>
      <c r="CX36" s="1945"/>
      <c r="CY36" s="1945"/>
      <c r="CZ36" s="1945"/>
      <c r="DA36" s="1945"/>
      <c r="DB36" s="1945"/>
      <c r="DC36" s="1945"/>
      <c r="DD36" s="1945"/>
      <c r="DE36" s="2566" t="s">
        <v>416</v>
      </c>
      <c r="DF36" s="1945"/>
      <c r="DG36" s="1945"/>
      <c r="DH36" s="1945"/>
      <c r="DI36" s="1945"/>
      <c r="DJ36" s="1945"/>
      <c r="DK36" s="1945"/>
      <c r="DL36" s="1945"/>
      <c r="DM36" s="2566" t="s">
        <v>416</v>
      </c>
      <c r="DN36" s="1945"/>
      <c r="DO36" s="1945"/>
      <c r="DP36" s="1945"/>
      <c r="DQ36" s="1945"/>
      <c r="DR36" s="1945"/>
      <c r="DS36" s="1945"/>
      <c r="DT36" s="1945"/>
      <c r="DU36" s="2566" t="s">
        <v>416</v>
      </c>
      <c r="DV36" s="1945"/>
      <c r="DW36" s="1945"/>
      <c r="DX36" s="1945"/>
      <c r="DY36" s="1945"/>
      <c r="DZ36" s="1945"/>
      <c r="EA36" s="1945"/>
      <c r="EB36" s="1945"/>
      <c r="EC36" s="2566" t="s">
        <v>416</v>
      </c>
      <c r="ED36" s="1945"/>
      <c r="EE36" s="1945"/>
      <c r="EF36" s="1945"/>
      <c r="EG36" s="1945"/>
      <c r="EH36" s="1945"/>
      <c r="EI36" s="1945"/>
      <c r="EJ36" s="1945"/>
      <c r="EK36" s="2566" t="s">
        <v>416</v>
      </c>
      <c r="EN36" s="296"/>
      <c r="EO36" s="296"/>
      <c r="EP36" s="296"/>
      <c r="EQ36" s="296"/>
      <c r="ER36" s="296"/>
    </row>
    <row r="37" spans="1:148" ht="14.25" customHeight="1">
      <c r="Q37" s="305"/>
      <c r="R37" s="305"/>
      <c r="S37" s="1195"/>
      <c r="T37" s="290"/>
      <c r="U37" s="1153"/>
      <c r="V37" s="4068"/>
      <c r="W37" s="4068"/>
      <c r="X37" s="4068"/>
      <c r="Y37" s="4068"/>
      <c r="Z37" s="4068"/>
      <c r="AA37" s="4068"/>
      <c r="AB37" s="4068"/>
      <c r="AC37" s="4068"/>
      <c r="AD37" s="4068"/>
      <c r="AE37" s="4068"/>
      <c r="AF37" s="4068"/>
      <c r="AG37" s="4068"/>
      <c r="AH37" s="4068"/>
      <c r="AI37" s="4068"/>
      <c r="AJ37" s="4068"/>
      <c r="AK37" s="4068"/>
      <c r="AL37" s="4068" t="s">
        <v>417</v>
      </c>
      <c r="AM37" s="4068"/>
      <c r="AN37" s="4068"/>
      <c r="AO37" s="4068"/>
      <c r="AP37" s="4068"/>
      <c r="AQ37" s="4068"/>
      <c r="AR37" s="4068"/>
      <c r="AS37" s="4068"/>
      <c r="AT37" s="4068" t="s">
        <v>417</v>
      </c>
      <c r="AU37" s="4068"/>
      <c r="AV37" s="4068"/>
      <c r="AW37" s="4068"/>
      <c r="AX37" s="4068"/>
      <c r="AY37" s="4068"/>
      <c r="AZ37" s="4068"/>
      <c r="BA37" s="4068"/>
      <c r="BB37" s="4068" t="s">
        <v>417</v>
      </c>
      <c r="BC37" s="4068"/>
      <c r="BD37" s="4068"/>
      <c r="BE37" s="4068"/>
      <c r="BF37" s="4068"/>
      <c r="BG37" s="4068"/>
      <c r="BH37" s="4068"/>
      <c r="BI37" s="4068"/>
      <c r="BJ37" s="4068" t="s">
        <v>417</v>
      </c>
      <c r="BK37" s="4068"/>
      <c r="BL37" s="4068"/>
      <c r="BM37" s="4068"/>
      <c r="BN37" s="4068"/>
      <c r="BO37" s="4068"/>
      <c r="BP37" s="4068"/>
      <c r="BQ37" s="4068"/>
      <c r="BR37" s="4068" t="s">
        <v>417</v>
      </c>
      <c r="BS37" s="4068"/>
      <c r="BT37" s="4068"/>
      <c r="BU37" s="4068"/>
      <c r="BV37" s="4068"/>
      <c r="BW37" s="4068"/>
      <c r="BX37" s="4068"/>
      <c r="BY37" s="4068"/>
      <c r="BZ37" s="4068" t="s">
        <v>417</v>
      </c>
      <c r="CA37" s="4068"/>
      <c r="CB37" s="4068"/>
      <c r="CC37" s="4068"/>
      <c r="CD37" s="4068"/>
      <c r="CE37" s="4068"/>
      <c r="CF37" s="4068"/>
      <c r="CG37" s="4068"/>
      <c r="CH37" s="4068" t="s">
        <v>417</v>
      </c>
      <c r="CI37" s="4068"/>
      <c r="CJ37" s="4068"/>
      <c r="CK37" s="4068"/>
      <c r="CL37" s="4068"/>
      <c r="CM37" s="4068"/>
      <c r="CN37" s="4068"/>
      <c r="CO37" s="4068"/>
      <c r="CP37" s="4068" t="s">
        <v>417</v>
      </c>
      <c r="CQ37" s="4068"/>
      <c r="CR37" s="4068"/>
      <c r="CS37" s="4068"/>
      <c r="CT37" s="4068"/>
      <c r="CU37" s="4068"/>
      <c r="CV37" s="4068"/>
      <c r="CW37" s="4068"/>
      <c r="CX37" s="4068" t="s">
        <v>417</v>
      </c>
      <c r="CY37" s="4068"/>
      <c r="CZ37" s="4068"/>
      <c r="DA37" s="4068"/>
      <c r="DB37" s="4068"/>
      <c r="DC37" s="4068"/>
      <c r="DD37" s="4068"/>
      <c r="DE37" s="4068"/>
      <c r="DF37" s="4068" t="s">
        <v>417</v>
      </c>
      <c r="DG37" s="4068"/>
      <c r="DH37" s="4068"/>
      <c r="DI37" s="4068"/>
      <c r="DJ37" s="4068"/>
      <c r="DK37" s="4068"/>
      <c r="DL37" s="4068"/>
      <c r="DM37" s="4068"/>
      <c r="DN37" s="4068" t="s">
        <v>417</v>
      </c>
      <c r="DO37" s="4068"/>
      <c r="DP37" s="4068"/>
      <c r="DQ37" s="4068"/>
      <c r="DR37" s="4068"/>
      <c r="DS37" s="4068"/>
      <c r="DT37" s="4068"/>
      <c r="DU37" s="4068"/>
      <c r="DV37" s="4068" t="s">
        <v>417</v>
      </c>
      <c r="DW37" s="4068"/>
      <c r="DX37" s="4068"/>
      <c r="DY37" s="4068"/>
      <c r="DZ37" s="4068"/>
      <c r="EA37" s="4068"/>
      <c r="EB37" s="4068"/>
      <c r="EC37" s="4068"/>
      <c r="ED37" s="4068" t="s">
        <v>417</v>
      </c>
      <c r="EE37" s="4068"/>
      <c r="EF37" s="4068"/>
      <c r="EG37" s="4068"/>
      <c r="EH37" s="4068"/>
      <c r="EI37" s="4068"/>
      <c r="EJ37" s="4068"/>
      <c r="EK37" s="4068"/>
    </row>
    <row r="38" spans="1:148" ht="14.25" customHeight="1">
      <c r="Q38" s="305"/>
      <c r="R38" s="305"/>
      <c r="S38" s="3946" t="s">
        <v>290</v>
      </c>
      <c r="T38" s="3946"/>
      <c r="U38" s="3946"/>
      <c r="V38" s="3946"/>
      <c r="W38" s="3946"/>
      <c r="X38" s="3946"/>
      <c r="Y38" s="3946"/>
      <c r="Z38" s="3946"/>
      <c r="AA38" s="3946"/>
      <c r="AB38" s="3946"/>
      <c r="AC38" s="3946"/>
      <c r="AD38" s="3946"/>
      <c r="AE38" s="3946"/>
      <c r="AF38" s="3946"/>
      <c r="AG38" s="3946"/>
      <c r="AH38" s="3946"/>
      <c r="AI38" s="3946"/>
      <c r="AJ38" s="3946"/>
      <c r="AK38" s="3946"/>
      <c r="AL38" s="3946" t="s">
        <v>290</v>
      </c>
      <c r="AM38" s="3946"/>
      <c r="AN38" s="3946"/>
      <c r="AO38" s="3946"/>
      <c r="AP38" s="3946"/>
      <c r="AQ38" s="3946"/>
      <c r="AR38" s="3946"/>
      <c r="AS38" s="3946"/>
      <c r="AT38" s="3946" t="s">
        <v>290</v>
      </c>
      <c r="AU38" s="3946"/>
      <c r="AV38" s="3946"/>
      <c r="AW38" s="3946"/>
      <c r="AX38" s="3946"/>
      <c r="AY38" s="3946"/>
      <c r="AZ38" s="3946"/>
      <c r="BA38" s="3946"/>
      <c r="BB38" s="3946" t="s">
        <v>290</v>
      </c>
      <c r="BC38" s="3946"/>
      <c r="BD38" s="3946"/>
      <c r="BE38" s="3946"/>
      <c r="BF38" s="3946"/>
      <c r="BG38" s="3946"/>
      <c r="BH38" s="3946"/>
      <c r="BI38" s="3946"/>
      <c r="BJ38" s="3946" t="s">
        <v>290</v>
      </c>
      <c r="BK38" s="3946"/>
      <c r="BL38" s="3946"/>
      <c r="BM38" s="3946"/>
      <c r="BN38" s="3946"/>
      <c r="BO38" s="3946"/>
      <c r="BP38" s="3946"/>
      <c r="BQ38" s="3946"/>
      <c r="BR38" s="3946" t="s">
        <v>290</v>
      </c>
      <c r="BS38" s="3946"/>
      <c r="BT38" s="3946"/>
      <c r="BU38" s="3946"/>
      <c r="BV38" s="3946"/>
      <c r="BW38" s="3946"/>
      <c r="BX38" s="3946"/>
      <c r="BY38" s="3946"/>
      <c r="BZ38" s="3946" t="s">
        <v>290</v>
      </c>
      <c r="CA38" s="3946"/>
      <c r="CB38" s="3946"/>
      <c r="CC38" s="3946"/>
      <c r="CD38" s="3946"/>
      <c r="CE38" s="3946"/>
      <c r="CF38" s="3946"/>
      <c r="CG38" s="3946"/>
      <c r="CH38" s="3946" t="s">
        <v>290</v>
      </c>
      <c r="CI38" s="3946"/>
      <c r="CJ38" s="3946"/>
      <c r="CK38" s="3946"/>
      <c r="CL38" s="3946"/>
      <c r="CM38" s="3946"/>
      <c r="CN38" s="3946"/>
      <c r="CO38" s="3946"/>
      <c r="CP38" s="3946" t="s">
        <v>290</v>
      </c>
      <c r="CQ38" s="3946"/>
      <c r="CR38" s="3946"/>
      <c r="CS38" s="3946"/>
      <c r="CT38" s="3946"/>
      <c r="CU38" s="3946"/>
      <c r="CV38" s="3946"/>
      <c r="CW38" s="3946"/>
      <c r="CX38" s="3946" t="s">
        <v>290</v>
      </c>
      <c r="CY38" s="3946"/>
      <c r="CZ38" s="3946"/>
      <c r="DA38" s="3946"/>
      <c r="DB38" s="3946"/>
      <c r="DC38" s="3946"/>
      <c r="DD38" s="3946"/>
      <c r="DE38" s="3946"/>
      <c r="DF38" s="3946" t="s">
        <v>290</v>
      </c>
      <c r="DG38" s="3946"/>
      <c r="DH38" s="3946"/>
      <c r="DI38" s="3946"/>
      <c r="DJ38" s="3946"/>
      <c r="DK38" s="3946"/>
      <c r="DL38" s="3946"/>
      <c r="DM38" s="3946"/>
      <c r="DN38" s="3946" t="s">
        <v>290</v>
      </c>
      <c r="DO38" s="3946"/>
      <c r="DP38" s="3946"/>
      <c r="DQ38" s="3946"/>
      <c r="DR38" s="3946"/>
      <c r="DS38" s="3946"/>
      <c r="DT38" s="3946"/>
      <c r="DU38" s="3946"/>
      <c r="DV38" s="3946" t="s">
        <v>290</v>
      </c>
      <c r="DW38" s="3946"/>
      <c r="DX38" s="3946"/>
      <c r="DY38" s="3946"/>
      <c r="DZ38" s="3946"/>
      <c r="EA38" s="3946"/>
      <c r="EB38" s="3946"/>
      <c r="EC38" s="3946"/>
      <c r="ED38" s="3946" t="s">
        <v>290</v>
      </c>
      <c r="EE38" s="3946"/>
      <c r="EF38" s="3946"/>
      <c r="EG38" s="3946"/>
      <c r="EH38" s="3946"/>
      <c r="EI38" s="3946"/>
      <c r="EJ38" s="3946"/>
      <c r="EK38" s="3946"/>
      <c r="EL38" s="3946"/>
      <c r="EM38" s="3946"/>
    </row>
    <row r="39" spans="1:148" ht="14.25" customHeight="1">
      <c r="Q39" s="305"/>
      <c r="R39" s="305"/>
      <c r="S39" s="4082" t="s">
        <v>86</v>
      </c>
      <c r="T39" s="4033" t="s">
        <v>418</v>
      </c>
      <c r="U39" s="220"/>
      <c r="V39" s="4083" t="s">
        <v>419</v>
      </c>
      <c r="W39" s="4084"/>
      <c r="X39" s="4084"/>
      <c r="Y39" s="4084"/>
      <c r="Z39" s="4084"/>
      <c r="AA39" s="4084"/>
      <c r="AB39" s="4085"/>
      <c r="AC39" s="4086" t="s">
        <v>420</v>
      </c>
      <c r="AD39" s="4083" t="s">
        <v>419</v>
      </c>
      <c r="AE39" s="4084"/>
      <c r="AF39" s="4084"/>
      <c r="AG39" s="4084"/>
      <c r="AH39" s="4084"/>
      <c r="AI39" s="4084"/>
      <c r="AJ39" s="4085"/>
      <c r="AK39" s="4086" t="s">
        <v>421</v>
      </c>
      <c r="AL39" s="4083" t="s">
        <v>419</v>
      </c>
      <c r="AM39" s="4084"/>
      <c r="AN39" s="4084"/>
      <c r="AO39" s="4084"/>
      <c r="AP39" s="4084"/>
      <c r="AQ39" s="4084"/>
      <c r="AR39" s="4085"/>
      <c r="AS39" s="4086" t="s">
        <v>420</v>
      </c>
      <c r="AT39" s="4083" t="s">
        <v>419</v>
      </c>
      <c r="AU39" s="4084"/>
      <c r="AV39" s="4084"/>
      <c r="AW39" s="4084"/>
      <c r="AX39" s="4084"/>
      <c r="AY39" s="4084"/>
      <c r="AZ39" s="4085"/>
      <c r="BA39" s="4086" t="s">
        <v>420</v>
      </c>
      <c r="BB39" s="4083" t="s">
        <v>419</v>
      </c>
      <c r="BC39" s="4084"/>
      <c r="BD39" s="4084"/>
      <c r="BE39" s="4084"/>
      <c r="BF39" s="4084"/>
      <c r="BG39" s="4084"/>
      <c r="BH39" s="4085"/>
      <c r="BI39" s="4086" t="s">
        <v>420</v>
      </c>
      <c r="BJ39" s="4083" t="s">
        <v>419</v>
      </c>
      <c r="BK39" s="4084"/>
      <c r="BL39" s="4084"/>
      <c r="BM39" s="4084"/>
      <c r="BN39" s="4084"/>
      <c r="BO39" s="4084"/>
      <c r="BP39" s="4085"/>
      <c r="BQ39" s="4086" t="s">
        <v>420</v>
      </c>
      <c r="BR39" s="4083" t="s">
        <v>419</v>
      </c>
      <c r="BS39" s="4084"/>
      <c r="BT39" s="4084"/>
      <c r="BU39" s="4084"/>
      <c r="BV39" s="4084"/>
      <c r="BW39" s="4084"/>
      <c r="BX39" s="4085"/>
      <c r="BY39" s="4086" t="s">
        <v>420</v>
      </c>
      <c r="BZ39" s="4083" t="s">
        <v>419</v>
      </c>
      <c r="CA39" s="4084"/>
      <c r="CB39" s="4084"/>
      <c r="CC39" s="4084"/>
      <c r="CD39" s="4084"/>
      <c r="CE39" s="4084"/>
      <c r="CF39" s="4085"/>
      <c r="CG39" s="4086" t="s">
        <v>420</v>
      </c>
      <c r="CH39" s="4083" t="s">
        <v>419</v>
      </c>
      <c r="CI39" s="4084"/>
      <c r="CJ39" s="4084"/>
      <c r="CK39" s="4084"/>
      <c r="CL39" s="4084"/>
      <c r="CM39" s="4084"/>
      <c r="CN39" s="4085"/>
      <c r="CO39" s="4086" t="s">
        <v>420</v>
      </c>
      <c r="CP39" s="4083" t="s">
        <v>419</v>
      </c>
      <c r="CQ39" s="4084"/>
      <c r="CR39" s="4084"/>
      <c r="CS39" s="4084"/>
      <c r="CT39" s="4084"/>
      <c r="CU39" s="4084"/>
      <c r="CV39" s="4085"/>
      <c r="CW39" s="4086" t="s">
        <v>420</v>
      </c>
      <c r="CX39" s="4083" t="s">
        <v>419</v>
      </c>
      <c r="CY39" s="4084"/>
      <c r="CZ39" s="4084"/>
      <c r="DA39" s="4084"/>
      <c r="DB39" s="4084"/>
      <c r="DC39" s="4084"/>
      <c r="DD39" s="4085"/>
      <c r="DE39" s="4086" t="s">
        <v>420</v>
      </c>
      <c r="DF39" s="4083" t="s">
        <v>419</v>
      </c>
      <c r="DG39" s="4084"/>
      <c r="DH39" s="4084"/>
      <c r="DI39" s="4084"/>
      <c r="DJ39" s="4084"/>
      <c r="DK39" s="4084"/>
      <c r="DL39" s="4085"/>
      <c r="DM39" s="4086" t="s">
        <v>420</v>
      </c>
      <c r="DN39" s="4083" t="s">
        <v>419</v>
      </c>
      <c r="DO39" s="4084"/>
      <c r="DP39" s="4084"/>
      <c r="DQ39" s="4084"/>
      <c r="DR39" s="4084"/>
      <c r="DS39" s="4084"/>
      <c r="DT39" s="4085"/>
      <c r="DU39" s="4086" t="s">
        <v>420</v>
      </c>
      <c r="DV39" s="4083" t="s">
        <v>419</v>
      </c>
      <c r="DW39" s="4084"/>
      <c r="DX39" s="4084"/>
      <c r="DY39" s="4084"/>
      <c r="DZ39" s="4084"/>
      <c r="EA39" s="4084"/>
      <c r="EB39" s="4085"/>
      <c r="EC39" s="4086" t="s">
        <v>420</v>
      </c>
      <c r="ED39" s="4083" t="s">
        <v>419</v>
      </c>
      <c r="EE39" s="4084"/>
      <c r="EF39" s="4084"/>
      <c r="EG39" s="4084"/>
      <c r="EH39" s="4084"/>
      <c r="EI39" s="4084"/>
      <c r="EJ39" s="4085"/>
      <c r="EK39" s="4086" t="s">
        <v>420</v>
      </c>
      <c r="EL39" s="4089" t="s">
        <v>422</v>
      </c>
      <c r="EM39" s="3946"/>
    </row>
    <row r="40" spans="1:148" ht="33.75" customHeight="1">
      <c r="Q40" s="305"/>
      <c r="R40" s="305"/>
      <c r="S40" s="4082"/>
      <c r="T40" s="4033"/>
      <c r="U40" s="938"/>
      <c r="V40" s="4003" t="s">
        <v>423</v>
      </c>
      <c r="W40" s="4092" t="s">
        <v>424</v>
      </c>
      <c r="X40" s="3918" t="s">
        <v>425</v>
      </c>
      <c r="Y40" s="3917"/>
      <c r="Z40" s="3918" t="s">
        <v>440</v>
      </c>
      <c r="AA40" s="3923"/>
      <c r="AB40" s="3917"/>
      <c r="AC40" s="4087"/>
      <c r="AD40" s="4003" t="s">
        <v>423</v>
      </c>
      <c r="AE40" s="4092" t="s">
        <v>424</v>
      </c>
      <c r="AF40" s="3918" t="s">
        <v>425</v>
      </c>
      <c r="AG40" s="3917"/>
      <c r="AH40" s="3918" t="s">
        <v>426</v>
      </c>
      <c r="AI40" s="3923"/>
      <c r="AJ40" s="3917"/>
      <c r="AK40" s="4087"/>
      <c r="AL40" s="4003" t="s">
        <v>423</v>
      </c>
      <c r="AM40" s="4092" t="s">
        <v>424</v>
      </c>
      <c r="AN40" s="3918" t="s">
        <v>425</v>
      </c>
      <c r="AO40" s="3917"/>
      <c r="AP40" s="3918" t="s">
        <v>440</v>
      </c>
      <c r="AQ40" s="3923"/>
      <c r="AR40" s="3917"/>
      <c r="AS40" s="4087"/>
      <c r="AT40" s="4003" t="s">
        <v>423</v>
      </c>
      <c r="AU40" s="4092" t="s">
        <v>424</v>
      </c>
      <c r="AV40" s="3918" t="s">
        <v>425</v>
      </c>
      <c r="AW40" s="3917"/>
      <c r="AX40" s="3918" t="s">
        <v>440</v>
      </c>
      <c r="AY40" s="3923"/>
      <c r="AZ40" s="3917"/>
      <c r="BA40" s="4087"/>
      <c r="BB40" s="4003" t="s">
        <v>423</v>
      </c>
      <c r="BC40" s="4092" t="s">
        <v>424</v>
      </c>
      <c r="BD40" s="3918" t="s">
        <v>425</v>
      </c>
      <c r="BE40" s="3917"/>
      <c r="BF40" s="3918" t="s">
        <v>440</v>
      </c>
      <c r="BG40" s="3923"/>
      <c r="BH40" s="3917"/>
      <c r="BI40" s="4087"/>
      <c r="BJ40" s="4003" t="s">
        <v>423</v>
      </c>
      <c r="BK40" s="4092" t="s">
        <v>424</v>
      </c>
      <c r="BL40" s="3918" t="s">
        <v>425</v>
      </c>
      <c r="BM40" s="3917"/>
      <c r="BN40" s="3918" t="s">
        <v>440</v>
      </c>
      <c r="BO40" s="3923"/>
      <c r="BP40" s="3917"/>
      <c r="BQ40" s="4087"/>
      <c r="BR40" s="4003" t="s">
        <v>423</v>
      </c>
      <c r="BS40" s="4092" t="s">
        <v>424</v>
      </c>
      <c r="BT40" s="3918" t="s">
        <v>425</v>
      </c>
      <c r="BU40" s="3917"/>
      <c r="BV40" s="3918" t="s">
        <v>440</v>
      </c>
      <c r="BW40" s="3923"/>
      <c r="BX40" s="3917"/>
      <c r="BY40" s="4087"/>
      <c r="BZ40" s="4003" t="s">
        <v>423</v>
      </c>
      <c r="CA40" s="4092" t="s">
        <v>424</v>
      </c>
      <c r="CB40" s="3918" t="s">
        <v>425</v>
      </c>
      <c r="CC40" s="3917"/>
      <c r="CD40" s="3918" t="s">
        <v>440</v>
      </c>
      <c r="CE40" s="3923"/>
      <c r="CF40" s="3917"/>
      <c r="CG40" s="4087"/>
      <c r="CH40" s="4003" t="s">
        <v>423</v>
      </c>
      <c r="CI40" s="4092" t="s">
        <v>424</v>
      </c>
      <c r="CJ40" s="3918" t="s">
        <v>425</v>
      </c>
      <c r="CK40" s="3917"/>
      <c r="CL40" s="3918" t="s">
        <v>440</v>
      </c>
      <c r="CM40" s="3923"/>
      <c r="CN40" s="3917"/>
      <c r="CO40" s="4087"/>
      <c r="CP40" s="4003" t="s">
        <v>423</v>
      </c>
      <c r="CQ40" s="4092" t="s">
        <v>424</v>
      </c>
      <c r="CR40" s="3918" t="s">
        <v>425</v>
      </c>
      <c r="CS40" s="3917"/>
      <c r="CT40" s="3918" t="s">
        <v>440</v>
      </c>
      <c r="CU40" s="3923"/>
      <c r="CV40" s="3917"/>
      <c r="CW40" s="4087"/>
      <c r="CX40" s="4003" t="s">
        <v>423</v>
      </c>
      <c r="CY40" s="4092" t="s">
        <v>424</v>
      </c>
      <c r="CZ40" s="3918" t="s">
        <v>425</v>
      </c>
      <c r="DA40" s="3917"/>
      <c r="DB40" s="3918" t="s">
        <v>440</v>
      </c>
      <c r="DC40" s="3923"/>
      <c r="DD40" s="3917"/>
      <c r="DE40" s="4087"/>
      <c r="DF40" s="4003" t="s">
        <v>423</v>
      </c>
      <c r="DG40" s="4092" t="s">
        <v>424</v>
      </c>
      <c r="DH40" s="3918" t="s">
        <v>425</v>
      </c>
      <c r="DI40" s="3917"/>
      <c r="DJ40" s="3918" t="s">
        <v>440</v>
      </c>
      <c r="DK40" s="3923"/>
      <c r="DL40" s="3917"/>
      <c r="DM40" s="4087"/>
      <c r="DN40" s="4003" t="s">
        <v>423</v>
      </c>
      <c r="DO40" s="4092" t="s">
        <v>424</v>
      </c>
      <c r="DP40" s="3918" t="s">
        <v>425</v>
      </c>
      <c r="DQ40" s="3917"/>
      <c r="DR40" s="3918" t="s">
        <v>440</v>
      </c>
      <c r="DS40" s="3923"/>
      <c r="DT40" s="3917"/>
      <c r="DU40" s="4087"/>
      <c r="DV40" s="4003" t="s">
        <v>423</v>
      </c>
      <c r="DW40" s="4092" t="s">
        <v>424</v>
      </c>
      <c r="DX40" s="3918" t="s">
        <v>425</v>
      </c>
      <c r="DY40" s="3917"/>
      <c r="DZ40" s="3918" t="s">
        <v>440</v>
      </c>
      <c r="EA40" s="3923"/>
      <c r="EB40" s="3917"/>
      <c r="EC40" s="4087"/>
      <c r="ED40" s="4003" t="s">
        <v>423</v>
      </c>
      <c r="EE40" s="4092" t="s">
        <v>424</v>
      </c>
      <c r="EF40" s="3918" t="s">
        <v>425</v>
      </c>
      <c r="EG40" s="3917"/>
      <c r="EH40" s="3918" t="s">
        <v>440</v>
      </c>
      <c r="EI40" s="3923"/>
      <c r="EJ40" s="3917"/>
      <c r="EK40" s="4087"/>
      <c r="EL40" s="4090"/>
      <c r="EM40" s="3946"/>
    </row>
    <row r="41" spans="1:148" ht="33.75" customHeight="1">
      <c r="A41" s="1286"/>
      <c r="B41" s="1286" t="s">
        <v>133</v>
      </c>
      <c r="C41" s="1286" t="s">
        <v>134</v>
      </c>
      <c r="D41" s="1286" t="s">
        <v>135</v>
      </c>
      <c r="E41" s="1280" t="s">
        <v>427</v>
      </c>
      <c r="F41" s="1280" t="s">
        <v>428</v>
      </c>
      <c r="G41" s="1280" t="s">
        <v>429</v>
      </c>
      <c r="H41" s="1280" t="s">
        <v>430</v>
      </c>
      <c r="I41" s="1280" t="s">
        <v>431</v>
      </c>
      <c r="J41" s="1280" t="s">
        <v>432</v>
      </c>
      <c r="K41" s="1280" t="s">
        <v>433</v>
      </c>
      <c r="L41" s="1280" t="s">
        <v>407</v>
      </c>
      <c r="Q41" s="305"/>
      <c r="R41" s="305"/>
      <c r="S41" s="4082"/>
      <c r="T41" s="4033"/>
      <c r="U41" s="221"/>
      <c r="V41" s="4053"/>
      <c r="W41" s="4093"/>
      <c r="X41" s="1128" t="s">
        <v>434</v>
      </c>
      <c r="Y41" s="1128" t="s">
        <v>435</v>
      </c>
      <c r="Z41" s="1255" t="s">
        <v>436</v>
      </c>
      <c r="AA41" s="4042" t="s">
        <v>437</v>
      </c>
      <c r="AB41" s="4044"/>
      <c r="AC41" s="4088"/>
      <c r="AD41" s="4053"/>
      <c r="AE41" s="4093"/>
      <c r="AF41" s="1128" t="s">
        <v>434</v>
      </c>
      <c r="AG41" s="1128" t="s">
        <v>435</v>
      </c>
      <c r="AH41" s="1255" t="s">
        <v>436</v>
      </c>
      <c r="AI41" s="4042" t="s">
        <v>437</v>
      </c>
      <c r="AJ41" s="4044"/>
      <c r="AK41" s="4088"/>
      <c r="AL41" s="4053"/>
      <c r="AM41" s="4093"/>
      <c r="AN41" s="2567" t="s">
        <v>434</v>
      </c>
      <c r="AO41" s="2567" t="s">
        <v>435</v>
      </c>
      <c r="AP41" s="2567" t="s">
        <v>436</v>
      </c>
      <c r="AQ41" s="4042" t="s">
        <v>437</v>
      </c>
      <c r="AR41" s="4044"/>
      <c r="AS41" s="4088"/>
      <c r="AT41" s="4053"/>
      <c r="AU41" s="4093"/>
      <c r="AV41" s="2567" t="s">
        <v>434</v>
      </c>
      <c r="AW41" s="2567" t="s">
        <v>435</v>
      </c>
      <c r="AX41" s="2567" t="s">
        <v>436</v>
      </c>
      <c r="AY41" s="4042" t="s">
        <v>437</v>
      </c>
      <c r="AZ41" s="4044"/>
      <c r="BA41" s="4088"/>
      <c r="BB41" s="4053"/>
      <c r="BC41" s="4093"/>
      <c r="BD41" s="2567" t="s">
        <v>434</v>
      </c>
      <c r="BE41" s="2567" t="s">
        <v>435</v>
      </c>
      <c r="BF41" s="2567" t="s">
        <v>436</v>
      </c>
      <c r="BG41" s="4042" t="s">
        <v>437</v>
      </c>
      <c r="BH41" s="4044"/>
      <c r="BI41" s="4088"/>
      <c r="BJ41" s="4053"/>
      <c r="BK41" s="4093"/>
      <c r="BL41" s="2567" t="s">
        <v>434</v>
      </c>
      <c r="BM41" s="2567" t="s">
        <v>435</v>
      </c>
      <c r="BN41" s="2567" t="s">
        <v>436</v>
      </c>
      <c r="BO41" s="4042" t="s">
        <v>437</v>
      </c>
      <c r="BP41" s="4044"/>
      <c r="BQ41" s="4088"/>
      <c r="BR41" s="4053"/>
      <c r="BS41" s="4093"/>
      <c r="BT41" s="2567" t="s">
        <v>434</v>
      </c>
      <c r="BU41" s="2567" t="s">
        <v>435</v>
      </c>
      <c r="BV41" s="2567" t="s">
        <v>436</v>
      </c>
      <c r="BW41" s="4042" t="s">
        <v>437</v>
      </c>
      <c r="BX41" s="4044"/>
      <c r="BY41" s="4088"/>
      <c r="BZ41" s="4053"/>
      <c r="CA41" s="4093"/>
      <c r="CB41" s="2567" t="s">
        <v>434</v>
      </c>
      <c r="CC41" s="2567" t="s">
        <v>435</v>
      </c>
      <c r="CD41" s="2567" t="s">
        <v>436</v>
      </c>
      <c r="CE41" s="4042" t="s">
        <v>437</v>
      </c>
      <c r="CF41" s="4044"/>
      <c r="CG41" s="4088"/>
      <c r="CH41" s="4053"/>
      <c r="CI41" s="4093"/>
      <c r="CJ41" s="2567" t="s">
        <v>434</v>
      </c>
      <c r="CK41" s="2567" t="s">
        <v>435</v>
      </c>
      <c r="CL41" s="2567" t="s">
        <v>436</v>
      </c>
      <c r="CM41" s="4042" t="s">
        <v>437</v>
      </c>
      <c r="CN41" s="4044"/>
      <c r="CO41" s="4088"/>
      <c r="CP41" s="4053"/>
      <c r="CQ41" s="4093"/>
      <c r="CR41" s="2567" t="s">
        <v>434</v>
      </c>
      <c r="CS41" s="2567" t="s">
        <v>435</v>
      </c>
      <c r="CT41" s="2567" t="s">
        <v>436</v>
      </c>
      <c r="CU41" s="4042" t="s">
        <v>437</v>
      </c>
      <c r="CV41" s="4044"/>
      <c r="CW41" s="4088"/>
      <c r="CX41" s="4053"/>
      <c r="CY41" s="4093"/>
      <c r="CZ41" s="2567" t="s">
        <v>434</v>
      </c>
      <c r="DA41" s="2567" t="s">
        <v>435</v>
      </c>
      <c r="DB41" s="2567" t="s">
        <v>436</v>
      </c>
      <c r="DC41" s="4042" t="s">
        <v>437</v>
      </c>
      <c r="DD41" s="4044"/>
      <c r="DE41" s="4088"/>
      <c r="DF41" s="4053"/>
      <c r="DG41" s="4093"/>
      <c r="DH41" s="2567" t="s">
        <v>434</v>
      </c>
      <c r="DI41" s="2567" t="s">
        <v>435</v>
      </c>
      <c r="DJ41" s="2567" t="s">
        <v>436</v>
      </c>
      <c r="DK41" s="4042" t="s">
        <v>437</v>
      </c>
      <c r="DL41" s="4044"/>
      <c r="DM41" s="4088"/>
      <c r="DN41" s="4053"/>
      <c r="DO41" s="4093"/>
      <c r="DP41" s="2567" t="s">
        <v>434</v>
      </c>
      <c r="DQ41" s="2567" t="s">
        <v>435</v>
      </c>
      <c r="DR41" s="2567" t="s">
        <v>436</v>
      </c>
      <c r="DS41" s="4042" t="s">
        <v>437</v>
      </c>
      <c r="DT41" s="4044"/>
      <c r="DU41" s="4088"/>
      <c r="DV41" s="4053"/>
      <c r="DW41" s="4093"/>
      <c r="DX41" s="2567" t="s">
        <v>434</v>
      </c>
      <c r="DY41" s="2567" t="s">
        <v>435</v>
      </c>
      <c r="DZ41" s="2567" t="s">
        <v>436</v>
      </c>
      <c r="EA41" s="4042" t="s">
        <v>437</v>
      </c>
      <c r="EB41" s="4044"/>
      <c r="EC41" s="4088"/>
      <c r="ED41" s="4053"/>
      <c r="EE41" s="4093"/>
      <c r="EF41" s="2567" t="s">
        <v>434</v>
      </c>
      <c r="EG41" s="2567" t="s">
        <v>435</v>
      </c>
      <c r="EH41" s="2567" t="s">
        <v>436</v>
      </c>
      <c r="EI41" s="4042" t="s">
        <v>437</v>
      </c>
      <c r="EJ41" s="4044"/>
      <c r="EK41" s="4088"/>
      <c r="EL41" s="4091"/>
      <c r="EM41" s="3946"/>
    </row>
    <row r="42" spans="1:148" s="1820"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107</v>
      </c>
      <c r="T42" s="1172" t="s">
        <v>108</v>
      </c>
      <c r="U42" s="1154" t="str">
        <f ca="1">OFFSET(U42,0,-1)</f>
        <v>2</v>
      </c>
      <c r="V42" s="1252">
        <f ca="1">OFFSET(V42,0,-1)+1</f>
        <v>3</v>
      </c>
      <c r="W42" s="1252"/>
      <c r="X42" s="1252">
        <f ca="1">OFFSET(X42,0,-1)+1</f>
        <v>1</v>
      </c>
      <c r="Y42" s="1252">
        <f ca="1">OFFSET(Y42,0,-1)+1</f>
        <v>2</v>
      </c>
      <c r="Z42" s="1252">
        <f ca="1">OFFSET(Z42,0,-1)+1</f>
        <v>3</v>
      </c>
      <c r="AA42" s="4081">
        <f ca="1">OFFSET(AA42,0,-1)+1</f>
        <v>4</v>
      </c>
      <c r="AB42" s="4081"/>
      <c r="AC42" s="1252">
        <f ca="1">OFFSET(AC42,0,-2)+1</f>
        <v>5</v>
      </c>
      <c r="AD42" s="1252">
        <f ca="1">OFFSET(AD42,0,-1)+1</f>
        <v>6</v>
      </c>
      <c r="AE42" s="1252"/>
      <c r="AF42" s="1252">
        <f ca="1">OFFSET(AF42,0,-1)+1</f>
        <v>1</v>
      </c>
      <c r="AG42" s="1252">
        <f ca="1">OFFSET(AG42,0,-1)+1</f>
        <v>2</v>
      </c>
      <c r="AH42" s="1252">
        <f ca="1">OFFSET(AH42,0,-1)+1</f>
        <v>3</v>
      </c>
      <c r="AI42" s="4081">
        <f ca="1">OFFSET(AI42,0,-1)+1</f>
        <v>4</v>
      </c>
      <c r="AJ42" s="4081"/>
      <c r="AK42" s="1252">
        <f ca="1">OFFSET(AK42,0,-2)+1</f>
        <v>5</v>
      </c>
      <c r="AL42" s="2569">
        <f ca="1">OFFSET(AL42,0,-1)+1</f>
        <v>6</v>
      </c>
      <c r="AM42" s="2569"/>
      <c r="AN42" s="2569">
        <f ca="1">OFFSET(AN42,0,-1)+1</f>
        <v>1</v>
      </c>
      <c r="AO42" s="2569">
        <f ca="1">OFFSET(AO42,0,-1)+1</f>
        <v>2</v>
      </c>
      <c r="AP42" s="2569">
        <f ca="1">OFFSET(AP42,0,-1)+1</f>
        <v>3</v>
      </c>
      <c r="AQ42" s="4081">
        <f ca="1">OFFSET(AQ42,0,-1)+1</f>
        <v>4</v>
      </c>
      <c r="AR42" s="4081"/>
      <c r="AS42" s="2569">
        <f ca="1">OFFSET(AS42,0,-2)+1</f>
        <v>5</v>
      </c>
      <c r="AT42" s="2569">
        <f ca="1">OFFSET(AT42,0,-1)+1</f>
        <v>6</v>
      </c>
      <c r="AU42" s="2569"/>
      <c r="AV42" s="2569">
        <f ca="1">OFFSET(AV42,0,-1)+1</f>
        <v>1</v>
      </c>
      <c r="AW42" s="2569">
        <f ca="1">OFFSET(AW42,0,-1)+1</f>
        <v>2</v>
      </c>
      <c r="AX42" s="2569">
        <f ca="1">OFFSET(AX42,0,-1)+1</f>
        <v>3</v>
      </c>
      <c r="AY42" s="4081">
        <f ca="1">OFFSET(AY42,0,-1)+1</f>
        <v>4</v>
      </c>
      <c r="AZ42" s="4081"/>
      <c r="BA42" s="2569">
        <f ca="1">OFFSET(BA42,0,-2)+1</f>
        <v>5</v>
      </c>
      <c r="BB42" s="2569">
        <f ca="1">OFFSET(BB42,0,-1)+1</f>
        <v>6</v>
      </c>
      <c r="BC42" s="2569"/>
      <c r="BD42" s="2569">
        <f ca="1">OFFSET(BD42,0,-1)+1</f>
        <v>1</v>
      </c>
      <c r="BE42" s="2569">
        <f ca="1">OFFSET(BE42,0,-1)+1</f>
        <v>2</v>
      </c>
      <c r="BF42" s="2569">
        <f ca="1">OFFSET(BF42,0,-1)+1</f>
        <v>3</v>
      </c>
      <c r="BG42" s="4081">
        <f ca="1">OFFSET(BG42,0,-1)+1</f>
        <v>4</v>
      </c>
      <c r="BH42" s="4081"/>
      <c r="BI42" s="2569">
        <f ca="1">OFFSET(BI42,0,-2)+1</f>
        <v>5</v>
      </c>
      <c r="BJ42" s="2569">
        <f ca="1">OFFSET(BJ42,0,-1)+1</f>
        <v>6</v>
      </c>
      <c r="BK42" s="2569"/>
      <c r="BL42" s="2569">
        <f ca="1">OFFSET(BL42,0,-1)+1</f>
        <v>1</v>
      </c>
      <c r="BM42" s="2569">
        <f ca="1">OFFSET(BM42,0,-1)+1</f>
        <v>2</v>
      </c>
      <c r="BN42" s="2569">
        <f ca="1">OFFSET(BN42,0,-1)+1</f>
        <v>3</v>
      </c>
      <c r="BO42" s="4081">
        <f ca="1">OFFSET(BO42,0,-1)+1</f>
        <v>4</v>
      </c>
      <c r="BP42" s="4081"/>
      <c r="BQ42" s="2569">
        <f ca="1">OFFSET(BQ42,0,-2)+1</f>
        <v>5</v>
      </c>
      <c r="BR42" s="2569">
        <f ca="1">OFFSET(BR42,0,-1)+1</f>
        <v>6</v>
      </c>
      <c r="BS42" s="2569"/>
      <c r="BT42" s="2569">
        <f ca="1">OFFSET(BT42,0,-1)+1</f>
        <v>1</v>
      </c>
      <c r="BU42" s="2569">
        <f ca="1">OFFSET(BU42,0,-1)+1</f>
        <v>2</v>
      </c>
      <c r="BV42" s="2569">
        <f ca="1">OFFSET(BV42,0,-1)+1</f>
        <v>3</v>
      </c>
      <c r="BW42" s="4081">
        <f ca="1">OFFSET(BW42,0,-1)+1</f>
        <v>4</v>
      </c>
      <c r="BX42" s="4081"/>
      <c r="BY42" s="2569">
        <f ca="1">OFFSET(BY42,0,-2)+1</f>
        <v>5</v>
      </c>
      <c r="BZ42" s="2569">
        <f ca="1">OFFSET(BZ42,0,-1)+1</f>
        <v>6</v>
      </c>
      <c r="CA42" s="2569"/>
      <c r="CB42" s="2569">
        <f ca="1">OFFSET(CB42,0,-1)+1</f>
        <v>1</v>
      </c>
      <c r="CC42" s="2569">
        <f ca="1">OFFSET(CC42,0,-1)+1</f>
        <v>2</v>
      </c>
      <c r="CD42" s="2569">
        <f ca="1">OFFSET(CD42,0,-1)+1</f>
        <v>3</v>
      </c>
      <c r="CE42" s="4081">
        <f ca="1">OFFSET(CE42,0,-1)+1</f>
        <v>4</v>
      </c>
      <c r="CF42" s="4081"/>
      <c r="CG42" s="2569">
        <f ca="1">OFFSET(CG42,0,-2)+1</f>
        <v>5</v>
      </c>
      <c r="CH42" s="2569">
        <f ca="1">OFFSET(CH42,0,-1)+1</f>
        <v>6</v>
      </c>
      <c r="CI42" s="2569"/>
      <c r="CJ42" s="2569">
        <f ca="1">OFFSET(CJ42,0,-1)+1</f>
        <v>1</v>
      </c>
      <c r="CK42" s="2569">
        <f ca="1">OFFSET(CK42,0,-1)+1</f>
        <v>2</v>
      </c>
      <c r="CL42" s="2569">
        <f ca="1">OFFSET(CL42,0,-1)+1</f>
        <v>3</v>
      </c>
      <c r="CM42" s="4081">
        <f ca="1">OFFSET(CM42,0,-1)+1</f>
        <v>4</v>
      </c>
      <c r="CN42" s="4081"/>
      <c r="CO42" s="2569">
        <f ca="1">OFFSET(CO42,0,-2)+1</f>
        <v>5</v>
      </c>
      <c r="CP42" s="2569">
        <f ca="1">OFFSET(CP42,0,-1)+1</f>
        <v>6</v>
      </c>
      <c r="CQ42" s="2569"/>
      <c r="CR42" s="2569">
        <f ca="1">OFFSET(CR42,0,-1)+1</f>
        <v>1</v>
      </c>
      <c r="CS42" s="2569">
        <f ca="1">OFFSET(CS42,0,-1)+1</f>
        <v>2</v>
      </c>
      <c r="CT42" s="2569">
        <f ca="1">OFFSET(CT42,0,-1)+1</f>
        <v>3</v>
      </c>
      <c r="CU42" s="4081">
        <f ca="1">OFFSET(CU42,0,-1)+1</f>
        <v>4</v>
      </c>
      <c r="CV42" s="4081"/>
      <c r="CW42" s="2569">
        <f ca="1">OFFSET(CW42,0,-2)+1</f>
        <v>5</v>
      </c>
      <c r="CX42" s="2569">
        <f ca="1">OFFSET(CX42,0,-1)+1</f>
        <v>6</v>
      </c>
      <c r="CY42" s="2569"/>
      <c r="CZ42" s="2569">
        <f ca="1">OFFSET(CZ42,0,-1)+1</f>
        <v>1</v>
      </c>
      <c r="DA42" s="2569">
        <f ca="1">OFFSET(DA42,0,-1)+1</f>
        <v>2</v>
      </c>
      <c r="DB42" s="2569">
        <f ca="1">OFFSET(DB42,0,-1)+1</f>
        <v>3</v>
      </c>
      <c r="DC42" s="4081">
        <f ca="1">OFFSET(DC42,0,-1)+1</f>
        <v>4</v>
      </c>
      <c r="DD42" s="4081"/>
      <c r="DE42" s="2569">
        <f ca="1">OFFSET(DE42,0,-2)+1</f>
        <v>5</v>
      </c>
      <c r="DF42" s="2569">
        <f ca="1">OFFSET(DF42,0,-1)+1</f>
        <v>6</v>
      </c>
      <c r="DG42" s="2569"/>
      <c r="DH42" s="2569">
        <f ca="1">OFFSET(DH42,0,-1)+1</f>
        <v>1</v>
      </c>
      <c r="DI42" s="2569">
        <f ca="1">OFFSET(DI42,0,-1)+1</f>
        <v>2</v>
      </c>
      <c r="DJ42" s="2569">
        <f ca="1">OFFSET(DJ42,0,-1)+1</f>
        <v>3</v>
      </c>
      <c r="DK42" s="4081">
        <f ca="1">OFFSET(DK42,0,-1)+1</f>
        <v>4</v>
      </c>
      <c r="DL42" s="4081"/>
      <c r="DM42" s="2569">
        <f ca="1">OFFSET(DM42,0,-2)+1</f>
        <v>5</v>
      </c>
      <c r="DN42" s="2569">
        <f ca="1">OFFSET(DN42,0,-1)+1</f>
        <v>6</v>
      </c>
      <c r="DO42" s="2569"/>
      <c r="DP42" s="2569">
        <f ca="1">OFFSET(DP42,0,-1)+1</f>
        <v>1</v>
      </c>
      <c r="DQ42" s="2569">
        <f ca="1">OFFSET(DQ42,0,-1)+1</f>
        <v>2</v>
      </c>
      <c r="DR42" s="2569">
        <f ca="1">OFFSET(DR42,0,-1)+1</f>
        <v>3</v>
      </c>
      <c r="DS42" s="4081">
        <f ca="1">OFFSET(DS42,0,-1)+1</f>
        <v>4</v>
      </c>
      <c r="DT42" s="4081"/>
      <c r="DU42" s="2569">
        <f ca="1">OFFSET(DU42,0,-2)+1</f>
        <v>5</v>
      </c>
      <c r="DV42" s="2569">
        <f ca="1">OFFSET(DV42,0,-1)+1</f>
        <v>6</v>
      </c>
      <c r="DW42" s="2569"/>
      <c r="DX42" s="2569">
        <f ca="1">OFFSET(DX42,0,-1)+1</f>
        <v>1</v>
      </c>
      <c r="DY42" s="2569">
        <f ca="1">OFFSET(DY42,0,-1)+1</f>
        <v>2</v>
      </c>
      <c r="DZ42" s="2569">
        <f ca="1">OFFSET(DZ42,0,-1)+1</f>
        <v>3</v>
      </c>
      <c r="EA42" s="4081">
        <f ca="1">OFFSET(EA42,0,-1)+1</f>
        <v>4</v>
      </c>
      <c r="EB42" s="4081"/>
      <c r="EC42" s="2569">
        <f ca="1">OFFSET(EC42,0,-2)+1</f>
        <v>5</v>
      </c>
      <c r="ED42" s="2569">
        <f ca="1">OFFSET(ED42,0,-1)+1</f>
        <v>6</v>
      </c>
      <c r="EE42" s="2569"/>
      <c r="EF42" s="2569">
        <f ca="1">OFFSET(EF42,0,-1)+1</f>
        <v>1</v>
      </c>
      <c r="EG42" s="2569">
        <f ca="1">OFFSET(EG42,0,-1)+1</f>
        <v>2</v>
      </c>
      <c r="EH42" s="2569">
        <f ca="1">OFFSET(EH42,0,-1)+1</f>
        <v>3</v>
      </c>
      <c r="EI42" s="4081">
        <f ca="1">OFFSET(EI42,0,-1)+1</f>
        <v>4</v>
      </c>
      <c r="EJ42" s="4081"/>
      <c r="EK42" s="2569">
        <f ca="1">OFFSET(EK42,0,-2)+1</f>
        <v>5</v>
      </c>
      <c r="EL42" s="1154">
        <f ca="1">OFFSET(EL42,0,-1)</f>
        <v>5</v>
      </c>
      <c r="EM42" s="1252">
        <f ca="1">OFFSET(EM42,0,-1)+1</f>
        <v>6</v>
      </c>
      <c r="EN42" s="437"/>
      <c r="EO42" s="437"/>
      <c r="EP42" s="437"/>
      <c r="EQ42" s="437"/>
      <c r="ER42" s="437"/>
    </row>
    <row r="43" spans="1:148" ht="21" customHeight="1">
      <c r="A43" s="1279" t="s">
        <v>162</v>
      </c>
      <c r="B43" s="1279"/>
      <c r="C43" s="1279"/>
      <c r="D43" s="1279"/>
      <c r="E43" s="4074">
        <v>1</v>
      </c>
      <c r="F43" s="1279"/>
      <c r="G43" s="1279"/>
      <c r="H43" s="1279"/>
      <c r="I43" s="1279"/>
      <c r="J43" s="1279"/>
      <c r="K43" s="1279"/>
      <c r="L43" s="1280"/>
      <c r="M43" s="1281"/>
      <c r="N43" s="1281"/>
      <c r="O43" s="1281"/>
      <c r="P43" s="286"/>
      <c r="Q43" s="285"/>
      <c r="R43" s="280"/>
      <c r="S43" s="1253">
        <f>INDEX(PT_DIFFERENTIATION_NUM_NTAR,MATCH(A43,PT_DIFFERENTIATION_NTAR_ID,0))</f>
        <v>1</v>
      </c>
      <c r="T43" s="217" t="s">
        <v>121</v>
      </c>
      <c r="U43" s="219"/>
      <c r="V43" s="4060"/>
      <c r="W43" s="4061"/>
      <c r="X43" s="4061"/>
      <c r="Y43" s="4061"/>
      <c r="Z43" s="4061"/>
      <c r="AA43" s="4061"/>
      <c r="AB43" s="4061"/>
      <c r="AC43" s="4062"/>
      <c r="AD43" s="4060" t="str">
        <f>INDEX(PT_DIFFERENTIATION_NTAR,MATCH(A43,PT_DIFFERENTIATION_NTAR_ID,0))</f>
        <v>Тарифы на тепловую энергию (мощность) на коллекторах источника тепловой энергии, поставляемую потребителям ООО "РИР-Сахалин"</v>
      </c>
      <c r="AE43" s="4061"/>
      <c r="AF43" s="4061"/>
      <c r="AG43" s="4061"/>
      <c r="AH43" s="4061"/>
      <c r="AI43" s="4061"/>
      <c r="AJ43" s="4061"/>
      <c r="AK43" s="4061"/>
      <c r="AL43" s="4060"/>
      <c r="AM43" s="4061"/>
      <c r="AN43" s="4061"/>
      <c r="AO43" s="4061"/>
      <c r="AP43" s="4061"/>
      <c r="AQ43" s="4061"/>
      <c r="AR43" s="4061"/>
      <c r="AS43" s="4062"/>
      <c r="AT43" s="4060"/>
      <c r="AU43" s="4061"/>
      <c r="AV43" s="4061"/>
      <c r="AW43" s="4061"/>
      <c r="AX43" s="4061"/>
      <c r="AY43" s="4061"/>
      <c r="AZ43" s="4061"/>
      <c r="BA43" s="4062"/>
      <c r="BB43" s="4060"/>
      <c r="BC43" s="4061"/>
      <c r="BD43" s="4061"/>
      <c r="BE43" s="4061"/>
      <c r="BF43" s="4061"/>
      <c r="BG43" s="4061"/>
      <c r="BH43" s="4061"/>
      <c r="BI43" s="4062"/>
      <c r="BJ43" s="4060"/>
      <c r="BK43" s="4061"/>
      <c r="BL43" s="4061"/>
      <c r="BM43" s="4061"/>
      <c r="BN43" s="4061"/>
      <c r="BO43" s="4061"/>
      <c r="BP43" s="4061"/>
      <c r="BQ43" s="4062"/>
      <c r="BR43" s="4060"/>
      <c r="BS43" s="4061"/>
      <c r="BT43" s="4061"/>
      <c r="BU43" s="4061"/>
      <c r="BV43" s="4061"/>
      <c r="BW43" s="4061"/>
      <c r="BX43" s="4061"/>
      <c r="BY43" s="4062"/>
      <c r="BZ43" s="4060"/>
      <c r="CA43" s="4061"/>
      <c r="CB43" s="4061"/>
      <c r="CC43" s="4061"/>
      <c r="CD43" s="4061"/>
      <c r="CE43" s="4061"/>
      <c r="CF43" s="4061"/>
      <c r="CG43" s="4062"/>
      <c r="CH43" s="4060"/>
      <c r="CI43" s="4061"/>
      <c r="CJ43" s="4061"/>
      <c r="CK43" s="4061"/>
      <c r="CL43" s="4061"/>
      <c r="CM43" s="4061"/>
      <c r="CN43" s="4061"/>
      <c r="CO43" s="4062"/>
      <c r="CP43" s="4060"/>
      <c r="CQ43" s="4061"/>
      <c r="CR43" s="4061"/>
      <c r="CS43" s="4061"/>
      <c r="CT43" s="4061"/>
      <c r="CU43" s="4061"/>
      <c r="CV43" s="4061"/>
      <c r="CW43" s="4062"/>
      <c r="CX43" s="4060"/>
      <c r="CY43" s="4061"/>
      <c r="CZ43" s="4061"/>
      <c r="DA43" s="4061"/>
      <c r="DB43" s="4061"/>
      <c r="DC43" s="4061"/>
      <c r="DD43" s="4061"/>
      <c r="DE43" s="4062"/>
      <c r="DF43" s="4060"/>
      <c r="DG43" s="4061"/>
      <c r="DH43" s="4061"/>
      <c r="DI43" s="4061"/>
      <c r="DJ43" s="4061"/>
      <c r="DK43" s="4061"/>
      <c r="DL43" s="4061"/>
      <c r="DM43" s="4062"/>
      <c r="DN43" s="4060"/>
      <c r="DO43" s="4061"/>
      <c r="DP43" s="4061"/>
      <c r="DQ43" s="4061"/>
      <c r="DR43" s="4061"/>
      <c r="DS43" s="4061"/>
      <c r="DT43" s="4061"/>
      <c r="DU43" s="4062"/>
      <c r="DV43" s="4060"/>
      <c r="DW43" s="4061"/>
      <c r="DX43" s="4061"/>
      <c r="DY43" s="4061"/>
      <c r="DZ43" s="4061"/>
      <c r="EA43" s="4061"/>
      <c r="EB43" s="4061"/>
      <c r="EC43" s="4062"/>
      <c r="ED43" s="4060"/>
      <c r="EE43" s="4061"/>
      <c r="EF43" s="4061"/>
      <c r="EG43" s="4061"/>
      <c r="EH43" s="4061"/>
      <c r="EI43" s="4061"/>
      <c r="EJ43" s="4061"/>
      <c r="EK43" s="4062"/>
      <c r="EL43" s="4062"/>
      <c r="E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EO43" s="426"/>
      <c r="EP43" s="426" t="str">
        <f t="shared" ref="EP43:EP57" si="1">IF(T43="","",T43)</f>
        <v>Наименование тарифа</v>
      </c>
      <c r="EQ43" s="426"/>
      <c r="ER43" s="426"/>
    </row>
    <row r="44" spans="1:148" ht="21" customHeight="1">
      <c r="A44" s="1279" t="s">
        <v>162</v>
      </c>
      <c r="B44" s="1279" t="s">
        <v>163</v>
      </c>
      <c r="C44" s="1279"/>
      <c r="D44" s="1279"/>
      <c r="E44" s="4075"/>
      <c r="F44" s="4074">
        <v>1</v>
      </c>
      <c r="G44" s="1279"/>
      <c r="H44" s="1279"/>
      <c r="I44" s="1279"/>
      <c r="J44" s="1279"/>
      <c r="K44" s="1279"/>
      <c r="L44" s="1280"/>
      <c r="M44" s="1281"/>
      <c r="N44" s="1281"/>
      <c r="O44" s="1281"/>
      <c r="P44" s="1249"/>
      <c r="Q44" s="277"/>
      <c r="R44" s="278"/>
      <c r="S44" s="1253" t="str">
        <f>INDEX(PT_DIFFERENTIATION_NUM_TER,MATCH(B44,PT_DIFFERENTIATION_TER_ID,0))</f>
        <v>1.1</v>
      </c>
      <c r="T44" s="229" t="s">
        <v>389</v>
      </c>
      <c r="U44" s="219"/>
      <c r="V44" s="4060"/>
      <c r="W44" s="4061"/>
      <c r="X44" s="4061"/>
      <c r="Y44" s="4061"/>
      <c r="Z44" s="4061"/>
      <c r="AA44" s="4061"/>
      <c r="AB44" s="4061"/>
      <c r="AC44" s="4062"/>
      <c r="AD44" s="4060" t="str">
        <f>INDEX(PT_DIFFERENTIATION_TER,MATCH(B44,PT_DIFFERENTIATION_TER_ID,0))</f>
        <v>без дифференциации</v>
      </c>
      <c r="AE44" s="4061"/>
      <c r="AF44" s="4061"/>
      <c r="AG44" s="4061"/>
      <c r="AH44" s="4061"/>
      <c r="AI44" s="4061"/>
      <c r="AJ44" s="4061"/>
      <c r="AK44" s="4061"/>
      <c r="AL44" s="4060"/>
      <c r="AM44" s="4061"/>
      <c r="AN44" s="4061"/>
      <c r="AO44" s="4061"/>
      <c r="AP44" s="4061"/>
      <c r="AQ44" s="4061"/>
      <c r="AR44" s="4061"/>
      <c r="AS44" s="4062"/>
      <c r="AT44" s="4060"/>
      <c r="AU44" s="4061"/>
      <c r="AV44" s="4061"/>
      <c r="AW44" s="4061"/>
      <c r="AX44" s="4061"/>
      <c r="AY44" s="4061"/>
      <c r="AZ44" s="4061"/>
      <c r="BA44" s="4062"/>
      <c r="BB44" s="4060"/>
      <c r="BC44" s="4061"/>
      <c r="BD44" s="4061"/>
      <c r="BE44" s="4061"/>
      <c r="BF44" s="4061"/>
      <c r="BG44" s="4061"/>
      <c r="BH44" s="4061"/>
      <c r="BI44" s="4062"/>
      <c r="BJ44" s="4060"/>
      <c r="BK44" s="4061"/>
      <c r="BL44" s="4061"/>
      <c r="BM44" s="4061"/>
      <c r="BN44" s="4061"/>
      <c r="BO44" s="4061"/>
      <c r="BP44" s="4061"/>
      <c r="BQ44" s="4062"/>
      <c r="BR44" s="4060"/>
      <c r="BS44" s="4061"/>
      <c r="BT44" s="4061"/>
      <c r="BU44" s="4061"/>
      <c r="BV44" s="4061"/>
      <c r="BW44" s="4061"/>
      <c r="BX44" s="4061"/>
      <c r="BY44" s="4062"/>
      <c r="BZ44" s="4060"/>
      <c r="CA44" s="4061"/>
      <c r="CB44" s="4061"/>
      <c r="CC44" s="4061"/>
      <c r="CD44" s="4061"/>
      <c r="CE44" s="4061"/>
      <c r="CF44" s="4061"/>
      <c r="CG44" s="4062"/>
      <c r="CH44" s="4060"/>
      <c r="CI44" s="4061"/>
      <c r="CJ44" s="4061"/>
      <c r="CK44" s="4061"/>
      <c r="CL44" s="4061"/>
      <c r="CM44" s="4061"/>
      <c r="CN44" s="4061"/>
      <c r="CO44" s="4062"/>
      <c r="CP44" s="4060"/>
      <c r="CQ44" s="4061"/>
      <c r="CR44" s="4061"/>
      <c r="CS44" s="4061"/>
      <c r="CT44" s="4061"/>
      <c r="CU44" s="4061"/>
      <c r="CV44" s="4061"/>
      <c r="CW44" s="4062"/>
      <c r="CX44" s="4060"/>
      <c r="CY44" s="4061"/>
      <c r="CZ44" s="4061"/>
      <c r="DA44" s="4061"/>
      <c r="DB44" s="4061"/>
      <c r="DC44" s="4061"/>
      <c r="DD44" s="4061"/>
      <c r="DE44" s="4062"/>
      <c r="DF44" s="4060"/>
      <c r="DG44" s="4061"/>
      <c r="DH44" s="4061"/>
      <c r="DI44" s="4061"/>
      <c r="DJ44" s="4061"/>
      <c r="DK44" s="4061"/>
      <c r="DL44" s="4061"/>
      <c r="DM44" s="4062"/>
      <c r="DN44" s="4060"/>
      <c r="DO44" s="4061"/>
      <c r="DP44" s="4061"/>
      <c r="DQ44" s="4061"/>
      <c r="DR44" s="4061"/>
      <c r="DS44" s="4061"/>
      <c r="DT44" s="4061"/>
      <c r="DU44" s="4062"/>
      <c r="DV44" s="4060"/>
      <c r="DW44" s="4061"/>
      <c r="DX44" s="4061"/>
      <c r="DY44" s="4061"/>
      <c r="DZ44" s="4061"/>
      <c r="EA44" s="4061"/>
      <c r="EB44" s="4061"/>
      <c r="EC44" s="4062"/>
      <c r="ED44" s="4060"/>
      <c r="EE44" s="4061"/>
      <c r="EF44" s="4061"/>
      <c r="EG44" s="4061"/>
      <c r="EH44" s="4061"/>
      <c r="EI44" s="4061"/>
      <c r="EJ44" s="4061"/>
      <c r="EK44" s="4062"/>
      <c r="EL44" s="4062"/>
      <c r="EM44" s="1177" t="s">
        <v>390</v>
      </c>
      <c r="EO44" s="426"/>
      <c r="EP44" s="426" t="str">
        <f t="shared" si="1"/>
        <v>Территория действия тарифа</v>
      </c>
      <c r="EQ44" s="426"/>
      <c r="ER44" s="426"/>
    </row>
    <row r="45" spans="1:148" ht="23.25" customHeight="1">
      <c r="A45" s="1279" t="s">
        <v>162</v>
      </c>
      <c r="B45" s="1279" t="s">
        <v>163</v>
      </c>
      <c r="C45" s="1279" t="s">
        <v>164</v>
      </c>
      <c r="D45" s="1279"/>
      <c r="E45" s="4075"/>
      <c r="F45" s="4075"/>
      <c r="G45" s="4074">
        <v>1</v>
      </c>
      <c r="H45" s="1279"/>
      <c r="I45" s="1279"/>
      <c r="J45" s="1279"/>
      <c r="K45" s="1279"/>
      <c r="L45" s="1280"/>
      <c r="M45" s="1281"/>
      <c r="N45" s="1281"/>
      <c r="O45" s="1281"/>
      <c r="P45" s="279"/>
      <c r="Q45" s="277"/>
      <c r="R45" s="278"/>
      <c r="S45" s="1253" t="str">
        <f>INDEX(PT_DIFFERENTIATION_NUM_CS,MATCH(C45,PT_DIFFERENTIATION_CS_ID,0))</f>
        <v>1.1.1</v>
      </c>
      <c r="T45" s="230" t="s">
        <v>391</v>
      </c>
      <c r="U45" s="219"/>
      <c r="V45" s="4060"/>
      <c r="W45" s="4061"/>
      <c r="X45" s="4061"/>
      <c r="Y45" s="4061"/>
      <c r="Z45" s="4061"/>
      <c r="AA45" s="4061"/>
      <c r="AB45" s="4061"/>
      <c r="AC45" s="4062"/>
      <c r="AD45" s="4060" t="str">
        <f>INDEX(PT_DIFFERENTIATION_CS,MATCH(C45,PT_DIFFERENTIATION_CS_ID,0))</f>
        <v>без дифференциации</v>
      </c>
      <c r="AE45" s="4061"/>
      <c r="AF45" s="4061"/>
      <c r="AG45" s="4061"/>
      <c r="AH45" s="4061"/>
      <c r="AI45" s="4061"/>
      <c r="AJ45" s="4061"/>
      <c r="AK45" s="4061"/>
      <c r="AL45" s="4060"/>
      <c r="AM45" s="4061"/>
      <c r="AN45" s="4061"/>
      <c r="AO45" s="4061"/>
      <c r="AP45" s="4061"/>
      <c r="AQ45" s="4061"/>
      <c r="AR45" s="4061"/>
      <c r="AS45" s="4062"/>
      <c r="AT45" s="4060"/>
      <c r="AU45" s="4061"/>
      <c r="AV45" s="4061"/>
      <c r="AW45" s="4061"/>
      <c r="AX45" s="4061"/>
      <c r="AY45" s="4061"/>
      <c r="AZ45" s="4061"/>
      <c r="BA45" s="4062"/>
      <c r="BB45" s="4060"/>
      <c r="BC45" s="4061"/>
      <c r="BD45" s="4061"/>
      <c r="BE45" s="4061"/>
      <c r="BF45" s="4061"/>
      <c r="BG45" s="4061"/>
      <c r="BH45" s="4061"/>
      <c r="BI45" s="4062"/>
      <c r="BJ45" s="4060"/>
      <c r="BK45" s="4061"/>
      <c r="BL45" s="4061"/>
      <c r="BM45" s="4061"/>
      <c r="BN45" s="4061"/>
      <c r="BO45" s="4061"/>
      <c r="BP45" s="4061"/>
      <c r="BQ45" s="4062"/>
      <c r="BR45" s="4060"/>
      <c r="BS45" s="4061"/>
      <c r="BT45" s="4061"/>
      <c r="BU45" s="4061"/>
      <c r="BV45" s="4061"/>
      <c r="BW45" s="4061"/>
      <c r="BX45" s="4061"/>
      <c r="BY45" s="4062"/>
      <c r="BZ45" s="4060"/>
      <c r="CA45" s="4061"/>
      <c r="CB45" s="4061"/>
      <c r="CC45" s="4061"/>
      <c r="CD45" s="4061"/>
      <c r="CE45" s="4061"/>
      <c r="CF45" s="4061"/>
      <c r="CG45" s="4062"/>
      <c r="CH45" s="4060"/>
      <c r="CI45" s="4061"/>
      <c r="CJ45" s="4061"/>
      <c r="CK45" s="4061"/>
      <c r="CL45" s="4061"/>
      <c r="CM45" s="4061"/>
      <c r="CN45" s="4061"/>
      <c r="CO45" s="4062"/>
      <c r="CP45" s="4060"/>
      <c r="CQ45" s="4061"/>
      <c r="CR45" s="4061"/>
      <c r="CS45" s="4061"/>
      <c r="CT45" s="4061"/>
      <c r="CU45" s="4061"/>
      <c r="CV45" s="4061"/>
      <c r="CW45" s="4062"/>
      <c r="CX45" s="4060"/>
      <c r="CY45" s="4061"/>
      <c r="CZ45" s="4061"/>
      <c r="DA45" s="4061"/>
      <c r="DB45" s="4061"/>
      <c r="DC45" s="4061"/>
      <c r="DD45" s="4061"/>
      <c r="DE45" s="4062"/>
      <c r="DF45" s="4060"/>
      <c r="DG45" s="4061"/>
      <c r="DH45" s="4061"/>
      <c r="DI45" s="4061"/>
      <c r="DJ45" s="4061"/>
      <c r="DK45" s="4061"/>
      <c r="DL45" s="4061"/>
      <c r="DM45" s="4062"/>
      <c r="DN45" s="4060"/>
      <c r="DO45" s="4061"/>
      <c r="DP45" s="4061"/>
      <c r="DQ45" s="4061"/>
      <c r="DR45" s="4061"/>
      <c r="DS45" s="4061"/>
      <c r="DT45" s="4061"/>
      <c r="DU45" s="4062"/>
      <c r="DV45" s="4060"/>
      <c r="DW45" s="4061"/>
      <c r="DX45" s="4061"/>
      <c r="DY45" s="4061"/>
      <c r="DZ45" s="4061"/>
      <c r="EA45" s="4061"/>
      <c r="EB45" s="4061"/>
      <c r="EC45" s="4062"/>
      <c r="ED45" s="4060"/>
      <c r="EE45" s="4061"/>
      <c r="EF45" s="4061"/>
      <c r="EG45" s="4061"/>
      <c r="EH45" s="4061"/>
      <c r="EI45" s="4061"/>
      <c r="EJ45" s="4061"/>
      <c r="EK45" s="4062"/>
      <c r="EL45" s="4062"/>
      <c r="EM45" s="1177" t="s">
        <v>392</v>
      </c>
      <c r="EO45" s="426"/>
      <c r="EP45" s="426" t="str">
        <f t="shared" si="1"/>
        <v xml:space="preserve">Наименование системы теплоснабжения </v>
      </c>
      <c r="EQ45" s="426"/>
      <c r="ER45" s="426"/>
    </row>
    <row r="46" spans="1:148" ht="21" customHeight="1">
      <c r="A46" s="1279" t="s">
        <v>162</v>
      </c>
      <c r="B46" s="1279" t="s">
        <v>163</v>
      </c>
      <c r="C46" s="1279" t="s">
        <v>164</v>
      </c>
      <c r="D46" s="1279" t="s">
        <v>165</v>
      </c>
      <c r="E46" s="4075"/>
      <c r="F46" s="4075"/>
      <c r="G46" s="4075"/>
      <c r="H46" s="4074">
        <v>1</v>
      </c>
      <c r="I46" s="1279"/>
      <c r="J46" s="1279"/>
      <c r="K46" s="1279"/>
      <c r="L46" s="1280"/>
      <c r="M46" s="1281"/>
      <c r="N46" s="1281"/>
      <c r="O46" s="1281"/>
      <c r="P46" s="279"/>
      <c r="Q46" s="277"/>
      <c r="R46" s="278"/>
      <c r="S46" s="1253" t="str">
        <f>INDEX(PT_DIFFERENTIATION_NUM_IST_TE,MATCH(D46,PT_DIFFERENTIATION_IST_TE_ID,0))</f>
        <v>1.1.1.1</v>
      </c>
      <c r="T46" s="231" t="s">
        <v>393</v>
      </c>
      <c r="U46" s="219"/>
      <c r="V46" s="4060"/>
      <c r="W46" s="4061"/>
      <c r="X46" s="4061"/>
      <c r="Y46" s="4061"/>
      <c r="Z46" s="4061"/>
      <c r="AA46" s="4061"/>
      <c r="AB46" s="4061"/>
      <c r="AC46" s="4062"/>
      <c r="AD46" s="4060" t="str">
        <f>INDEX(PT_DIFFERENTIATION_IST_TE,MATCH(D46,PT_DIFFERENTIATION_IST_TE_ID,0))</f>
        <v>без дифференциации</v>
      </c>
      <c r="AE46" s="4061"/>
      <c r="AF46" s="4061"/>
      <c r="AG46" s="4061"/>
      <c r="AH46" s="4061"/>
      <c r="AI46" s="4061"/>
      <c r="AJ46" s="4061"/>
      <c r="AK46" s="4061"/>
      <c r="AL46" s="4060"/>
      <c r="AM46" s="4061"/>
      <c r="AN46" s="4061"/>
      <c r="AO46" s="4061"/>
      <c r="AP46" s="4061"/>
      <c r="AQ46" s="4061"/>
      <c r="AR46" s="4061"/>
      <c r="AS46" s="4062"/>
      <c r="AT46" s="4060"/>
      <c r="AU46" s="4061"/>
      <c r="AV46" s="4061"/>
      <c r="AW46" s="4061"/>
      <c r="AX46" s="4061"/>
      <c r="AY46" s="4061"/>
      <c r="AZ46" s="4061"/>
      <c r="BA46" s="4062"/>
      <c r="BB46" s="4060"/>
      <c r="BC46" s="4061"/>
      <c r="BD46" s="4061"/>
      <c r="BE46" s="4061"/>
      <c r="BF46" s="4061"/>
      <c r="BG46" s="4061"/>
      <c r="BH46" s="4061"/>
      <c r="BI46" s="4062"/>
      <c r="BJ46" s="4060"/>
      <c r="BK46" s="4061"/>
      <c r="BL46" s="4061"/>
      <c r="BM46" s="4061"/>
      <c r="BN46" s="4061"/>
      <c r="BO46" s="4061"/>
      <c r="BP46" s="4061"/>
      <c r="BQ46" s="4062"/>
      <c r="BR46" s="4060"/>
      <c r="BS46" s="4061"/>
      <c r="BT46" s="4061"/>
      <c r="BU46" s="4061"/>
      <c r="BV46" s="4061"/>
      <c r="BW46" s="4061"/>
      <c r="BX46" s="4061"/>
      <c r="BY46" s="4062"/>
      <c r="BZ46" s="4060"/>
      <c r="CA46" s="4061"/>
      <c r="CB46" s="4061"/>
      <c r="CC46" s="4061"/>
      <c r="CD46" s="4061"/>
      <c r="CE46" s="4061"/>
      <c r="CF46" s="4061"/>
      <c r="CG46" s="4062"/>
      <c r="CH46" s="4060"/>
      <c r="CI46" s="4061"/>
      <c r="CJ46" s="4061"/>
      <c r="CK46" s="4061"/>
      <c r="CL46" s="4061"/>
      <c r="CM46" s="4061"/>
      <c r="CN46" s="4061"/>
      <c r="CO46" s="4062"/>
      <c r="CP46" s="4060"/>
      <c r="CQ46" s="4061"/>
      <c r="CR46" s="4061"/>
      <c r="CS46" s="4061"/>
      <c r="CT46" s="4061"/>
      <c r="CU46" s="4061"/>
      <c r="CV46" s="4061"/>
      <c r="CW46" s="4062"/>
      <c r="CX46" s="4060"/>
      <c r="CY46" s="4061"/>
      <c r="CZ46" s="4061"/>
      <c r="DA46" s="4061"/>
      <c r="DB46" s="4061"/>
      <c r="DC46" s="4061"/>
      <c r="DD46" s="4061"/>
      <c r="DE46" s="4062"/>
      <c r="DF46" s="4060"/>
      <c r="DG46" s="4061"/>
      <c r="DH46" s="4061"/>
      <c r="DI46" s="4061"/>
      <c r="DJ46" s="4061"/>
      <c r="DK46" s="4061"/>
      <c r="DL46" s="4061"/>
      <c r="DM46" s="4062"/>
      <c r="DN46" s="4060"/>
      <c r="DO46" s="4061"/>
      <c r="DP46" s="4061"/>
      <c r="DQ46" s="4061"/>
      <c r="DR46" s="4061"/>
      <c r="DS46" s="4061"/>
      <c r="DT46" s="4061"/>
      <c r="DU46" s="4062"/>
      <c r="DV46" s="4060"/>
      <c r="DW46" s="4061"/>
      <c r="DX46" s="4061"/>
      <c r="DY46" s="4061"/>
      <c r="DZ46" s="4061"/>
      <c r="EA46" s="4061"/>
      <c r="EB46" s="4061"/>
      <c r="EC46" s="4062"/>
      <c r="ED46" s="4060"/>
      <c r="EE46" s="4061"/>
      <c r="EF46" s="4061"/>
      <c r="EG46" s="4061"/>
      <c r="EH46" s="4061"/>
      <c r="EI46" s="4061"/>
      <c r="EJ46" s="4061"/>
      <c r="EK46" s="4062"/>
      <c r="EL46" s="4062"/>
      <c r="EM46" s="1177" t="s">
        <v>394</v>
      </c>
      <c r="EO46" s="426"/>
      <c r="EP46" s="426" t="str">
        <f t="shared" si="1"/>
        <v xml:space="preserve">Источник тепловой энергии  </v>
      </c>
      <c r="EQ46" s="426"/>
      <c r="ER46" s="426"/>
    </row>
    <row r="47" spans="1:148" ht="47.25" customHeight="1">
      <c r="A47" s="1279" t="s">
        <v>162</v>
      </c>
      <c r="B47" s="1279" t="s">
        <v>163</v>
      </c>
      <c r="C47" s="1279" t="s">
        <v>164</v>
      </c>
      <c r="D47" s="1279" t="s">
        <v>165</v>
      </c>
      <c r="E47" s="4075"/>
      <c r="F47" s="4075"/>
      <c r="G47" s="4075"/>
      <c r="H47" s="4075"/>
      <c r="I47" s="4072" t="str">
        <f>S46&amp;".1"</f>
        <v>1.1.1.1.1</v>
      </c>
      <c r="J47" s="1279"/>
      <c r="K47" s="1279"/>
      <c r="L47" s="1280" t="s">
        <v>395</v>
      </c>
      <c r="P47" s="4073">
        <v>1</v>
      </c>
      <c r="Q47" s="1248"/>
      <c r="R47" s="281"/>
      <c r="S47" s="1253" t="str">
        <f>$I47</f>
        <v>1.1.1.1.1</v>
      </c>
      <c r="T47" s="204" t="s">
        <v>396</v>
      </c>
      <c r="U47" s="219"/>
      <c r="V47" s="4063"/>
      <c r="W47" s="4064"/>
      <c r="X47" s="4064"/>
      <c r="Y47" s="4064"/>
      <c r="Z47" s="4064"/>
      <c r="AA47" s="4064"/>
      <c r="AB47" s="4064"/>
      <c r="AC47" s="4065"/>
      <c r="AD47" s="4063" t="s">
        <v>438</v>
      </c>
      <c r="AE47" s="4064"/>
      <c r="AF47" s="4064"/>
      <c r="AG47" s="4064"/>
      <c r="AH47" s="4064"/>
      <c r="AI47" s="4064"/>
      <c r="AJ47" s="4064"/>
      <c r="AK47" s="4064"/>
      <c r="AL47" s="4063"/>
      <c r="AM47" s="4064"/>
      <c r="AN47" s="4064"/>
      <c r="AO47" s="4064"/>
      <c r="AP47" s="4064"/>
      <c r="AQ47" s="4064"/>
      <c r="AR47" s="4064"/>
      <c r="AS47" s="4065"/>
      <c r="AT47" s="4063"/>
      <c r="AU47" s="4064"/>
      <c r="AV47" s="4064"/>
      <c r="AW47" s="4064"/>
      <c r="AX47" s="4064"/>
      <c r="AY47" s="4064"/>
      <c r="AZ47" s="4064"/>
      <c r="BA47" s="4065"/>
      <c r="BB47" s="4063"/>
      <c r="BC47" s="4064"/>
      <c r="BD47" s="4064"/>
      <c r="BE47" s="4064"/>
      <c r="BF47" s="4064"/>
      <c r="BG47" s="4064"/>
      <c r="BH47" s="4064"/>
      <c r="BI47" s="4065"/>
      <c r="BJ47" s="4063"/>
      <c r="BK47" s="4064"/>
      <c r="BL47" s="4064"/>
      <c r="BM47" s="4064"/>
      <c r="BN47" s="4064"/>
      <c r="BO47" s="4064"/>
      <c r="BP47" s="4064"/>
      <c r="BQ47" s="4065"/>
      <c r="BR47" s="4063"/>
      <c r="BS47" s="4064"/>
      <c r="BT47" s="4064"/>
      <c r="BU47" s="4064"/>
      <c r="BV47" s="4064"/>
      <c r="BW47" s="4064"/>
      <c r="BX47" s="4064"/>
      <c r="BY47" s="4065"/>
      <c r="BZ47" s="4063"/>
      <c r="CA47" s="4064"/>
      <c r="CB47" s="4064"/>
      <c r="CC47" s="4064"/>
      <c r="CD47" s="4064"/>
      <c r="CE47" s="4064"/>
      <c r="CF47" s="4064"/>
      <c r="CG47" s="4065"/>
      <c r="CH47" s="4063"/>
      <c r="CI47" s="4064"/>
      <c r="CJ47" s="4064"/>
      <c r="CK47" s="4064"/>
      <c r="CL47" s="4064"/>
      <c r="CM47" s="4064"/>
      <c r="CN47" s="4064"/>
      <c r="CO47" s="4065"/>
      <c r="CP47" s="4063"/>
      <c r="CQ47" s="4064"/>
      <c r="CR47" s="4064"/>
      <c r="CS47" s="4064"/>
      <c r="CT47" s="4064"/>
      <c r="CU47" s="4064"/>
      <c r="CV47" s="4064"/>
      <c r="CW47" s="4065"/>
      <c r="CX47" s="4063"/>
      <c r="CY47" s="4064"/>
      <c r="CZ47" s="4064"/>
      <c r="DA47" s="4064"/>
      <c r="DB47" s="4064"/>
      <c r="DC47" s="4064"/>
      <c r="DD47" s="4064"/>
      <c r="DE47" s="4065"/>
      <c r="DF47" s="4063"/>
      <c r="DG47" s="4064"/>
      <c r="DH47" s="4064"/>
      <c r="DI47" s="4064"/>
      <c r="DJ47" s="4064"/>
      <c r="DK47" s="4064"/>
      <c r="DL47" s="4064"/>
      <c r="DM47" s="4065"/>
      <c r="DN47" s="4063"/>
      <c r="DO47" s="4064"/>
      <c r="DP47" s="4064"/>
      <c r="DQ47" s="4064"/>
      <c r="DR47" s="4064"/>
      <c r="DS47" s="4064"/>
      <c r="DT47" s="4064"/>
      <c r="DU47" s="4065"/>
      <c r="DV47" s="4063"/>
      <c r="DW47" s="4064"/>
      <c r="DX47" s="4064"/>
      <c r="DY47" s="4064"/>
      <c r="DZ47" s="4064"/>
      <c r="EA47" s="4064"/>
      <c r="EB47" s="4064"/>
      <c r="EC47" s="4065"/>
      <c r="ED47" s="4063"/>
      <c r="EE47" s="4064"/>
      <c r="EF47" s="4064"/>
      <c r="EG47" s="4064"/>
      <c r="EH47" s="4064"/>
      <c r="EI47" s="4064"/>
      <c r="EJ47" s="4064"/>
      <c r="EK47" s="4065"/>
      <c r="EL47" s="4065"/>
      <c r="EM47" s="1177" t="s">
        <v>397</v>
      </c>
      <c r="EO47" s="426"/>
      <c r="EP47" s="426" t="str">
        <f t="shared" si="1"/>
        <v>Схема подключения теплопотребляющей установки к коллектору источника тепловой энергии</v>
      </c>
      <c r="EQ47" s="426"/>
      <c r="ER47" s="426"/>
    </row>
    <row r="48" spans="1:148" ht="21" customHeight="1">
      <c r="A48" s="1279" t="s">
        <v>162</v>
      </c>
      <c r="B48" s="1279" t="s">
        <v>163</v>
      </c>
      <c r="C48" s="1279" t="s">
        <v>164</v>
      </c>
      <c r="D48" s="1279" t="s">
        <v>165</v>
      </c>
      <c r="E48" s="4075"/>
      <c r="F48" s="4075"/>
      <c r="G48" s="4075"/>
      <c r="H48" s="4075"/>
      <c r="I48" s="4095"/>
      <c r="J48" s="4072" t="str">
        <f>I47&amp;".1"</f>
        <v>1.1.1.1.1.1</v>
      </c>
      <c r="K48" s="1279"/>
      <c r="L48" s="1280" t="s">
        <v>398</v>
      </c>
      <c r="P48" s="4073"/>
      <c r="Q48" s="4073">
        <v>1</v>
      </c>
      <c r="R48" s="282"/>
      <c r="S48" s="1253" t="str">
        <f>$J48</f>
        <v>1.1.1.1.1.1</v>
      </c>
      <c r="T48" s="205" t="s">
        <v>399</v>
      </c>
      <c r="U48" s="219"/>
      <c r="V48" s="4063"/>
      <c r="W48" s="4064"/>
      <c r="X48" s="4064"/>
      <c r="Y48" s="4064"/>
      <c r="Z48" s="4064"/>
      <c r="AA48" s="4064"/>
      <c r="AB48" s="4064"/>
      <c r="AC48" s="4065"/>
      <c r="AD48" s="4063" t="s">
        <v>438</v>
      </c>
      <c r="AE48" s="4064"/>
      <c r="AF48" s="4064"/>
      <c r="AG48" s="4064"/>
      <c r="AH48" s="4064"/>
      <c r="AI48" s="4064"/>
      <c r="AJ48" s="4064"/>
      <c r="AK48" s="4064"/>
      <c r="AL48" s="4063"/>
      <c r="AM48" s="4064"/>
      <c r="AN48" s="4064"/>
      <c r="AO48" s="4064"/>
      <c r="AP48" s="4064"/>
      <c r="AQ48" s="4064"/>
      <c r="AR48" s="4064"/>
      <c r="AS48" s="4065"/>
      <c r="AT48" s="4063"/>
      <c r="AU48" s="4064"/>
      <c r="AV48" s="4064"/>
      <c r="AW48" s="4064"/>
      <c r="AX48" s="4064"/>
      <c r="AY48" s="4064"/>
      <c r="AZ48" s="4064"/>
      <c r="BA48" s="4065"/>
      <c r="BB48" s="4063"/>
      <c r="BC48" s="4064"/>
      <c r="BD48" s="4064"/>
      <c r="BE48" s="4064"/>
      <c r="BF48" s="4064"/>
      <c r="BG48" s="4064"/>
      <c r="BH48" s="4064"/>
      <c r="BI48" s="4065"/>
      <c r="BJ48" s="4063"/>
      <c r="BK48" s="4064"/>
      <c r="BL48" s="4064"/>
      <c r="BM48" s="4064"/>
      <c r="BN48" s="4064"/>
      <c r="BO48" s="4064"/>
      <c r="BP48" s="4064"/>
      <c r="BQ48" s="4065"/>
      <c r="BR48" s="4063"/>
      <c r="BS48" s="4064"/>
      <c r="BT48" s="4064"/>
      <c r="BU48" s="4064"/>
      <c r="BV48" s="4064"/>
      <c r="BW48" s="4064"/>
      <c r="BX48" s="4064"/>
      <c r="BY48" s="4065"/>
      <c r="BZ48" s="4063"/>
      <c r="CA48" s="4064"/>
      <c r="CB48" s="4064"/>
      <c r="CC48" s="4064"/>
      <c r="CD48" s="4064"/>
      <c r="CE48" s="4064"/>
      <c r="CF48" s="4064"/>
      <c r="CG48" s="4065"/>
      <c r="CH48" s="4063"/>
      <c r="CI48" s="4064"/>
      <c r="CJ48" s="4064"/>
      <c r="CK48" s="4064"/>
      <c r="CL48" s="4064"/>
      <c r="CM48" s="4064"/>
      <c r="CN48" s="4064"/>
      <c r="CO48" s="4065"/>
      <c r="CP48" s="4063"/>
      <c r="CQ48" s="4064"/>
      <c r="CR48" s="4064"/>
      <c r="CS48" s="4064"/>
      <c r="CT48" s="4064"/>
      <c r="CU48" s="4064"/>
      <c r="CV48" s="4064"/>
      <c r="CW48" s="4065"/>
      <c r="CX48" s="4063"/>
      <c r="CY48" s="4064"/>
      <c r="CZ48" s="4064"/>
      <c r="DA48" s="4064"/>
      <c r="DB48" s="4064"/>
      <c r="DC48" s="4064"/>
      <c r="DD48" s="4064"/>
      <c r="DE48" s="4065"/>
      <c r="DF48" s="4063"/>
      <c r="DG48" s="4064"/>
      <c r="DH48" s="4064"/>
      <c r="DI48" s="4064"/>
      <c r="DJ48" s="4064"/>
      <c r="DK48" s="4064"/>
      <c r="DL48" s="4064"/>
      <c r="DM48" s="4065"/>
      <c r="DN48" s="4063"/>
      <c r="DO48" s="4064"/>
      <c r="DP48" s="4064"/>
      <c r="DQ48" s="4064"/>
      <c r="DR48" s="4064"/>
      <c r="DS48" s="4064"/>
      <c r="DT48" s="4064"/>
      <c r="DU48" s="4065"/>
      <c r="DV48" s="4063"/>
      <c r="DW48" s="4064"/>
      <c r="DX48" s="4064"/>
      <c r="DY48" s="4064"/>
      <c r="DZ48" s="4064"/>
      <c r="EA48" s="4064"/>
      <c r="EB48" s="4064"/>
      <c r="EC48" s="4065"/>
      <c r="ED48" s="4063"/>
      <c r="EE48" s="4064"/>
      <c r="EF48" s="4064"/>
      <c r="EG48" s="4064"/>
      <c r="EH48" s="4064"/>
      <c r="EI48" s="4064"/>
      <c r="EJ48" s="4064"/>
      <c r="EK48" s="4065"/>
      <c r="EL48" s="4065"/>
      <c r="EM48" s="1177" t="s">
        <v>400</v>
      </c>
      <c r="EO48" s="426"/>
      <c r="EP48" s="426" t="str">
        <f t="shared" si="1"/>
        <v>Группа потребителей</v>
      </c>
      <c r="EQ48" s="426"/>
      <c r="ER48" s="426"/>
    </row>
    <row r="49" spans="1:148" ht="21" customHeight="1">
      <c r="A49" s="1279" t="s">
        <v>162</v>
      </c>
      <c r="B49" s="1279" t="s">
        <v>163</v>
      </c>
      <c r="C49" s="1279" t="s">
        <v>164</v>
      </c>
      <c r="D49" s="1279" t="s">
        <v>165</v>
      </c>
      <c r="E49" s="4075"/>
      <c r="F49" s="4075"/>
      <c r="G49" s="4075"/>
      <c r="H49" s="4075"/>
      <c r="I49" s="4095"/>
      <c r="J49" s="4095"/>
      <c r="K49" s="4072" t="str">
        <f>J48&amp;".1"</f>
        <v>1.1.1.1.1.1.1</v>
      </c>
      <c r="L49" s="1280" t="s">
        <v>401</v>
      </c>
      <c r="P49" s="4073"/>
      <c r="Q49" s="4073"/>
      <c r="R49" s="282">
        <v>1</v>
      </c>
      <c r="S49" s="1253" t="str">
        <f>$K49</f>
        <v>1.1.1.1.1.1.1</v>
      </c>
      <c r="T49" s="1264" t="s">
        <v>439</v>
      </c>
      <c r="U49" s="219"/>
      <c r="V49" s="2570"/>
      <c r="W49" s="2570"/>
      <c r="X49" s="2570"/>
      <c r="Y49" s="2571"/>
      <c r="Z49" s="4079"/>
      <c r="AA49" s="4080" t="s">
        <v>65</v>
      </c>
      <c r="AB49" s="4079"/>
      <c r="AC49" s="4080" t="s">
        <v>65</v>
      </c>
      <c r="AD49" s="668">
        <v>3116.12</v>
      </c>
      <c r="AE49" s="251"/>
      <c r="AF49" s="668"/>
      <c r="AG49" s="1176"/>
      <c r="AH49" s="4077">
        <v>45292.448020833333</v>
      </c>
      <c r="AI49" s="3927" t="s">
        <v>65</v>
      </c>
      <c r="AJ49" s="4096">
        <v>45657.448391203703</v>
      </c>
      <c r="AK49" s="3927" t="s">
        <v>65</v>
      </c>
      <c r="AL49" s="1946">
        <v>3262.86</v>
      </c>
      <c r="AM49" s="1947"/>
      <c r="AN49" s="1946"/>
      <c r="AO49" s="1948"/>
      <c r="AP49" s="4077">
        <v>45658.452789351853</v>
      </c>
      <c r="AQ49" s="3927" t="s">
        <v>65</v>
      </c>
      <c r="AR49" s="4077">
        <v>46022.452870370369</v>
      </c>
      <c r="AS49" s="3927" t="s">
        <v>65</v>
      </c>
      <c r="AT49" s="1946">
        <v>3297.49</v>
      </c>
      <c r="AU49" s="1947"/>
      <c r="AV49" s="1946"/>
      <c r="AW49" s="1948"/>
      <c r="AX49" s="4077">
        <v>46023.453182870369</v>
      </c>
      <c r="AY49" s="3927" t="s">
        <v>65</v>
      </c>
      <c r="AZ49" s="4077">
        <v>46387.453379629631</v>
      </c>
      <c r="BA49" s="3927" t="s">
        <v>65</v>
      </c>
      <c r="BB49" s="1946">
        <v>4834.66</v>
      </c>
      <c r="BC49" s="1947"/>
      <c r="BD49" s="1946"/>
      <c r="BE49" s="1948"/>
      <c r="BF49" s="4077">
        <v>46388.453564814816</v>
      </c>
      <c r="BG49" s="3927" t="s">
        <v>65</v>
      </c>
      <c r="BH49" s="4077">
        <v>46752.453692129631</v>
      </c>
      <c r="BI49" s="3927" t="s">
        <v>65</v>
      </c>
      <c r="BJ49" s="1946">
        <v>5130.1400000000003</v>
      </c>
      <c r="BK49" s="1947"/>
      <c r="BL49" s="1946"/>
      <c r="BM49" s="1948"/>
      <c r="BN49" s="4077">
        <v>46753.45385416667</v>
      </c>
      <c r="BO49" s="3927" t="s">
        <v>65</v>
      </c>
      <c r="BP49" s="4077">
        <v>47118.453981481478</v>
      </c>
      <c r="BQ49" s="3927" t="s">
        <v>65</v>
      </c>
      <c r="BR49" s="1946">
        <v>4765.38</v>
      </c>
      <c r="BS49" s="1947"/>
      <c r="BT49" s="1946"/>
      <c r="BU49" s="1948"/>
      <c r="BV49" s="4077">
        <v>47119.454236111109</v>
      </c>
      <c r="BW49" s="3927" t="s">
        <v>65</v>
      </c>
      <c r="BX49" s="4077">
        <v>47483.454328703701</v>
      </c>
      <c r="BY49" s="3927" t="s">
        <v>65</v>
      </c>
      <c r="BZ49" s="1946">
        <v>4702.97</v>
      </c>
      <c r="CA49" s="1947"/>
      <c r="CB49" s="1946"/>
      <c r="CC49" s="1948"/>
      <c r="CD49" s="4077">
        <v>47484.45453703704</v>
      </c>
      <c r="CE49" s="3927" t="s">
        <v>65</v>
      </c>
      <c r="CF49" s="4077">
        <v>47848.454652777778</v>
      </c>
      <c r="CG49" s="3927" t="s">
        <v>65</v>
      </c>
      <c r="CH49" s="1946">
        <v>4168.58</v>
      </c>
      <c r="CI49" s="1947"/>
      <c r="CJ49" s="1946"/>
      <c r="CK49" s="1948"/>
      <c r="CL49" s="4077">
        <v>47849.454826388886</v>
      </c>
      <c r="CM49" s="3927" t="s">
        <v>65</v>
      </c>
      <c r="CN49" s="4077">
        <v>48213.454965277779</v>
      </c>
      <c r="CO49" s="3927" t="s">
        <v>65</v>
      </c>
      <c r="CP49" s="1946">
        <v>4043.67</v>
      </c>
      <c r="CQ49" s="1947"/>
      <c r="CR49" s="1946"/>
      <c r="CS49" s="1948"/>
      <c r="CT49" s="4077">
        <v>48214.455138888887</v>
      </c>
      <c r="CU49" s="3927" t="s">
        <v>65</v>
      </c>
      <c r="CV49" s="4077">
        <v>48579.455289351848</v>
      </c>
      <c r="CW49" s="3927" t="s">
        <v>65</v>
      </c>
      <c r="CX49" s="1946">
        <v>4411.91</v>
      </c>
      <c r="CY49" s="1947"/>
      <c r="CZ49" s="1946"/>
      <c r="DA49" s="1948"/>
      <c r="DB49" s="4077">
        <v>48580.455578703702</v>
      </c>
      <c r="DC49" s="3927" t="s">
        <v>65</v>
      </c>
      <c r="DD49" s="4077">
        <v>48944.455787037034</v>
      </c>
      <c r="DE49" s="3927" t="s">
        <v>65</v>
      </c>
      <c r="DF49" s="1946">
        <v>4166.62</v>
      </c>
      <c r="DG49" s="1947"/>
      <c r="DH49" s="1946"/>
      <c r="DI49" s="1948"/>
      <c r="DJ49" s="4077">
        <v>48945.456284722219</v>
      </c>
      <c r="DK49" s="3927" t="s">
        <v>65</v>
      </c>
      <c r="DL49" s="4077">
        <v>49309.456435185188</v>
      </c>
      <c r="DM49" s="3927" t="s">
        <v>65</v>
      </c>
      <c r="DN49" s="1946">
        <v>4229.8100000000004</v>
      </c>
      <c r="DO49" s="1947"/>
      <c r="DP49" s="1946"/>
      <c r="DQ49" s="1948"/>
      <c r="DR49" s="4077">
        <v>49310.456689814811</v>
      </c>
      <c r="DS49" s="3927" t="s">
        <v>65</v>
      </c>
      <c r="DT49" s="4077">
        <v>49674.457060185188</v>
      </c>
      <c r="DU49" s="3927" t="s">
        <v>65</v>
      </c>
      <c r="DV49" s="1946">
        <v>3822.9</v>
      </c>
      <c r="DW49" s="1947"/>
      <c r="DX49" s="1946"/>
      <c r="DY49" s="1948"/>
      <c r="DZ49" s="4077">
        <v>49675.457268518519</v>
      </c>
      <c r="EA49" s="3927" t="s">
        <v>65</v>
      </c>
      <c r="EB49" s="4077">
        <v>49856.457638888889</v>
      </c>
      <c r="EC49" s="3927" t="s">
        <v>55</v>
      </c>
      <c r="ED49" s="2570"/>
      <c r="EE49" s="2570"/>
      <c r="EF49" s="2570"/>
      <c r="EG49" s="2571"/>
      <c r="EH49" s="4079"/>
      <c r="EI49" s="4080" t="s">
        <v>65</v>
      </c>
      <c r="EJ49" s="4079"/>
      <c r="EK49" s="4080" t="s">
        <v>65</v>
      </c>
      <c r="EL49" s="1265"/>
      <c r="EM49" s="4069" t="s">
        <v>402</v>
      </c>
      <c r="EN49" s="437" t="e">
        <f ca="1">STRCHECKDATE(V50:EL50)</f>
        <v>#NAME?</v>
      </c>
      <c r="EO49" s="426"/>
      <c r="EP49" s="426" t="str">
        <f t="shared" si="1"/>
        <v>вода</v>
      </c>
      <c r="EQ49" s="426"/>
      <c r="ER49" s="426"/>
    </row>
    <row r="50" spans="1:148" ht="0.75" customHeight="1">
      <c r="A50" s="1279" t="s">
        <v>162</v>
      </c>
      <c r="B50" s="1279" t="s">
        <v>163</v>
      </c>
      <c r="C50" s="1279" t="s">
        <v>164</v>
      </c>
      <c r="D50" s="1279" t="s">
        <v>165</v>
      </c>
      <c r="E50" s="4075"/>
      <c r="F50" s="4075"/>
      <c r="G50" s="4075"/>
      <c r="H50" s="4075"/>
      <c r="I50" s="4095"/>
      <c r="J50" s="4095"/>
      <c r="K50" s="4072"/>
      <c r="L50" s="1280"/>
      <c r="P50" s="4073"/>
      <c r="Q50" s="4073"/>
      <c r="R50" s="282"/>
      <c r="S50" s="1259"/>
      <c r="T50" s="219"/>
      <c r="U50" s="219"/>
      <c r="V50" s="2570"/>
      <c r="W50" s="2570"/>
      <c r="X50" s="2570"/>
      <c r="Y50" s="1949" t="str">
        <f>Z49&amp;"-"&amp;AB49</f>
        <v>-</v>
      </c>
      <c r="Z50" s="4080"/>
      <c r="AA50" s="4080"/>
      <c r="AB50" s="4080"/>
      <c r="AC50" s="4080"/>
      <c r="AD50" s="251"/>
      <c r="AE50" s="251"/>
      <c r="AF50" s="251"/>
      <c r="AG50" s="255" t="str">
        <f>AH49&amp;"-"&amp;AJ49</f>
        <v>45292,4480208333-45657,4483912037</v>
      </c>
      <c r="AH50" s="4078"/>
      <c r="AI50" s="3927"/>
      <c r="AJ50" s="4097"/>
      <c r="AK50" s="3927"/>
      <c r="AL50" s="1947"/>
      <c r="AM50" s="1947"/>
      <c r="AN50" s="1947"/>
      <c r="AO50" s="1949" t="str">
        <f>AP49&amp;"-"&amp;AR49</f>
        <v>45658,4527893519-46022,4528703704</v>
      </c>
      <c r="AP50" s="4078"/>
      <c r="AQ50" s="3927"/>
      <c r="AR50" s="4078"/>
      <c r="AS50" s="3927"/>
      <c r="AT50" s="1947"/>
      <c r="AU50" s="1947"/>
      <c r="AV50" s="1947"/>
      <c r="AW50" s="1949" t="str">
        <f>AX49&amp;"-"&amp;AZ49</f>
        <v>46023,4531828704-46387,4533796296</v>
      </c>
      <c r="AX50" s="4078"/>
      <c r="AY50" s="3927"/>
      <c r="AZ50" s="4078"/>
      <c r="BA50" s="3927"/>
      <c r="BB50" s="1947"/>
      <c r="BC50" s="1947"/>
      <c r="BD50" s="1947"/>
      <c r="BE50" s="1949" t="str">
        <f>BF49&amp;"-"&amp;BH49</f>
        <v>46388,4535648148-46752,4536921296</v>
      </c>
      <c r="BF50" s="4078"/>
      <c r="BG50" s="3927"/>
      <c r="BH50" s="4078"/>
      <c r="BI50" s="3927"/>
      <c r="BJ50" s="1947"/>
      <c r="BK50" s="1947"/>
      <c r="BL50" s="1947"/>
      <c r="BM50" s="1949" t="str">
        <f>BN49&amp;"-"&amp;BP49</f>
        <v>46753,4538541666-47118,4539814815</v>
      </c>
      <c r="BN50" s="4078"/>
      <c r="BO50" s="3927"/>
      <c r="BP50" s="4078"/>
      <c r="BQ50" s="3927"/>
      <c r="BR50" s="1947"/>
      <c r="BS50" s="1947"/>
      <c r="BT50" s="1947"/>
      <c r="BU50" s="1949" t="str">
        <f>BV49&amp;"-"&amp;BX49</f>
        <v>47119,4542361111-47483,4543287037</v>
      </c>
      <c r="BV50" s="4078"/>
      <c r="BW50" s="3927"/>
      <c r="BX50" s="4078"/>
      <c r="BY50" s="3927"/>
      <c r="BZ50" s="1947"/>
      <c r="CA50" s="1947"/>
      <c r="CB50" s="1947"/>
      <c r="CC50" s="1949" t="str">
        <f>CD49&amp;"-"&amp;CF49</f>
        <v>47484,454537037-47848,4546527778</v>
      </c>
      <c r="CD50" s="4078"/>
      <c r="CE50" s="3927"/>
      <c r="CF50" s="4078"/>
      <c r="CG50" s="3927"/>
      <c r="CH50" s="1947"/>
      <c r="CI50" s="1947"/>
      <c r="CJ50" s="1947"/>
      <c r="CK50" s="1949" t="str">
        <f>CL49&amp;"-"&amp;CN49</f>
        <v>47849,4548263889-48213,4549652778</v>
      </c>
      <c r="CL50" s="4078"/>
      <c r="CM50" s="3927"/>
      <c r="CN50" s="4078"/>
      <c r="CO50" s="3927"/>
      <c r="CP50" s="1947"/>
      <c r="CQ50" s="1947"/>
      <c r="CR50" s="1947"/>
      <c r="CS50" s="1949" t="str">
        <f>CT49&amp;"-"&amp;CV49</f>
        <v>48214,4551388889-48579,4552893518</v>
      </c>
      <c r="CT50" s="4078"/>
      <c r="CU50" s="3927"/>
      <c r="CV50" s="4078"/>
      <c r="CW50" s="3927"/>
      <c r="CX50" s="1947"/>
      <c r="CY50" s="1947"/>
      <c r="CZ50" s="1947"/>
      <c r="DA50" s="1949" t="str">
        <f>DB49&amp;"-"&amp;DD49</f>
        <v>48580,4555787037-48944,455787037</v>
      </c>
      <c r="DB50" s="4078"/>
      <c r="DC50" s="3927"/>
      <c r="DD50" s="4078"/>
      <c r="DE50" s="3927"/>
      <c r="DF50" s="1947"/>
      <c r="DG50" s="1947"/>
      <c r="DH50" s="1947"/>
      <c r="DI50" s="1949" t="str">
        <f>DJ49&amp;"-"&amp;DL49</f>
        <v>48945,4562847222-49309,4564351852</v>
      </c>
      <c r="DJ50" s="4078"/>
      <c r="DK50" s="3927"/>
      <c r="DL50" s="4078"/>
      <c r="DM50" s="3927"/>
      <c r="DN50" s="1947"/>
      <c r="DO50" s="1947"/>
      <c r="DP50" s="1947"/>
      <c r="DQ50" s="1949" t="str">
        <f>DR49&amp;"-"&amp;DT49</f>
        <v>49310,4566898148-49674,4570601852</v>
      </c>
      <c r="DR50" s="4078"/>
      <c r="DS50" s="3927"/>
      <c r="DT50" s="4078"/>
      <c r="DU50" s="3927"/>
      <c r="DV50" s="1947"/>
      <c r="DW50" s="1947"/>
      <c r="DX50" s="1947"/>
      <c r="DY50" s="1949" t="str">
        <f>DZ49&amp;"-"&amp;EB49</f>
        <v>49675,4572685185-49856,4576388889</v>
      </c>
      <c r="DZ50" s="4078"/>
      <c r="EA50" s="3927"/>
      <c r="EB50" s="4078"/>
      <c r="EC50" s="3927"/>
      <c r="ED50" s="2570"/>
      <c r="EE50" s="2570"/>
      <c r="EF50" s="2570"/>
      <c r="EG50" s="1949" t="str">
        <f>EH49&amp;"-"&amp;EJ49</f>
        <v>-</v>
      </c>
      <c r="EH50" s="4080"/>
      <c r="EI50" s="4080"/>
      <c r="EJ50" s="4080"/>
      <c r="EK50" s="4080"/>
      <c r="EL50" s="1266"/>
      <c r="EM50" s="4070"/>
      <c r="EO50" s="426"/>
      <c r="EP50" s="426" t="str">
        <f t="shared" si="1"/>
        <v/>
      </c>
      <c r="EQ50" s="426"/>
      <c r="ER50" s="426"/>
    </row>
    <row r="51" spans="1:148" ht="11.25" customHeight="1">
      <c r="A51" s="1279" t="s">
        <v>162</v>
      </c>
      <c r="B51" s="1279" t="s">
        <v>163</v>
      </c>
      <c r="C51" s="1279" t="s">
        <v>164</v>
      </c>
      <c r="D51" s="1279" t="s">
        <v>165</v>
      </c>
      <c r="E51" s="4075"/>
      <c r="F51" s="4075"/>
      <c r="G51" s="4075"/>
      <c r="H51" s="4075"/>
      <c r="I51" s="4095"/>
      <c r="J51" s="4072"/>
      <c r="K51" s="1279"/>
      <c r="L51" s="1280"/>
      <c r="P51" s="4073"/>
      <c r="Q51" s="4073"/>
      <c r="R51" s="281"/>
      <c r="S51" s="1198"/>
      <c r="T51" s="207" t="s">
        <v>403</v>
      </c>
      <c r="U51" s="295"/>
      <c r="V51" s="295"/>
      <c r="W51" s="295"/>
      <c r="X51" s="295"/>
      <c r="Y51" s="295"/>
      <c r="Z51" s="295"/>
      <c r="AA51" s="295"/>
      <c r="AB51" s="295"/>
      <c r="AC51" s="295"/>
      <c r="AD51" s="295"/>
      <c r="AE51" s="295"/>
      <c r="AF51" s="295"/>
      <c r="AG51" s="295"/>
      <c r="AH51" s="295"/>
      <c r="AI51" s="295"/>
      <c r="AJ51" s="295"/>
      <c r="AK51" s="295"/>
      <c r="AL51" s="3487"/>
      <c r="AM51" s="3488"/>
      <c r="AN51" s="3489"/>
      <c r="AO51" s="3490"/>
      <c r="AP51" s="3491"/>
      <c r="AQ51" s="3492"/>
      <c r="AR51" s="3493"/>
      <c r="AS51" s="3494"/>
      <c r="AT51" s="3495"/>
      <c r="AU51" s="3496"/>
      <c r="AV51" s="3497"/>
      <c r="AW51" s="3498"/>
      <c r="AX51" s="3499"/>
      <c r="AY51" s="3500"/>
      <c r="AZ51" s="3501"/>
      <c r="BA51" s="3502"/>
      <c r="BB51" s="3503"/>
      <c r="BC51" s="3504"/>
      <c r="BD51" s="3505"/>
      <c r="BE51" s="3506"/>
      <c r="BF51" s="3507"/>
      <c r="BG51" s="3508"/>
      <c r="BH51" s="3509"/>
      <c r="BI51" s="3510"/>
      <c r="BJ51" s="3511"/>
      <c r="BK51" s="3512"/>
      <c r="BL51" s="3513"/>
      <c r="BM51" s="3514"/>
      <c r="BN51" s="3515"/>
      <c r="BO51" s="3516"/>
      <c r="BP51" s="3517"/>
      <c r="BQ51" s="3518"/>
      <c r="BR51" s="3519"/>
      <c r="BS51" s="3520"/>
      <c r="BT51" s="3521"/>
      <c r="BU51" s="3522"/>
      <c r="BV51" s="3523"/>
      <c r="BW51" s="3524"/>
      <c r="BX51" s="3525"/>
      <c r="BY51" s="3526"/>
      <c r="BZ51" s="3527"/>
      <c r="CA51" s="3528"/>
      <c r="CB51" s="3529"/>
      <c r="CC51" s="3530"/>
      <c r="CD51" s="3531"/>
      <c r="CE51" s="3532"/>
      <c r="CF51" s="3533"/>
      <c r="CG51" s="3534"/>
      <c r="CH51" s="3535"/>
      <c r="CI51" s="3536"/>
      <c r="CJ51" s="3537"/>
      <c r="CK51" s="3538"/>
      <c r="CL51" s="3539"/>
      <c r="CM51" s="3540"/>
      <c r="CN51" s="3541"/>
      <c r="CO51" s="3542"/>
      <c r="CP51" s="3543"/>
      <c r="CQ51" s="3544"/>
      <c r="CR51" s="3545"/>
      <c r="CS51" s="3546"/>
      <c r="CT51" s="3547"/>
      <c r="CU51" s="3548"/>
      <c r="CV51" s="3549"/>
      <c r="CW51" s="3550"/>
      <c r="CX51" s="3551"/>
      <c r="CY51" s="3552"/>
      <c r="CZ51" s="3553"/>
      <c r="DA51" s="3554"/>
      <c r="DB51" s="3555"/>
      <c r="DC51" s="3556"/>
      <c r="DD51" s="3557"/>
      <c r="DE51" s="3558"/>
      <c r="DF51" s="3559"/>
      <c r="DG51" s="3560"/>
      <c r="DH51" s="3561"/>
      <c r="DI51" s="3562"/>
      <c r="DJ51" s="3563"/>
      <c r="DK51" s="3564"/>
      <c r="DL51" s="3565"/>
      <c r="DM51" s="3566"/>
      <c r="DN51" s="3567"/>
      <c r="DO51" s="3568"/>
      <c r="DP51" s="3569"/>
      <c r="DQ51" s="3570"/>
      <c r="DR51" s="3571"/>
      <c r="DS51" s="3572"/>
      <c r="DT51" s="3573"/>
      <c r="DU51" s="3574"/>
      <c r="DV51" s="3575"/>
      <c r="DW51" s="3576"/>
      <c r="DX51" s="3577"/>
      <c r="DY51" s="3578"/>
      <c r="DZ51" s="3579"/>
      <c r="EA51" s="3580"/>
      <c r="EB51" s="3581"/>
      <c r="EC51" s="3582"/>
      <c r="ED51" s="3583"/>
      <c r="EE51" s="3584"/>
      <c r="EF51" s="3585"/>
      <c r="EG51" s="3586"/>
      <c r="EH51" s="3587"/>
      <c r="EI51" s="3588"/>
      <c r="EJ51" s="3589"/>
      <c r="EK51" s="3590"/>
      <c r="EL51" s="250"/>
      <c r="EM51" s="4071"/>
      <c r="EO51" s="426"/>
      <c r="EP51" s="426" t="str">
        <f t="shared" si="1"/>
        <v>Добавить вид теплоносителя (параметры теплоносителя)</v>
      </c>
      <c r="EQ51" s="426"/>
      <c r="ER51" s="426"/>
    </row>
    <row r="52" spans="1:148" ht="11.25" customHeight="1">
      <c r="A52" s="1279" t="s">
        <v>162</v>
      </c>
      <c r="B52" s="1279" t="s">
        <v>163</v>
      </c>
      <c r="C52" s="1279" t="s">
        <v>164</v>
      </c>
      <c r="D52" s="1279" t="s">
        <v>165</v>
      </c>
      <c r="E52" s="4075"/>
      <c r="F52" s="4075"/>
      <c r="G52" s="4075"/>
      <c r="H52" s="4075"/>
      <c r="I52" s="4072"/>
      <c r="J52" s="1279"/>
      <c r="K52" s="1279"/>
      <c r="L52" s="1280"/>
      <c r="P52" s="4073"/>
      <c r="Q52" s="1248"/>
      <c r="R52" s="281"/>
      <c r="S52" s="1198"/>
      <c r="T52" s="206" t="s">
        <v>404</v>
      </c>
      <c r="U52" s="295"/>
      <c r="V52" s="295"/>
      <c r="W52" s="295"/>
      <c r="X52" s="295"/>
      <c r="Y52" s="295"/>
      <c r="Z52" s="295"/>
      <c r="AA52" s="295"/>
      <c r="AB52" s="295"/>
      <c r="AC52" s="294"/>
      <c r="AD52" s="295"/>
      <c r="AE52" s="295"/>
      <c r="AF52" s="295"/>
      <c r="AG52" s="295"/>
      <c r="AH52" s="295"/>
      <c r="AI52" s="295"/>
      <c r="AJ52" s="295"/>
      <c r="AK52" s="294"/>
      <c r="AL52" s="3591"/>
      <c r="AM52" s="3592"/>
      <c r="AN52" s="3593"/>
      <c r="AO52" s="3594"/>
      <c r="AP52" s="3595"/>
      <c r="AQ52" s="3596"/>
      <c r="AR52" s="3597"/>
      <c r="AS52" s="3598"/>
      <c r="AT52" s="3599"/>
      <c r="AU52" s="3600"/>
      <c r="AV52" s="3601"/>
      <c r="AW52" s="3602"/>
      <c r="AX52" s="3603"/>
      <c r="AY52" s="3604"/>
      <c r="AZ52" s="3605"/>
      <c r="BA52" s="3606"/>
      <c r="BB52" s="3607"/>
      <c r="BC52" s="3608"/>
      <c r="BD52" s="3609"/>
      <c r="BE52" s="3610"/>
      <c r="BF52" s="3611"/>
      <c r="BG52" s="3612"/>
      <c r="BH52" s="3613"/>
      <c r="BI52" s="3614"/>
      <c r="BJ52" s="3615"/>
      <c r="BK52" s="3616"/>
      <c r="BL52" s="3617"/>
      <c r="BM52" s="3618"/>
      <c r="BN52" s="3619"/>
      <c r="BO52" s="3620"/>
      <c r="BP52" s="3621"/>
      <c r="BQ52" s="3622"/>
      <c r="BR52" s="3623"/>
      <c r="BS52" s="3624"/>
      <c r="BT52" s="3625"/>
      <c r="BU52" s="3626"/>
      <c r="BV52" s="3627"/>
      <c r="BW52" s="3628"/>
      <c r="BX52" s="3629"/>
      <c r="BY52" s="3630"/>
      <c r="BZ52" s="3631"/>
      <c r="CA52" s="3632"/>
      <c r="CB52" s="3633"/>
      <c r="CC52" s="3634"/>
      <c r="CD52" s="3635"/>
      <c r="CE52" s="3636"/>
      <c r="CF52" s="3637"/>
      <c r="CG52" s="3638"/>
      <c r="CH52" s="3639"/>
      <c r="CI52" s="3640"/>
      <c r="CJ52" s="3641"/>
      <c r="CK52" s="3642"/>
      <c r="CL52" s="3643"/>
      <c r="CM52" s="3644"/>
      <c r="CN52" s="3645"/>
      <c r="CO52" s="3646"/>
      <c r="CP52" s="3647"/>
      <c r="CQ52" s="3648"/>
      <c r="CR52" s="3649"/>
      <c r="CS52" s="3650"/>
      <c r="CT52" s="3651"/>
      <c r="CU52" s="3652"/>
      <c r="CV52" s="3653"/>
      <c r="CW52" s="3654"/>
      <c r="CX52" s="3655"/>
      <c r="CY52" s="3656"/>
      <c r="CZ52" s="3657"/>
      <c r="DA52" s="3658"/>
      <c r="DB52" s="3659"/>
      <c r="DC52" s="3660"/>
      <c r="DD52" s="3661"/>
      <c r="DE52" s="3662"/>
      <c r="DF52" s="3663"/>
      <c r="DG52" s="3664"/>
      <c r="DH52" s="3665"/>
      <c r="DI52" s="3666"/>
      <c r="DJ52" s="3667"/>
      <c r="DK52" s="3668"/>
      <c r="DL52" s="3669"/>
      <c r="DM52" s="3670"/>
      <c r="DN52" s="3671"/>
      <c r="DO52" s="3672"/>
      <c r="DP52" s="3673"/>
      <c r="DQ52" s="3674"/>
      <c r="DR52" s="3675"/>
      <c r="DS52" s="3676"/>
      <c r="DT52" s="3677"/>
      <c r="DU52" s="3678"/>
      <c r="DV52" s="3679"/>
      <c r="DW52" s="3680"/>
      <c r="DX52" s="3681"/>
      <c r="DY52" s="3682"/>
      <c r="DZ52" s="3683"/>
      <c r="EA52" s="3684"/>
      <c r="EB52" s="3685"/>
      <c r="EC52" s="3686"/>
      <c r="ED52" s="3687"/>
      <c r="EE52" s="3688"/>
      <c r="EF52" s="3689"/>
      <c r="EG52" s="3690"/>
      <c r="EH52" s="3691"/>
      <c r="EI52" s="3692"/>
      <c r="EJ52" s="3693"/>
      <c r="EK52" s="3694"/>
      <c r="EL52" s="295"/>
      <c r="EM52" s="222"/>
      <c r="EO52" s="426"/>
      <c r="EP52" s="426" t="str">
        <f t="shared" si="1"/>
        <v>Добавить группу потребителей</v>
      </c>
      <c r="EQ52" s="426"/>
      <c r="ER52" s="426"/>
    </row>
    <row r="53" spans="1:148" ht="14.25" customHeight="1">
      <c r="A53" s="1279" t="s">
        <v>162</v>
      </c>
      <c r="B53" s="1279" t="s">
        <v>163</v>
      </c>
      <c r="C53" s="1279" t="s">
        <v>164</v>
      </c>
      <c r="D53" s="1279" t="s">
        <v>165</v>
      </c>
      <c r="E53" s="4075"/>
      <c r="F53" s="4075"/>
      <c r="G53" s="4075"/>
      <c r="H53" s="4074"/>
      <c r="I53" s="1279"/>
      <c r="J53" s="1279"/>
      <c r="K53" s="1279"/>
      <c r="L53" s="1280"/>
      <c r="M53" s="1281"/>
      <c r="N53" s="1281"/>
      <c r="O53" s="462"/>
      <c r="P53" s="285"/>
      <c r="Q53" s="304"/>
      <c r="R53" s="280"/>
      <c r="S53" s="1198"/>
      <c r="T53" s="292" t="s">
        <v>405</v>
      </c>
      <c r="U53" s="295"/>
      <c r="V53" s="295"/>
      <c r="W53" s="295"/>
      <c r="X53" s="295"/>
      <c r="Y53" s="295"/>
      <c r="Z53" s="295"/>
      <c r="AA53" s="295"/>
      <c r="AB53" s="295"/>
      <c r="AC53" s="294"/>
      <c r="AD53" s="295"/>
      <c r="AE53" s="295"/>
      <c r="AF53" s="295"/>
      <c r="AG53" s="295"/>
      <c r="AH53" s="295"/>
      <c r="AI53" s="295"/>
      <c r="AJ53" s="295"/>
      <c r="AK53" s="294"/>
      <c r="AL53" s="3695"/>
      <c r="AM53" s="3696"/>
      <c r="AN53" s="3697"/>
      <c r="AO53" s="3698"/>
      <c r="AP53" s="3699"/>
      <c r="AQ53" s="3700"/>
      <c r="AR53" s="3701"/>
      <c r="AS53" s="3702"/>
      <c r="AT53" s="3703"/>
      <c r="AU53" s="3704"/>
      <c r="AV53" s="3705"/>
      <c r="AW53" s="3706"/>
      <c r="AX53" s="3707"/>
      <c r="AY53" s="3708"/>
      <c r="AZ53" s="3709"/>
      <c r="BA53" s="3710"/>
      <c r="BB53" s="3711"/>
      <c r="BC53" s="3712"/>
      <c r="BD53" s="3713"/>
      <c r="BE53" s="3714"/>
      <c r="BF53" s="3715"/>
      <c r="BG53" s="3716"/>
      <c r="BH53" s="3717"/>
      <c r="BI53" s="3718"/>
      <c r="BJ53" s="3719"/>
      <c r="BK53" s="3720"/>
      <c r="BL53" s="3721"/>
      <c r="BM53" s="3722"/>
      <c r="BN53" s="3723"/>
      <c r="BO53" s="3724"/>
      <c r="BP53" s="3725"/>
      <c r="BQ53" s="3726"/>
      <c r="BR53" s="3727"/>
      <c r="BS53" s="3728"/>
      <c r="BT53" s="3729"/>
      <c r="BU53" s="3730"/>
      <c r="BV53" s="3731"/>
      <c r="BW53" s="3732"/>
      <c r="BX53" s="3733"/>
      <c r="BY53" s="3734"/>
      <c r="BZ53" s="3735"/>
      <c r="CA53" s="3736"/>
      <c r="CB53" s="3737"/>
      <c r="CC53" s="3738"/>
      <c r="CD53" s="3739"/>
      <c r="CE53" s="3740"/>
      <c r="CF53" s="3741"/>
      <c r="CG53" s="3742"/>
      <c r="CH53" s="3743"/>
      <c r="CI53" s="3744"/>
      <c r="CJ53" s="3745"/>
      <c r="CK53" s="3746"/>
      <c r="CL53" s="3747"/>
      <c r="CM53" s="3748"/>
      <c r="CN53" s="3749"/>
      <c r="CO53" s="3750"/>
      <c r="CP53" s="3751"/>
      <c r="CQ53" s="3752"/>
      <c r="CR53" s="3753"/>
      <c r="CS53" s="3754"/>
      <c r="CT53" s="3755"/>
      <c r="CU53" s="3756"/>
      <c r="CV53" s="3757"/>
      <c r="CW53" s="3758"/>
      <c r="CX53" s="3759"/>
      <c r="CY53" s="3760"/>
      <c r="CZ53" s="3761"/>
      <c r="DA53" s="3762"/>
      <c r="DB53" s="3763"/>
      <c r="DC53" s="3764"/>
      <c r="DD53" s="3765"/>
      <c r="DE53" s="3766"/>
      <c r="DF53" s="3767"/>
      <c r="DG53" s="3768"/>
      <c r="DH53" s="3769"/>
      <c r="DI53" s="3770"/>
      <c r="DJ53" s="3771"/>
      <c r="DK53" s="3772"/>
      <c r="DL53" s="3773"/>
      <c r="DM53" s="3774"/>
      <c r="DN53" s="3775"/>
      <c r="DO53" s="3776"/>
      <c r="DP53" s="3777"/>
      <c r="DQ53" s="3778"/>
      <c r="DR53" s="3779"/>
      <c r="DS53" s="3780"/>
      <c r="DT53" s="3781"/>
      <c r="DU53" s="3782"/>
      <c r="DV53" s="3783"/>
      <c r="DW53" s="3784"/>
      <c r="DX53" s="3785"/>
      <c r="DY53" s="3786"/>
      <c r="DZ53" s="3787"/>
      <c r="EA53" s="3788"/>
      <c r="EB53" s="3789"/>
      <c r="EC53" s="3790"/>
      <c r="ED53" s="3791"/>
      <c r="EE53" s="3792"/>
      <c r="EF53" s="3793"/>
      <c r="EG53" s="3794"/>
      <c r="EH53" s="3795"/>
      <c r="EI53" s="3796"/>
      <c r="EJ53" s="3797"/>
      <c r="EK53" s="3798"/>
      <c r="EL53" s="295"/>
      <c r="EM53" s="222"/>
      <c r="EO53" s="426"/>
      <c r="EP53" s="426" t="str">
        <f t="shared" si="1"/>
        <v>Добавить схему подключения</v>
      </c>
      <c r="EQ53" s="426"/>
      <c r="ER53" s="426"/>
    </row>
    <row r="54" spans="1:148" s="2550" customFormat="1" ht="0.75" customHeight="1">
      <c r="A54" s="1260" t="s">
        <v>162</v>
      </c>
      <c r="B54" s="1260" t="s">
        <v>163</v>
      </c>
      <c r="C54" s="1260" t="s">
        <v>164</v>
      </c>
      <c r="D54" s="1232"/>
      <c r="E54" s="4075"/>
      <c r="F54" s="4075"/>
      <c r="G54" s="4074"/>
      <c r="H54" s="1232"/>
      <c r="I54" s="1232"/>
      <c r="J54" s="1232"/>
      <c r="K54" s="1232"/>
      <c r="L54" s="1256"/>
      <c r="M54" s="1233"/>
      <c r="N54" s="1233"/>
      <c r="P54" s="1234"/>
      <c r="Q54" s="1235"/>
      <c r="R54" s="1234"/>
      <c r="S54" s="1240"/>
      <c r="T54" s="1243" t="s">
        <v>166</v>
      </c>
      <c r="U54" s="1242"/>
      <c r="V54" s="1242"/>
      <c r="W54" s="1242"/>
      <c r="X54" s="1242"/>
      <c r="Y54" s="1242"/>
      <c r="Z54" s="1242"/>
      <c r="AA54" s="1242"/>
      <c r="AB54" s="1242"/>
      <c r="AC54" s="1242"/>
      <c r="AD54" s="1242"/>
      <c r="AE54" s="1242"/>
      <c r="AF54" s="1242"/>
      <c r="AG54" s="1242"/>
      <c r="AH54" s="1242"/>
      <c r="AI54" s="1242"/>
      <c r="AJ54" s="1242"/>
      <c r="AK54" s="1242"/>
      <c r="AL54" s="2552"/>
      <c r="AM54" s="2552"/>
      <c r="AN54" s="2552"/>
      <c r="AO54" s="2552"/>
      <c r="AP54" s="2552"/>
      <c r="AQ54" s="2552"/>
      <c r="AR54" s="2552"/>
      <c r="AS54" s="2552"/>
      <c r="AT54" s="2552"/>
      <c r="AU54" s="2552"/>
      <c r="AV54" s="2552"/>
      <c r="AW54" s="2552"/>
      <c r="AX54" s="2552"/>
      <c r="AY54" s="2552"/>
      <c r="AZ54" s="2552"/>
      <c r="BA54" s="2552"/>
      <c r="BB54" s="2552"/>
      <c r="BC54" s="2552"/>
      <c r="BD54" s="2552"/>
      <c r="BE54" s="2552"/>
      <c r="BF54" s="2552"/>
      <c r="BG54" s="2552"/>
      <c r="BH54" s="2552"/>
      <c r="BI54" s="2552"/>
      <c r="BJ54" s="2552"/>
      <c r="BK54" s="2552"/>
      <c r="BL54" s="2552"/>
      <c r="BM54" s="2552"/>
      <c r="BN54" s="2552"/>
      <c r="BO54" s="2552"/>
      <c r="BP54" s="2552"/>
      <c r="BQ54" s="2552"/>
      <c r="BR54" s="2552"/>
      <c r="BS54" s="2552"/>
      <c r="BT54" s="2552"/>
      <c r="BU54" s="2552"/>
      <c r="BV54" s="2552"/>
      <c r="BW54" s="2552"/>
      <c r="BX54" s="2552"/>
      <c r="BY54" s="2552"/>
      <c r="BZ54" s="2552"/>
      <c r="CA54" s="2552"/>
      <c r="CB54" s="2552"/>
      <c r="CC54" s="2552"/>
      <c r="CD54" s="2552"/>
      <c r="CE54" s="2552"/>
      <c r="CF54" s="2552"/>
      <c r="CG54" s="2552"/>
      <c r="CH54" s="2552"/>
      <c r="CI54" s="2552"/>
      <c r="CJ54" s="2552"/>
      <c r="CK54" s="2552"/>
      <c r="CL54" s="2552"/>
      <c r="CM54" s="2552"/>
      <c r="CN54" s="2552"/>
      <c r="CO54" s="2552"/>
      <c r="CP54" s="2552"/>
      <c r="CQ54" s="2552"/>
      <c r="CR54" s="2552"/>
      <c r="CS54" s="2552"/>
      <c r="CT54" s="2552"/>
      <c r="CU54" s="2552"/>
      <c r="CV54" s="2552"/>
      <c r="CW54" s="2552"/>
      <c r="CX54" s="2552"/>
      <c r="CY54" s="2552"/>
      <c r="CZ54" s="2552"/>
      <c r="DA54" s="2552"/>
      <c r="DB54" s="2552"/>
      <c r="DC54" s="2552"/>
      <c r="DD54" s="2552"/>
      <c r="DE54" s="2552"/>
      <c r="DF54" s="2552"/>
      <c r="DG54" s="2552"/>
      <c r="DH54" s="2552"/>
      <c r="DI54" s="2552"/>
      <c r="DJ54" s="2552"/>
      <c r="DK54" s="2552"/>
      <c r="DL54" s="2552"/>
      <c r="DM54" s="2552"/>
      <c r="DN54" s="2552"/>
      <c r="DO54" s="2552"/>
      <c r="DP54" s="2552"/>
      <c r="DQ54" s="2552"/>
      <c r="DR54" s="2552"/>
      <c r="DS54" s="2552"/>
      <c r="DT54" s="2552"/>
      <c r="DU54" s="2552"/>
      <c r="DV54" s="2552"/>
      <c r="DW54" s="2552"/>
      <c r="DX54" s="2552"/>
      <c r="DY54" s="2552"/>
      <c r="DZ54" s="2552"/>
      <c r="EA54" s="2552"/>
      <c r="EB54" s="2552"/>
      <c r="EC54" s="2552"/>
      <c r="ED54" s="2552"/>
      <c r="EE54" s="2552"/>
      <c r="EF54" s="2552"/>
      <c r="EG54" s="2552"/>
      <c r="EH54" s="2552"/>
      <c r="EI54" s="2552"/>
      <c r="EJ54" s="2552"/>
      <c r="EK54" s="2552"/>
      <c r="EL54" s="1242"/>
      <c r="EM54" s="1242"/>
      <c r="EO54" s="706"/>
      <c r="EP54" s="706" t="str">
        <f t="shared" si="1"/>
        <v>Добавить источник для дифференциации</v>
      </c>
      <c r="EQ54" s="706"/>
      <c r="ER54" s="706"/>
    </row>
    <row r="55" spans="1:148" s="2550" customFormat="1" ht="0.75" customHeight="1">
      <c r="A55" s="1260" t="s">
        <v>162</v>
      </c>
      <c r="B55" s="1260" t="s">
        <v>163</v>
      </c>
      <c r="C55" s="1232"/>
      <c r="D55" s="1232"/>
      <c r="E55" s="4075"/>
      <c r="F55" s="4074"/>
      <c r="G55" s="1232"/>
      <c r="H55" s="1232"/>
      <c r="I55" s="1232"/>
      <c r="J55" s="1232"/>
      <c r="K55" s="1232"/>
      <c r="L55" s="1256"/>
      <c r="M55" s="1239"/>
      <c r="N55" s="1239"/>
      <c r="P55" s="1234"/>
      <c r="Q55" s="1235"/>
      <c r="R55" s="1234"/>
      <c r="S55" s="1240"/>
      <c r="T55" s="1243" t="s">
        <v>167</v>
      </c>
      <c r="U55" s="1242"/>
      <c r="V55" s="1242"/>
      <c r="W55" s="1242"/>
      <c r="X55" s="1242"/>
      <c r="Y55" s="1242"/>
      <c r="Z55" s="1242"/>
      <c r="AA55" s="1242"/>
      <c r="AB55" s="1242"/>
      <c r="AC55" s="1242"/>
      <c r="AD55" s="1242"/>
      <c r="AE55" s="1242"/>
      <c r="AF55" s="1242"/>
      <c r="AG55" s="1242"/>
      <c r="AH55" s="1242"/>
      <c r="AI55" s="1242"/>
      <c r="AJ55" s="1242"/>
      <c r="AK55" s="1242"/>
      <c r="AL55" s="2552"/>
      <c r="AM55" s="2552"/>
      <c r="AN55" s="2552"/>
      <c r="AO55" s="2552"/>
      <c r="AP55" s="2552"/>
      <c r="AQ55" s="2552"/>
      <c r="AR55" s="2552"/>
      <c r="AS55" s="2552"/>
      <c r="AT55" s="2552"/>
      <c r="AU55" s="2552"/>
      <c r="AV55" s="2552"/>
      <c r="AW55" s="2552"/>
      <c r="AX55" s="2552"/>
      <c r="AY55" s="2552"/>
      <c r="AZ55" s="2552"/>
      <c r="BA55" s="2552"/>
      <c r="BB55" s="2552"/>
      <c r="BC55" s="2552"/>
      <c r="BD55" s="2552"/>
      <c r="BE55" s="2552"/>
      <c r="BF55" s="2552"/>
      <c r="BG55" s="2552"/>
      <c r="BH55" s="2552"/>
      <c r="BI55" s="2552"/>
      <c r="BJ55" s="2552"/>
      <c r="BK55" s="2552"/>
      <c r="BL55" s="2552"/>
      <c r="BM55" s="2552"/>
      <c r="BN55" s="2552"/>
      <c r="BO55" s="2552"/>
      <c r="BP55" s="2552"/>
      <c r="BQ55" s="2552"/>
      <c r="BR55" s="2552"/>
      <c r="BS55" s="2552"/>
      <c r="BT55" s="2552"/>
      <c r="BU55" s="2552"/>
      <c r="BV55" s="2552"/>
      <c r="BW55" s="2552"/>
      <c r="BX55" s="2552"/>
      <c r="BY55" s="2552"/>
      <c r="BZ55" s="2552"/>
      <c r="CA55" s="2552"/>
      <c r="CB55" s="2552"/>
      <c r="CC55" s="2552"/>
      <c r="CD55" s="2552"/>
      <c r="CE55" s="2552"/>
      <c r="CF55" s="2552"/>
      <c r="CG55" s="2552"/>
      <c r="CH55" s="2552"/>
      <c r="CI55" s="2552"/>
      <c r="CJ55" s="2552"/>
      <c r="CK55" s="2552"/>
      <c r="CL55" s="2552"/>
      <c r="CM55" s="2552"/>
      <c r="CN55" s="2552"/>
      <c r="CO55" s="2552"/>
      <c r="CP55" s="2552"/>
      <c r="CQ55" s="2552"/>
      <c r="CR55" s="2552"/>
      <c r="CS55" s="2552"/>
      <c r="CT55" s="2552"/>
      <c r="CU55" s="2552"/>
      <c r="CV55" s="2552"/>
      <c r="CW55" s="2552"/>
      <c r="CX55" s="2552"/>
      <c r="CY55" s="2552"/>
      <c r="CZ55" s="2552"/>
      <c r="DA55" s="2552"/>
      <c r="DB55" s="2552"/>
      <c r="DC55" s="2552"/>
      <c r="DD55" s="2552"/>
      <c r="DE55" s="2552"/>
      <c r="DF55" s="2552"/>
      <c r="DG55" s="2552"/>
      <c r="DH55" s="2552"/>
      <c r="DI55" s="2552"/>
      <c r="DJ55" s="2552"/>
      <c r="DK55" s="2552"/>
      <c r="DL55" s="2552"/>
      <c r="DM55" s="2552"/>
      <c r="DN55" s="2552"/>
      <c r="DO55" s="2552"/>
      <c r="DP55" s="2552"/>
      <c r="DQ55" s="2552"/>
      <c r="DR55" s="2552"/>
      <c r="DS55" s="2552"/>
      <c r="DT55" s="2552"/>
      <c r="DU55" s="2552"/>
      <c r="DV55" s="2552"/>
      <c r="DW55" s="2552"/>
      <c r="DX55" s="2552"/>
      <c r="DY55" s="2552"/>
      <c r="DZ55" s="2552"/>
      <c r="EA55" s="2552"/>
      <c r="EB55" s="2552"/>
      <c r="EC55" s="2552"/>
      <c r="ED55" s="2552"/>
      <c r="EE55" s="2552"/>
      <c r="EF55" s="2552"/>
      <c r="EG55" s="2552"/>
      <c r="EH55" s="2552"/>
      <c r="EI55" s="2552"/>
      <c r="EJ55" s="2552"/>
      <c r="EK55" s="2552"/>
      <c r="EL55" s="1242"/>
      <c r="EM55" s="1242"/>
      <c r="EO55" s="706"/>
      <c r="EP55" s="706" t="str">
        <f t="shared" si="1"/>
        <v>Добавить централизованную систему для дифференциации</v>
      </c>
      <c r="EQ55" s="706"/>
      <c r="ER55" s="706"/>
    </row>
    <row r="56" spans="1:148" s="1821" customFormat="1" ht="0.75" customHeight="1">
      <c r="A56" s="1260" t="s">
        <v>162</v>
      </c>
      <c r="B56" s="1260"/>
      <c r="C56" s="1260"/>
      <c r="D56" s="1260"/>
      <c r="E56" s="4074"/>
      <c r="F56" s="1260"/>
      <c r="G56" s="1260"/>
      <c r="H56" s="1260"/>
      <c r="I56" s="1260"/>
      <c r="J56" s="1260"/>
      <c r="K56" s="1260"/>
      <c r="L56" s="1263"/>
      <c r="M56" s="1239"/>
      <c r="N56" s="1239"/>
      <c r="O56" s="444"/>
      <c r="P56" s="313"/>
      <c r="Q56" s="1261"/>
      <c r="R56" s="313"/>
      <c r="S56" s="1240"/>
      <c r="T56" s="1243" t="s">
        <v>168</v>
      </c>
      <c r="U56" s="1242"/>
      <c r="V56" s="1242"/>
      <c r="W56" s="1242"/>
      <c r="X56" s="1242"/>
      <c r="Y56" s="1242"/>
      <c r="Z56" s="1242"/>
      <c r="AA56" s="1242"/>
      <c r="AB56" s="1242"/>
      <c r="AC56" s="1242"/>
      <c r="AD56" s="1242"/>
      <c r="AE56" s="1242"/>
      <c r="AF56" s="1242"/>
      <c r="AG56" s="1242"/>
      <c r="AH56" s="1242"/>
      <c r="AI56" s="1242"/>
      <c r="AJ56" s="1242"/>
      <c r="AK56" s="1242"/>
      <c r="AL56" s="2552"/>
      <c r="AM56" s="2552"/>
      <c r="AN56" s="2552"/>
      <c r="AO56" s="2552"/>
      <c r="AP56" s="2552"/>
      <c r="AQ56" s="2552"/>
      <c r="AR56" s="2552"/>
      <c r="AS56" s="2552"/>
      <c r="AT56" s="2552"/>
      <c r="AU56" s="2552"/>
      <c r="AV56" s="2552"/>
      <c r="AW56" s="2552"/>
      <c r="AX56" s="2552"/>
      <c r="AY56" s="2552"/>
      <c r="AZ56" s="2552"/>
      <c r="BA56" s="2552"/>
      <c r="BB56" s="2552"/>
      <c r="BC56" s="2552"/>
      <c r="BD56" s="2552"/>
      <c r="BE56" s="2552"/>
      <c r="BF56" s="2552"/>
      <c r="BG56" s="2552"/>
      <c r="BH56" s="2552"/>
      <c r="BI56" s="2552"/>
      <c r="BJ56" s="2552"/>
      <c r="BK56" s="2552"/>
      <c r="BL56" s="2552"/>
      <c r="BM56" s="2552"/>
      <c r="BN56" s="2552"/>
      <c r="BO56" s="2552"/>
      <c r="BP56" s="2552"/>
      <c r="BQ56" s="2552"/>
      <c r="BR56" s="2552"/>
      <c r="BS56" s="2552"/>
      <c r="BT56" s="2552"/>
      <c r="BU56" s="2552"/>
      <c r="BV56" s="2552"/>
      <c r="BW56" s="2552"/>
      <c r="BX56" s="2552"/>
      <c r="BY56" s="2552"/>
      <c r="BZ56" s="2552"/>
      <c r="CA56" s="2552"/>
      <c r="CB56" s="2552"/>
      <c r="CC56" s="2552"/>
      <c r="CD56" s="2552"/>
      <c r="CE56" s="2552"/>
      <c r="CF56" s="2552"/>
      <c r="CG56" s="2552"/>
      <c r="CH56" s="2552"/>
      <c r="CI56" s="2552"/>
      <c r="CJ56" s="2552"/>
      <c r="CK56" s="2552"/>
      <c r="CL56" s="2552"/>
      <c r="CM56" s="2552"/>
      <c r="CN56" s="2552"/>
      <c r="CO56" s="2552"/>
      <c r="CP56" s="2552"/>
      <c r="CQ56" s="2552"/>
      <c r="CR56" s="2552"/>
      <c r="CS56" s="2552"/>
      <c r="CT56" s="2552"/>
      <c r="CU56" s="2552"/>
      <c r="CV56" s="2552"/>
      <c r="CW56" s="2552"/>
      <c r="CX56" s="2552"/>
      <c r="CY56" s="2552"/>
      <c r="CZ56" s="2552"/>
      <c r="DA56" s="2552"/>
      <c r="DB56" s="2552"/>
      <c r="DC56" s="2552"/>
      <c r="DD56" s="2552"/>
      <c r="DE56" s="2552"/>
      <c r="DF56" s="2552"/>
      <c r="DG56" s="2552"/>
      <c r="DH56" s="2552"/>
      <c r="DI56" s="2552"/>
      <c r="DJ56" s="2552"/>
      <c r="DK56" s="2552"/>
      <c r="DL56" s="2552"/>
      <c r="DM56" s="2552"/>
      <c r="DN56" s="2552"/>
      <c r="DO56" s="2552"/>
      <c r="DP56" s="2552"/>
      <c r="DQ56" s="2552"/>
      <c r="DR56" s="2552"/>
      <c r="DS56" s="2552"/>
      <c r="DT56" s="2552"/>
      <c r="DU56" s="2552"/>
      <c r="DV56" s="2552"/>
      <c r="DW56" s="2552"/>
      <c r="DX56" s="2552"/>
      <c r="DY56" s="2552"/>
      <c r="DZ56" s="2552"/>
      <c r="EA56" s="2552"/>
      <c r="EB56" s="2552"/>
      <c r="EC56" s="2552"/>
      <c r="ED56" s="2552"/>
      <c r="EE56" s="2552"/>
      <c r="EF56" s="2552"/>
      <c r="EG56" s="2552"/>
      <c r="EH56" s="2552"/>
      <c r="EI56" s="2552"/>
      <c r="EJ56" s="2552"/>
      <c r="EK56" s="2552"/>
      <c r="EL56" s="1242"/>
      <c r="EM56" s="1242"/>
      <c r="EO56" s="426"/>
      <c r="EP56" s="426" t="str">
        <f t="shared" si="1"/>
        <v>Добавить территорию для дифференциации</v>
      </c>
      <c r="EQ56" s="426"/>
      <c r="ER56" s="426"/>
    </row>
    <row r="57" spans="1:148" s="2550"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169</v>
      </c>
      <c r="U57" s="1242"/>
      <c r="V57" s="1242"/>
      <c r="W57" s="1242"/>
      <c r="X57" s="1242"/>
      <c r="Y57" s="1242"/>
      <c r="Z57" s="1242"/>
      <c r="AA57" s="1242"/>
      <c r="AB57" s="1242"/>
      <c r="AC57" s="1242"/>
      <c r="AD57" s="1242"/>
      <c r="AE57" s="1242"/>
      <c r="AF57" s="1242"/>
      <c r="AG57" s="1242"/>
      <c r="AH57" s="1242"/>
      <c r="AI57" s="1242"/>
      <c r="AJ57" s="1242"/>
      <c r="AK57" s="1242"/>
      <c r="AL57" s="2552"/>
      <c r="AM57" s="2552"/>
      <c r="AN57" s="2552"/>
      <c r="AO57" s="2552"/>
      <c r="AP57" s="2552"/>
      <c r="AQ57" s="2552"/>
      <c r="AR57" s="2552"/>
      <c r="AS57" s="2552"/>
      <c r="AT57" s="2552"/>
      <c r="AU57" s="2552"/>
      <c r="AV57" s="2552"/>
      <c r="AW57" s="2552"/>
      <c r="AX57" s="2552"/>
      <c r="AY57" s="2552"/>
      <c r="AZ57" s="2552"/>
      <c r="BA57" s="2552"/>
      <c r="BB57" s="2552"/>
      <c r="BC57" s="2552"/>
      <c r="BD57" s="2552"/>
      <c r="BE57" s="2552"/>
      <c r="BF57" s="2552"/>
      <c r="BG57" s="2552"/>
      <c r="BH57" s="2552"/>
      <c r="BI57" s="2552"/>
      <c r="BJ57" s="2552"/>
      <c r="BK57" s="2552"/>
      <c r="BL57" s="2552"/>
      <c r="BM57" s="2552"/>
      <c r="BN57" s="2552"/>
      <c r="BO57" s="2552"/>
      <c r="BP57" s="2552"/>
      <c r="BQ57" s="2552"/>
      <c r="BR57" s="2552"/>
      <c r="BS57" s="2552"/>
      <c r="BT57" s="2552"/>
      <c r="BU57" s="2552"/>
      <c r="BV57" s="2552"/>
      <c r="BW57" s="2552"/>
      <c r="BX57" s="2552"/>
      <c r="BY57" s="2552"/>
      <c r="BZ57" s="2552"/>
      <c r="CA57" s="2552"/>
      <c r="CB57" s="2552"/>
      <c r="CC57" s="2552"/>
      <c r="CD57" s="2552"/>
      <c r="CE57" s="2552"/>
      <c r="CF57" s="2552"/>
      <c r="CG57" s="2552"/>
      <c r="CH57" s="2552"/>
      <c r="CI57" s="2552"/>
      <c r="CJ57" s="2552"/>
      <c r="CK57" s="2552"/>
      <c r="CL57" s="2552"/>
      <c r="CM57" s="2552"/>
      <c r="CN57" s="2552"/>
      <c r="CO57" s="2552"/>
      <c r="CP57" s="2552"/>
      <c r="CQ57" s="2552"/>
      <c r="CR57" s="2552"/>
      <c r="CS57" s="2552"/>
      <c r="CT57" s="2552"/>
      <c r="CU57" s="2552"/>
      <c r="CV57" s="2552"/>
      <c r="CW57" s="2552"/>
      <c r="CX57" s="2552"/>
      <c r="CY57" s="2552"/>
      <c r="CZ57" s="2552"/>
      <c r="DA57" s="2552"/>
      <c r="DB57" s="2552"/>
      <c r="DC57" s="2552"/>
      <c r="DD57" s="2552"/>
      <c r="DE57" s="2552"/>
      <c r="DF57" s="2552"/>
      <c r="DG57" s="2552"/>
      <c r="DH57" s="2552"/>
      <c r="DI57" s="2552"/>
      <c r="DJ57" s="2552"/>
      <c r="DK57" s="2552"/>
      <c r="DL57" s="2552"/>
      <c r="DM57" s="2552"/>
      <c r="DN57" s="2552"/>
      <c r="DO57" s="2552"/>
      <c r="DP57" s="2552"/>
      <c r="DQ57" s="2552"/>
      <c r="DR57" s="2552"/>
      <c r="DS57" s="2552"/>
      <c r="DT57" s="2552"/>
      <c r="DU57" s="2552"/>
      <c r="DV57" s="2552"/>
      <c r="DW57" s="2552"/>
      <c r="DX57" s="2552"/>
      <c r="DY57" s="2552"/>
      <c r="DZ57" s="2552"/>
      <c r="EA57" s="2552"/>
      <c r="EB57" s="2552"/>
      <c r="EC57" s="2552"/>
      <c r="ED57" s="2552"/>
      <c r="EE57" s="2552"/>
      <c r="EF57" s="2552"/>
      <c r="EG57" s="2552"/>
      <c r="EH57" s="2552"/>
      <c r="EI57" s="2552"/>
      <c r="EJ57" s="2552"/>
      <c r="EK57" s="2552"/>
      <c r="EL57" s="1242"/>
      <c r="EM57" s="1242"/>
      <c r="EO57" s="706"/>
      <c r="EP57" s="706" t="str">
        <f t="shared" si="1"/>
        <v>Добавить наименование тарифа</v>
      </c>
      <c r="EQ57" s="706"/>
      <c r="ER57" s="706"/>
    </row>
    <row r="58" spans="1:148" ht="11.25" customHeight="1">
      <c r="M58" s="1060"/>
      <c r="N58" s="1060"/>
      <c r="O58" s="462"/>
      <c r="P58" s="1055"/>
      <c r="Q58" s="1055"/>
      <c r="R58" s="1055"/>
      <c r="S58" s="1055"/>
      <c r="AL58" s="1945"/>
      <c r="AM58" s="1945"/>
      <c r="AN58" s="1945"/>
      <c r="AO58" s="1945"/>
      <c r="AP58" s="1945"/>
      <c r="AQ58" s="1945"/>
      <c r="AR58" s="1945"/>
      <c r="AS58" s="1945"/>
      <c r="AT58" s="1945"/>
      <c r="AU58" s="1945"/>
      <c r="AV58" s="1945"/>
      <c r="AW58" s="1945"/>
      <c r="AX58" s="1945"/>
      <c r="AY58" s="1945"/>
      <c r="AZ58" s="1945"/>
      <c r="BA58" s="1945"/>
      <c r="BB58" s="1945"/>
      <c r="BC58" s="1945"/>
      <c r="BD58" s="1945"/>
      <c r="BE58" s="1945"/>
      <c r="BF58" s="1945"/>
      <c r="BG58" s="1945"/>
      <c r="BH58" s="1945"/>
      <c r="BI58" s="1945"/>
      <c r="BJ58" s="1945"/>
      <c r="BK58" s="1945"/>
      <c r="BL58" s="1945"/>
      <c r="BM58" s="1945"/>
      <c r="BN58" s="1945"/>
      <c r="BO58" s="1945"/>
      <c r="BP58" s="1945"/>
      <c r="BQ58" s="1945"/>
      <c r="BR58" s="1945"/>
      <c r="BS58" s="1945"/>
      <c r="BT58" s="1945"/>
      <c r="BU58" s="1945"/>
      <c r="BV58" s="1945"/>
      <c r="BW58" s="1945"/>
      <c r="BX58" s="1945"/>
      <c r="BY58" s="1945"/>
      <c r="BZ58" s="1945"/>
      <c r="CA58" s="1945"/>
      <c r="CB58" s="1945"/>
      <c r="CC58" s="1945"/>
      <c r="CD58" s="1945"/>
      <c r="CE58" s="1945"/>
      <c r="CF58" s="1945"/>
      <c r="CG58" s="1945"/>
      <c r="CH58" s="1945"/>
      <c r="CI58" s="1945"/>
      <c r="CJ58" s="1945"/>
      <c r="CK58" s="1945"/>
      <c r="CL58" s="1945"/>
      <c r="CM58" s="1945"/>
      <c r="CN58" s="1945"/>
      <c r="CO58" s="1945"/>
      <c r="CP58" s="1945"/>
      <c r="CQ58" s="1945"/>
      <c r="CR58" s="1945"/>
      <c r="CS58" s="1945"/>
      <c r="CT58" s="1945"/>
      <c r="CU58" s="1945"/>
      <c r="CV58" s="1945"/>
      <c r="CW58" s="1945"/>
      <c r="CX58" s="1945"/>
      <c r="CY58" s="1945"/>
      <c r="CZ58" s="1945"/>
      <c r="DA58" s="1945"/>
      <c r="DB58" s="1945"/>
      <c r="DC58" s="1945"/>
      <c r="DD58" s="1945"/>
      <c r="DE58" s="1945"/>
      <c r="DF58" s="1945"/>
      <c r="DG58" s="1945"/>
      <c r="DH58" s="1945"/>
      <c r="DI58" s="1945"/>
      <c r="DJ58" s="1945"/>
      <c r="DK58" s="1945"/>
      <c r="DL58" s="1945"/>
      <c r="DM58" s="1945"/>
      <c r="DN58" s="1945"/>
      <c r="DO58" s="1945"/>
      <c r="DP58" s="1945"/>
      <c r="DQ58" s="1945"/>
      <c r="DR58" s="1945"/>
      <c r="DS58" s="1945"/>
      <c r="DT58" s="1945"/>
      <c r="DU58" s="1945"/>
      <c r="DV58" s="1945"/>
      <c r="DW58" s="1945"/>
      <c r="DX58" s="1945"/>
      <c r="DY58" s="1945"/>
      <c r="DZ58" s="1945"/>
      <c r="EA58" s="1945"/>
      <c r="EB58" s="1945"/>
      <c r="EC58" s="1945"/>
      <c r="ED58" s="1945"/>
      <c r="EE58" s="1945"/>
      <c r="EF58" s="1945"/>
      <c r="EG58" s="1945"/>
      <c r="EH58" s="1945"/>
      <c r="EI58" s="1945"/>
      <c r="EJ58" s="1945"/>
      <c r="EK58" s="1945"/>
      <c r="EN58" s="1055"/>
      <c r="EO58" s="1055"/>
      <c r="EP58" s="1055"/>
      <c r="EQ58" s="1055"/>
      <c r="ER58" s="1055"/>
    </row>
    <row r="59" spans="1:148" ht="27" customHeight="1">
      <c r="O59" s="462"/>
      <c r="S59" s="1164"/>
      <c r="T59" s="4094"/>
      <c r="U59" s="4094"/>
      <c r="V59" s="4094"/>
      <c r="W59" s="4094"/>
      <c r="X59" s="4094"/>
      <c r="Y59" s="4094"/>
      <c r="Z59" s="4094"/>
      <c r="AA59" s="4094"/>
      <c r="AB59" s="4094"/>
      <c r="AC59" s="4094"/>
      <c r="AD59" s="4094"/>
      <c r="AE59" s="4094"/>
      <c r="AF59" s="4094"/>
      <c r="AG59" s="4094"/>
      <c r="AH59" s="4094"/>
      <c r="AI59" s="4094"/>
      <c r="AJ59" s="4094"/>
      <c r="AK59" s="4094"/>
      <c r="AL59" s="4094"/>
      <c r="AM59" s="4094"/>
      <c r="AN59" s="4094"/>
      <c r="AO59" s="4094"/>
      <c r="AP59" s="4094"/>
      <c r="AQ59" s="4094"/>
      <c r="AR59" s="4094"/>
      <c r="AS59" s="4094"/>
      <c r="AT59" s="4094"/>
      <c r="AU59" s="4094"/>
      <c r="AV59" s="4094"/>
      <c r="AW59" s="4094"/>
      <c r="AX59" s="4094"/>
      <c r="AY59" s="4094"/>
      <c r="AZ59" s="4094"/>
      <c r="BA59" s="4094"/>
      <c r="BB59" s="4094"/>
      <c r="BC59" s="4094"/>
      <c r="BD59" s="4094"/>
      <c r="BE59" s="4094"/>
      <c r="BF59" s="4094"/>
      <c r="BG59" s="4094"/>
      <c r="BH59" s="4094"/>
      <c r="BI59" s="4094"/>
      <c r="BJ59" s="4094"/>
      <c r="BK59" s="4094"/>
      <c r="BL59" s="4094"/>
      <c r="BM59" s="4094"/>
      <c r="BN59" s="4094"/>
      <c r="BO59" s="4094"/>
      <c r="BP59" s="4094"/>
      <c r="BQ59" s="4094"/>
      <c r="BR59" s="4094"/>
      <c r="BS59" s="4094"/>
      <c r="BT59" s="4094"/>
      <c r="BU59" s="4094"/>
      <c r="BV59" s="4094"/>
      <c r="BW59" s="4094"/>
      <c r="BX59" s="4094"/>
      <c r="BY59" s="4094"/>
      <c r="BZ59" s="4094"/>
      <c r="CA59" s="4094"/>
      <c r="CB59" s="4094"/>
      <c r="CC59" s="4094"/>
      <c r="CD59" s="4094"/>
      <c r="CE59" s="4094"/>
      <c r="CF59" s="4094"/>
      <c r="CG59" s="4094"/>
      <c r="CH59" s="4094"/>
      <c r="CI59" s="4094"/>
      <c r="CJ59" s="4094"/>
      <c r="CK59" s="4094"/>
      <c r="CL59" s="4094"/>
      <c r="CM59" s="4094"/>
      <c r="CN59" s="4094"/>
      <c r="CO59" s="4094"/>
      <c r="CP59" s="4094"/>
      <c r="CQ59" s="4094"/>
      <c r="CR59" s="4094"/>
      <c r="CS59" s="4094"/>
      <c r="CT59" s="4094"/>
      <c r="CU59" s="4094"/>
      <c r="CV59" s="4094"/>
      <c r="CW59" s="4094"/>
      <c r="CX59" s="4094"/>
      <c r="CY59" s="4094"/>
      <c r="CZ59" s="4094"/>
      <c r="DA59" s="4094"/>
      <c r="DB59" s="4094"/>
      <c r="DC59" s="4094"/>
      <c r="DD59" s="4094"/>
      <c r="DE59" s="4094"/>
      <c r="DF59" s="4094"/>
      <c r="DG59" s="4094"/>
      <c r="DH59" s="4094"/>
      <c r="DI59" s="4094"/>
      <c r="DJ59" s="4094"/>
      <c r="DK59" s="4094"/>
      <c r="DL59" s="4094"/>
      <c r="DM59" s="4094"/>
      <c r="DN59" s="4094"/>
      <c r="DO59" s="4094"/>
      <c r="DP59" s="4094"/>
      <c r="DQ59" s="4094"/>
      <c r="DR59" s="4094"/>
      <c r="DS59" s="4094"/>
      <c r="DT59" s="4094"/>
      <c r="DU59" s="4094"/>
      <c r="DV59" s="4094"/>
      <c r="DW59" s="4094"/>
      <c r="DX59" s="4094"/>
      <c r="DY59" s="4094"/>
      <c r="DZ59" s="4094"/>
      <c r="EA59" s="4094"/>
      <c r="EB59" s="4094"/>
      <c r="EC59" s="4094"/>
      <c r="ED59" s="4094"/>
      <c r="EE59" s="4094"/>
      <c r="EF59" s="4094"/>
      <c r="EG59" s="4094"/>
      <c r="EH59" s="4094"/>
      <c r="EI59" s="4094"/>
      <c r="EJ59" s="4094"/>
      <c r="EK59" s="4094"/>
      <c r="EL59" s="4094"/>
      <c r="EM59" s="4094"/>
    </row>
    <row r="60" spans="1:148" ht="62.25" customHeight="1">
      <c r="O60" s="462"/>
      <c r="T60" s="4094"/>
      <c r="U60" s="4094"/>
      <c r="V60" s="4094"/>
      <c r="W60" s="4094"/>
      <c r="X60" s="4094"/>
      <c r="Y60" s="4094"/>
      <c r="Z60" s="4094"/>
      <c r="AA60" s="4094"/>
      <c r="AB60" s="4094"/>
      <c r="AC60" s="4094"/>
      <c r="AD60" s="4094"/>
      <c r="AE60" s="4094"/>
      <c r="AF60" s="4094"/>
      <c r="AG60" s="4094"/>
      <c r="AH60" s="4094"/>
      <c r="AI60" s="4094"/>
      <c r="AJ60" s="4094"/>
      <c r="AK60" s="4094"/>
      <c r="AL60" s="4094"/>
      <c r="AM60" s="4094"/>
      <c r="AN60" s="4094"/>
      <c r="AO60" s="4094"/>
      <c r="AP60" s="4094"/>
      <c r="AQ60" s="4094"/>
      <c r="AR60" s="4094"/>
      <c r="AS60" s="4094"/>
      <c r="AT60" s="4094"/>
      <c r="AU60" s="4094"/>
      <c r="AV60" s="4094"/>
      <c r="AW60" s="4094"/>
      <c r="AX60" s="4094"/>
      <c r="AY60" s="4094"/>
      <c r="AZ60" s="4094"/>
      <c r="BA60" s="4094"/>
      <c r="BB60" s="4094"/>
      <c r="BC60" s="4094"/>
      <c r="BD60" s="4094"/>
      <c r="BE60" s="4094"/>
      <c r="BF60" s="4094"/>
      <c r="BG60" s="4094"/>
      <c r="BH60" s="4094"/>
      <c r="BI60" s="4094"/>
      <c r="BJ60" s="4094"/>
      <c r="BK60" s="4094"/>
      <c r="BL60" s="4094"/>
      <c r="BM60" s="4094"/>
      <c r="BN60" s="4094"/>
      <c r="BO60" s="4094"/>
      <c r="BP60" s="4094"/>
      <c r="BQ60" s="4094"/>
      <c r="BR60" s="4094"/>
      <c r="BS60" s="4094"/>
      <c r="BT60" s="4094"/>
      <c r="BU60" s="4094"/>
      <c r="BV60" s="4094"/>
      <c r="BW60" s="4094"/>
      <c r="BX60" s="4094"/>
      <c r="BY60" s="4094"/>
      <c r="BZ60" s="4094"/>
      <c r="CA60" s="4094"/>
      <c r="CB60" s="4094"/>
      <c r="CC60" s="4094"/>
      <c r="CD60" s="4094"/>
      <c r="CE60" s="4094"/>
      <c r="CF60" s="4094"/>
      <c r="CG60" s="4094"/>
      <c r="CH60" s="4094"/>
      <c r="CI60" s="4094"/>
      <c r="CJ60" s="4094"/>
      <c r="CK60" s="4094"/>
      <c r="CL60" s="4094"/>
      <c r="CM60" s="4094"/>
      <c r="CN60" s="4094"/>
      <c r="CO60" s="4094"/>
      <c r="CP60" s="4094"/>
      <c r="CQ60" s="4094"/>
      <c r="CR60" s="4094"/>
      <c r="CS60" s="4094"/>
      <c r="CT60" s="4094"/>
      <c r="CU60" s="4094"/>
      <c r="CV60" s="4094"/>
      <c r="CW60" s="4094"/>
      <c r="CX60" s="4094"/>
      <c r="CY60" s="4094"/>
      <c r="CZ60" s="4094"/>
      <c r="DA60" s="4094"/>
      <c r="DB60" s="4094"/>
      <c r="DC60" s="4094"/>
      <c r="DD60" s="4094"/>
      <c r="DE60" s="4094"/>
      <c r="DF60" s="4094"/>
      <c r="DG60" s="4094"/>
      <c r="DH60" s="4094"/>
      <c r="DI60" s="4094"/>
      <c r="DJ60" s="4094"/>
      <c r="DK60" s="4094"/>
      <c r="DL60" s="4094"/>
      <c r="DM60" s="4094"/>
      <c r="DN60" s="4094"/>
      <c r="DO60" s="4094"/>
      <c r="DP60" s="4094"/>
      <c r="DQ60" s="4094"/>
      <c r="DR60" s="4094"/>
      <c r="DS60" s="4094"/>
      <c r="DT60" s="4094"/>
      <c r="DU60" s="4094"/>
      <c r="DV60" s="4094"/>
      <c r="DW60" s="4094"/>
      <c r="DX60" s="4094"/>
      <c r="DY60" s="4094"/>
      <c r="DZ60" s="4094"/>
      <c r="EA60" s="4094"/>
      <c r="EB60" s="4094"/>
      <c r="EC60" s="4094"/>
      <c r="ED60" s="4094"/>
      <c r="EE60" s="4094"/>
      <c r="EF60" s="4094"/>
      <c r="EG60" s="4094"/>
      <c r="EH60" s="4094"/>
      <c r="EI60" s="4094"/>
      <c r="EJ60" s="4094"/>
      <c r="EK60" s="4094"/>
      <c r="EL60" s="4094"/>
      <c r="EM60" s="4094"/>
    </row>
    <row r="61" spans="1:148" ht="14.25" customHeight="1">
      <c r="O61" s="462"/>
      <c r="AL61" s="1945"/>
      <c r="AM61" s="1945"/>
      <c r="AN61" s="1945"/>
      <c r="AO61" s="1945"/>
      <c r="AP61" s="1945"/>
      <c r="AQ61" s="1945"/>
      <c r="AR61" s="1945"/>
      <c r="AS61" s="1945"/>
      <c r="AT61" s="1945"/>
      <c r="AU61" s="1945"/>
      <c r="AV61" s="1945"/>
      <c r="AW61" s="1945"/>
      <c r="AX61" s="1945"/>
      <c r="AY61" s="1945"/>
      <c r="AZ61" s="1945"/>
      <c r="BA61" s="1945"/>
      <c r="BB61" s="1945"/>
      <c r="BC61" s="1945"/>
      <c r="BD61" s="1945"/>
      <c r="BE61" s="1945"/>
      <c r="BF61" s="1945"/>
      <c r="BG61" s="1945"/>
      <c r="BH61" s="1945"/>
      <c r="BI61" s="1945"/>
      <c r="BJ61" s="1945"/>
      <c r="BK61" s="1945"/>
      <c r="BL61" s="1945"/>
      <c r="BM61" s="1945"/>
      <c r="BN61" s="1945"/>
      <c r="BO61" s="1945"/>
      <c r="BP61" s="1945"/>
      <c r="BQ61" s="1945"/>
      <c r="BR61" s="1945"/>
      <c r="BS61" s="1945"/>
      <c r="BT61" s="1945"/>
      <c r="BU61" s="1945"/>
      <c r="BV61" s="1945"/>
      <c r="BW61" s="1945"/>
      <c r="BX61" s="1945"/>
      <c r="BY61" s="1945"/>
      <c r="BZ61" s="1945"/>
      <c r="CA61" s="1945"/>
      <c r="CB61" s="1945"/>
      <c r="CC61" s="1945"/>
      <c r="CD61" s="1945"/>
      <c r="CE61" s="1945"/>
      <c r="CF61" s="1945"/>
      <c r="CG61" s="1945"/>
      <c r="CH61" s="1945"/>
      <c r="CI61" s="1945"/>
      <c r="CJ61" s="1945"/>
      <c r="CK61" s="1945"/>
      <c r="CL61" s="1945"/>
      <c r="CM61" s="1945"/>
      <c r="CN61" s="1945"/>
      <c r="CO61" s="1945"/>
      <c r="CP61" s="1945"/>
      <c r="CQ61" s="1945"/>
      <c r="CR61" s="1945"/>
      <c r="CS61" s="1945"/>
      <c r="CT61" s="1945"/>
      <c r="CU61" s="1945"/>
      <c r="CV61" s="1945"/>
      <c r="CW61" s="1945"/>
      <c r="CX61" s="1945"/>
      <c r="CY61" s="1945"/>
      <c r="CZ61" s="1945"/>
      <c r="DA61" s="1945"/>
      <c r="DB61" s="1945"/>
      <c r="DC61" s="1945"/>
      <c r="DD61" s="1945"/>
      <c r="DE61" s="1945"/>
      <c r="DF61" s="1945"/>
      <c r="DG61" s="1945"/>
      <c r="DH61" s="1945"/>
      <c r="DI61" s="1945"/>
      <c r="DJ61" s="1945"/>
      <c r="DK61" s="1945"/>
      <c r="DL61" s="1945"/>
      <c r="DM61" s="1945"/>
      <c r="DN61" s="1945"/>
      <c r="DO61" s="1945"/>
      <c r="DP61" s="1945"/>
      <c r="DQ61" s="1945"/>
      <c r="DR61" s="1945"/>
      <c r="DS61" s="1945"/>
      <c r="DT61" s="1945"/>
      <c r="DU61" s="1945"/>
      <c r="DV61" s="1945"/>
      <c r="DW61" s="1945"/>
      <c r="DX61" s="1945"/>
      <c r="DY61" s="1945"/>
      <c r="DZ61" s="1945"/>
      <c r="EA61" s="1945"/>
      <c r="EB61" s="1945"/>
      <c r="EC61" s="1945"/>
      <c r="ED61" s="1945"/>
      <c r="EE61" s="1945"/>
      <c r="EF61" s="1945"/>
      <c r="EG61" s="1945"/>
      <c r="EH61" s="1945"/>
      <c r="EI61" s="1945"/>
      <c r="EJ61" s="1945"/>
      <c r="EK61" s="1945"/>
    </row>
    <row r="62" spans="1:148" ht="18" customHeight="1">
      <c r="O62" s="462"/>
      <c r="S62" s="1164"/>
      <c r="T62" s="4094"/>
      <c r="U62" s="4094"/>
      <c r="V62" s="4094"/>
      <c r="W62" s="4094"/>
      <c r="X62" s="4094"/>
      <c r="Y62" s="4094"/>
      <c r="Z62" s="4094"/>
      <c r="AA62" s="4094"/>
      <c r="AB62" s="4094"/>
      <c r="AC62" s="4094"/>
      <c r="AD62" s="4094"/>
      <c r="AE62" s="4094"/>
      <c r="AF62" s="4094"/>
      <c r="AG62" s="4094"/>
      <c r="AH62" s="4094"/>
      <c r="AI62" s="4094"/>
      <c r="AJ62" s="4094"/>
      <c r="AK62" s="4094"/>
      <c r="AL62" s="4094"/>
      <c r="AM62" s="4094"/>
      <c r="AN62" s="4094"/>
      <c r="AO62" s="4094"/>
      <c r="AP62" s="4094"/>
      <c r="AQ62" s="4094"/>
      <c r="AR62" s="4094"/>
      <c r="AS62" s="4094"/>
      <c r="AT62" s="4094"/>
      <c r="AU62" s="4094"/>
      <c r="AV62" s="4094"/>
      <c r="AW62" s="4094"/>
      <c r="AX62" s="4094"/>
      <c r="AY62" s="4094"/>
      <c r="AZ62" s="4094"/>
      <c r="BA62" s="4094"/>
      <c r="BB62" s="4094"/>
      <c r="BC62" s="4094"/>
      <c r="BD62" s="4094"/>
      <c r="BE62" s="4094"/>
      <c r="BF62" s="4094"/>
      <c r="BG62" s="4094"/>
      <c r="BH62" s="4094"/>
      <c r="BI62" s="4094"/>
      <c r="BJ62" s="4094"/>
      <c r="BK62" s="4094"/>
      <c r="BL62" s="4094"/>
      <c r="BM62" s="4094"/>
      <c r="BN62" s="4094"/>
      <c r="BO62" s="4094"/>
      <c r="BP62" s="4094"/>
      <c r="BQ62" s="4094"/>
      <c r="BR62" s="4094"/>
      <c r="BS62" s="4094"/>
      <c r="BT62" s="4094"/>
      <c r="BU62" s="4094"/>
      <c r="BV62" s="4094"/>
      <c r="BW62" s="4094"/>
      <c r="BX62" s="4094"/>
      <c r="BY62" s="4094"/>
      <c r="BZ62" s="4094"/>
      <c r="CA62" s="4094"/>
      <c r="CB62" s="4094"/>
      <c r="CC62" s="4094"/>
      <c r="CD62" s="4094"/>
      <c r="CE62" s="4094"/>
      <c r="CF62" s="4094"/>
      <c r="CG62" s="4094"/>
      <c r="CH62" s="4094"/>
      <c r="CI62" s="4094"/>
      <c r="CJ62" s="4094"/>
      <c r="CK62" s="4094"/>
      <c r="CL62" s="4094"/>
      <c r="CM62" s="4094"/>
      <c r="CN62" s="4094"/>
      <c r="CO62" s="4094"/>
      <c r="CP62" s="4094"/>
      <c r="CQ62" s="4094"/>
      <c r="CR62" s="4094"/>
      <c r="CS62" s="4094"/>
      <c r="CT62" s="4094"/>
      <c r="CU62" s="4094"/>
      <c r="CV62" s="4094"/>
      <c r="CW62" s="4094"/>
      <c r="CX62" s="4094"/>
      <c r="CY62" s="4094"/>
      <c r="CZ62" s="4094"/>
      <c r="DA62" s="4094"/>
      <c r="DB62" s="4094"/>
      <c r="DC62" s="4094"/>
      <c r="DD62" s="4094"/>
      <c r="DE62" s="4094"/>
      <c r="DF62" s="4094"/>
      <c r="DG62" s="4094"/>
      <c r="DH62" s="4094"/>
      <c r="DI62" s="4094"/>
      <c r="DJ62" s="4094"/>
      <c r="DK62" s="4094"/>
      <c r="DL62" s="4094"/>
      <c r="DM62" s="4094"/>
      <c r="DN62" s="4094"/>
      <c r="DO62" s="4094"/>
      <c r="DP62" s="4094"/>
      <c r="DQ62" s="4094"/>
      <c r="DR62" s="4094"/>
      <c r="DS62" s="4094"/>
      <c r="DT62" s="4094"/>
      <c r="DU62" s="4094"/>
      <c r="DV62" s="4094"/>
      <c r="DW62" s="4094"/>
      <c r="DX62" s="4094"/>
      <c r="DY62" s="4094"/>
      <c r="DZ62" s="4094"/>
      <c r="EA62" s="4094"/>
      <c r="EB62" s="4094"/>
      <c r="EC62" s="4094"/>
      <c r="ED62" s="4094"/>
      <c r="EE62" s="4094"/>
      <c r="EF62" s="4094"/>
      <c r="EG62" s="4094"/>
      <c r="EH62" s="4094"/>
      <c r="EI62" s="4094"/>
      <c r="EJ62" s="4094"/>
      <c r="EK62" s="4094"/>
      <c r="EL62" s="4094"/>
      <c r="EM62" s="4094"/>
    </row>
    <row r="63" spans="1:148" ht="18" customHeight="1">
      <c r="O63" s="462"/>
      <c r="T63" s="4094"/>
      <c r="U63" s="4094"/>
      <c r="V63" s="4094"/>
      <c r="W63" s="4094"/>
      <c r="X63" s="4094"/>
      <c r="Y63" s="4094"/>
      <c r="Z63" s="4094"/>
      <c r="AA63" s="4094"/>
      <c r="AB63" s="4094"/>
      <c r="AC63" s="4094"/>
      <c r="AD63" s="4094"/>
      <c r="AE63" s="4094"/>
      <c r="AF63" s="4094"/>
      <c r="AG63" s="4094"/>
      <c r="AH63" s="4094"/>
      <c r="AI63" s="4094"/>
      <c r="AJ63" s="4094"/>
      <c r="AK63" s="4094"/>
      <c r="AL63" s="4094"/>
      <c r="AM63" s="4094"/>
      <c r="AN63" s="4094"/>
      <c r="AO63" s="4094"/>
      <c r="AP63" s="4094"/>
      <c r="AQ63" s="4094"/>
      <c r="AR63" s="4094"/>
      <c r="AS63" s="4094"/>
      <c r="AT63" s="4094"/>
      <c r="AU63" s="4094"/>
      <c r="AV63" s="4094"/>
      <c r="AW63" s="4094"/>
      <c r="AX63" s="4094"/>
      <c r="AY63" s="4094"/>
      <c r="AZ63" s="4094"/>
      <c r="BA63" s="4094"/>
      <c r="BB63" s="4094"/>
      <c r="BC63" s="4094"/>
      <c r="BD63" s="4094"/>
      <c r="BE63" s="4094"/>
      <c r="BF63" s="4094"/>
      <c r="BG63" s="4094"/>
      <c r="BH63" s="4094"/>
      <c r="BI63" s="4094"/>
      <c r="BJ63" s="4094"/>
      <c r="BK63" s="4094"/>
      <c r="BL63" s="4094"/>
      <c r="BM63" s="4094"/>
      <c r="BN63" s="4094"/>
      <c r="BO63" s="4094"/>
      <c r="BP63" s="4094"/>
      <c r="BQ63" s="4094"/>
      <c r="BR63" s="4094"/>
      <c r="BS63" s="4094"/>
      <c r="BT63" s="4094"/>
      <c r="BU63" s="4094"/>
      <c r="BV63" s="4094"/>
      <c r="BW63" s="4094"/>
      <c r="BX63" s="4094"/>
      <c r="BY63" s="4094"/>
      <c r="BZ63" s="4094"/>
      <c r="CA63" s="4094"/>
      <c r="CB63" s="4094"/>
      <c r="CC63" s="4094"/>
      <c r="CD63" s="4094"/>
      <c r="CE63" s="4094"/>
      <c r="CF63" s="4094"/>
      <c r="CG63" s="4094"/>
      <c r="CH63" s="4094"/>
      <c r="CI63" s="4094"/>
      <c r="CJ63" s="4094"/>
      <c r="CK63" s="4094"/>
      <c r="CL63" s="4094"/>
      <c r="CM63" s="4094"/>
      <c r="CN63" s="4094"/>
      <c r="CO63" s="4094"/>
      <c r="CP63" s="4094"/>
      <c r="CQ63" s="4094"/>
      <c r="CR63" s="4094"/>
      <c r="CS63" s="4094"/>
      <c r="CT63" s="4094"/>
      <c r="CU63" s="4094"/>
      <c r="CV63" s="4094"/>
      <c r="CW63" s="4094"/>
      <c r="CX63" s="4094"/>
      <c r="CY63" s="4094"/>
      <c r="CZ63" s="4094"/>
      <c r="DA63" s="4094"/>
      <c r="DB63" s="4094"/>
      <c r="DC63" s="4094"/>
      <c r="DD63" s="4094"/>
      <c r="DE63" s="4094"/>
      <c r="DF63" s="4094"/>
      <c r="DG63" s="4094"/>
      <c r="DH63" s="4094"/>
      <c r="DI63" s="4094"/>
      <c r="DJ63" s="4094"/>
      <c r="DK63" s="4094"/>
      <c r="DL63" s="4094"/>
      <c r="DM63" s="4094"/>
      <c r="DN63" s="4094"/>
      <c r="DO63" s="4094"/>
      <c r="DP63" s="4094"/>
      <c r="DQ63" s="4094"/>
      <c r="DR63" s="4094"/>
      <c r="DS63" s="4094"/>
      <c r="DT63" s="4094"/>
      <c r="DU63" s="4094"/>
      <c r="DV63" s="4094"/>
      <c r="DW63" s="4094"/>
      <c r="DX63" s="4094"/>
      <c r="DY63" s="4094"/>
      <c r="DZ63" s="4094"/>
      <c r="EA63" s="4094"/>
      <c r="EB63" s="4094"/>
      <c r="EC63" s="4094"/>
      <c r="ED63" s="4094"/>
      <c r="EE63" s="4094"/>
      <c r="EF63" s="4094"/>
      <c r="EG63" s="4094"/>
      <c r="EH63" s="4094"/>
      <c r="EI63" s="4094"/>
      <c r="EJ63" s="4094"/>
      <c r="EK63" s="4094"/>
      <c r="EL63" s="4094"/>
      <c r="EM63" s="4094"/>
    </row>
    <row r="64" spans="1:148" ht="27.75" customHeight="1">
      <c r="O64" s="462"/>
      <c r="S64" s="1164"/>
      <c r="T64" s="4094"/>
      <c r="U64" s="4094"/>
      <c r="V64" s="4094"/>
      <c r="W64" s="4094"/>
      <c r="X64" s="4094"/>
      <c r="Y64" s="4094"/>
      <c r="Z64" s="4094"/>
      <c r="AA64" s="4094"/>
      <c r="AB64" s="4094"/>
      <c r="AC64" s="4094"/>
      <c r="AD64" s="4094"/>
      <c r="AE64" s="4094"/>
      <c r="AF64" s="4094"/>
      <c r="AG64" s="4094"/>
      <c r="AH64" s="4094"/>
      <c r="AI64" s="4094"/>
      <c r="AJ64" s="4094"/>
      <c r="AK64" s="4094"/>
      <c r="AL64" s="4094"/>
      <c r="AM64" s="4094"/>
      <c r="AN64" s="4094"/>
      <c r="AO64" s="4094"/>
      <c r="AP64" s="4094"/>
      <c r="AQ64" s="4094"/>
      <c r="AR64" s="4094"/>
      <c r="AS64" s="4094"/>
      <c r="AT64" s="4094"/>
      <c r="AU64" s="4094"/>
      <c r="AV64" s="4094"/>
      <c r="AW64" s="4094"/>
      <c r="AX64" s="4094"/>
      <c r="AY64" s="4094"/>
      <c r="AZ64" s="4094"/>
      <c r="BA64" s="4094"/>
      <c r="BB64" s="4094"/>
      <c r="BC64" s="4094"/>
      <c r="BD64" s="4094"/>
      <c r="BE64" s="4094"/>
      <c r="BF64" s="4094"/>
      <c r="BG64" s="4094"/>
      <c r="BH64" s="4094"/>
      <c r="BI64" s="4094"/>
      <c r="BJ64" s="4094"/>
      <c r="BK64" s="4094"/>
      <c r="BL64" s="4094"/>
      <c r="BM64" s="4094"/>
      <c r="BN64" s="4094"/>
      <c r="BO64" s="4094"/>
      <c r="BP64" s="4094"/>
      <c r="BQ64" s="4094"/>
      <c r="BR64" s="4094"/>
      <c r="BS64" s="4094"/>
      <c r="BT64" s="4094"/>
      <c r="BU64" s="4094"/>
      <c r="BV64" s="4094"/>
      <c r="BW64" s="4094"/>
      <c r="BX64" s="4094"/>
      <c r="BY64" s="4094"/>
      <c r="BZ64" s="4094"/>
      <c r="CA64" s="4094"/>
      <c r="CB64" s="4094"/>
      <c r="CC64" s="4094"/>
      <c r="CD64" s="4094"/>
      <c r="CE64" s="4094"/>
      <c r="CF64" s="4094"/>
      <c r="CG64" s="4094"/>
      <c r="CH64" s="4094"/>
      <c r="CI64" s="4094"/>
      <c r="CJ64" s="4094"/>
      <c r="CK64" s="4094"/>
      <c r="CL64" s="4094"/>
      <c r="CM64" s="4094"/>
      <c r="CN64" s="4094"/>
      <c r="CO64" s="4094"/>
      <c r="CP64" s="4094"/>
      <c r="CQ64" s="4094"/>
      <c r="CR64" s="4094"/>
      <c r="CS64" s="4094"/>
      <c r="CT64" s="4094"/>
      <c r="CU64" s="4094"/>
      <c r="CV64" s="4094"/>
      <c r="CW64" s="4094"/>
      <c r="CX64" s="4094"/>
      <c r="CY64" s="4094"/>
      <c r="CZ64" s="4094"/>
      <c r="DA64" s="4094"/>
      <c r="DB64" s="4094"/>
      <c r="DC64" s="4094"/>
      <c r="DD64" s="4094"/>
      <c r="DE64" s="4094"/>
      <c r="DF64" s="4094"/>
      <c r="DG64" s="4094"/>
      <c r="DH64" s="4094"/>
      <c r="DI64" s="4094"/>
      <c r="DJ64" s="4094"/>
      <c r="DK64" s="4094"/>
      <c r="DL64" s="4094"/>
      <c r="DM64" s="4094"/>
      <c r="DN64" s="4094"/>
      <c r="DO64" s="4094"/>
      <c r="DP64" s="4094"/>
      <c r="DQ64" s="4094"/>
      <c r="DR64" s="4094"/>
      <c r="DS64" s="4094"/>
      <c r="DT64" s="4094"/>
      <c r="DU64" s="4094"/>
      <c r="DV64" s="4094"/>
      <c r="DW64" s="4094"/>
      <c r="DX64" s="4094"/>
      <c r="DY64" s="4094"/>
      <c r="DZ64" s="4094"/>
      <c r="EA64" s="4094"/>
      <c r="EB64" s="4094"/>
      <c r="EC64" s="4094"/>
      <c r="ED64" s="4094"/>
      <c r="EE64" s="4094"/>
      <c r="EF64" s="4094"/>
      <c r="EG64" s="4094"/>
      <c r="EH64" s="4094"/>
      <c r="EI64" s="4094"/>
      <c r="EJ64" s="4094"/>
      <c r="EK64" s="4094"/>
      <c r="EL64" s="4094"/>
      <c r="EM64" s="4094"/>
    </row>
  </sheetData>
  <sheetProtection formatColumns="0" formatRows="0" insertRows="0" deleteColumns="0" deleteRows="0" sort="0" autoFilter="0"/>
  <mergeCells count="411">
    <mergeCell ref="Z49:Z50"/>
    <mergeCell ref="AA49:AA50"/>
    <mergeCell ref="AB49:AB50"/>
    <mergeCell ref="AC49:AC50"/>
    <mergeCell ref="EC49:EC50"/>
    <mergeCell ref="ED30:EJ30"/>
    <mergeCell ref="EH8:EH9"/>
    <mergeCell ref="EI8:EI9"/>
    <mergeCell ref="EJ8:EJ9"/>
    <mergeCell ref="EK8:EK9"/>
    <mergeCell ref="ED29:EJ29"/>
    <mergeCell ref="ED31:EJ31"/>
    <mergeCell ref="ED32:EJ32"/>
    <mergeCell ref="ED34:EJ34"/>
    <mergeCell ref="ED35:EJ35"/>
    <mergeCell ref="ED37:EK37"/>
    <mergeCell ref="ED39:EJ39"/>
    <mergeCell ref="EK39:EK41"/>
    <mergeCell ref="ED40:ED41"/>
    <mergeCell ref="EE40:EE41"/>
    <mergeCell ref="EF40:EG40"/>
    <mergeCell ref="EH40:EJ40"/>
    <mergeCell ref="EI41:EJ41"/>
    <mergeCell ref="EI42:EJ42"/>
    <mergeCell ref="EH49:EH50"/>
    <mergeCell ref="EI49:EI50"/>
    <mergeCell ref="EJ49:EJ50"/>
    <mergeCell ref="EK49:EK50"/>
    <mergeCell ref="DT49:DT50"/>
    <mergeCell ref="DU49:DU50"/>
    <mergeCell ref="DV30:EB30"/>
    <mergeCell ref="DZ8:DZ9"/>
    <mergeCell ref="EA8:EA9"/>
    <mergeCell ref="EB8:EB9"/>
    <mergeCell ref="EC8:EC9"/>
    <mergeCell ref="DV29:EB29"/>
    <mergeCell ref="DV31:EB31"/>
    <mergeCell ref="DV32:EB32"/>
    <mergeCell ref="DV34:EB34"/>
    <mergeCell ref="DV35:EB35"/>
    <mergeCell ref="DV37:EC37"/>
    <mergeCell ref="DV39:EB39"/>
    <mergeCell ref="EC39:EC41"/>
    <mergeCell ref="DV40:DV41"/>
    <mergeCell ref="DW40:DW41"/>
    <mergeCell ref="DX40:DY40"/>
    <mergeCell ref="DZ40:EB40"/>
    <mergeCell ref="EA41:EB41"/>
    <mergeCell ref="EA42:EB42"/>
    <mergeCell ref="DZ49:DZ50"/>
    <mergeCell ref="EA49:EA50"/>
    <mergeCell ref="EB49:EB50"/>
    <mergeCell ref="DK49:DK50"/>
    <mergeCell ref="DL49:DL50"/>
    <mergeCell ref="DM49:DM50"/>
    <mergeCell ref="DN30:DT30"/>
    <mergeCell ref="DR8:DR9"/>
    <mergeCell ref="DS8:DS9"/>
    <mergeCell ref="DT8:DT9"/>
    <mergeCell ref="DU8:DU9"/>
    <mergeCell ref="DN29:DT29"/>
    <mergeCell ref="DN31:DT31"/>
    <mergeCell ref="DN32:DT32"/>
    <mergeCell ref="DN34:DT34"/>
    <mergeCell ref="DN35:DT35"/>
    <mergeCell ref="DN37:DU37"/>
    <mergeCell ref="DN39:DT39"/>
    <mergeCell ref="DU39:DU41"/>
    <mergeCell ref="DN40:DN41"/>
    <mergeCell ref="DO40:DO41"/>
    <mergeCell ref="DP40:DQ40"/>
    <mergeCell ref="DR40:DT40"/>
    <mergeCell ref="DS41:DT41"/>
    <mergeCell ref="DS42:DT42"/>
    <mergeCell ref="DR49:DR50"/>
    <mergeCell ref="DS49:DS50"/>
    <mergeCell ref="DC42:DD42"/>
    <mergeCell ref="DB49:DB50"/>
    <mergeCell ref="DC49:DC50"/>
    <mergeCell ref="DD49:DD50"/>
    <mergeCell ref="DE49:DE50"/>
    <mergeCell ref="DF30:DL30"/>
    <mergeCell ref="DJ8:DJ9"/>
    <mergeCell ref="DK8:DK9"/>
    <mergeCell ref="DL8:DL9"/>
    <mergeCell ref="DF29:DL29"/>
    <mergeCell ref="DF31:DL31"/>
    <mergeCell ref="DF32:DL32"/>
    <mergeCell ref="DF34:DL34"/>
    <mergeCell ref="DF35:DL35"/>
    <mergeCell ref="DF37:DM37"/>
    <mergeCell ref="DF39:DL39"/>
    <mergeCell ref="DM39:DM41"/>
    <mergeCell ref="DF40:DF41"/>
    <mergeCell ref="DG40:DG41"/>
    <mergeCell ref="DH40:DI40"/>
    <mergeCell ref="DJ40:DL40"/>
    <mergeCell ref="DK41:DL41"/>
    <mergeCell ref="DK42:DL42"/>
    <mergeCell ref="DJ49:DJ50"/>
    <mergeCell ref="CX35:DD35"/>
    <mergeCell ref="CX37:DE37"/>
    <mergeCell ref="CX39:DD39"/>
    <mergeCell ref="DE39:DE41"/>
    <mergeCell ref="CX40:CX41"/>
    <mergeCell ref="CY40:CY41"/>
    <mergeCell ref="CZ40:DA40"/>
    <mergeCell ref="DB40:DD40"/>
    <mergeCell ref="DC41:DD41"/>
    <mergeCell ref="CX30:DD30"/>
    <mergeCell ref="DB8:DB9"/>
    <mergeCell ref="DC8:DC9"/>
    <mergeCell ref="DD8:DD9"/>
    <mergeCell ref="DE8:DE9"/>
    <mergeCell ref="CX29:DD29"/>
    <mergeCell ref="CX31:DD31"/>
    <mergeCell ref="CX32:DD32"/>
    <mergeCell ref="CX34:DD34"/>
    <mergeCell ref="CO49:CO50"/>
    <mergeCell ref="CP30:CV30"/>
    <mergeCell ref="CT8:CT9"/>
    <mergeCell ref="CU8:CU9"/>
    <mergeCell ref="CV8:CV9"/>
    <mergeCell ref="CW8:CW9"/>
    <mergeCell ref="CP29:CV29"/>
    <mergeCell ref="CP31:CV31"/>
    <mergeCell ref="CP32:CV32"/>
    <mergeCell ref="CP34:CV34"/>
    <mergeCell ref="CP35:CV35"/>
    <mergeCell ref="CP37:CW37"/>
    <mergeCell ref="CP39:CV39"/>
    <mergeCell ref="CW39:CW41"/>
    <mergeCell ref="CP40:CP41"/>
    <mergeCell ref="CQ40:CQ41"/>
    <mergeCell ref="CR40:CS40"/>
    <mergeCell ref="CT40:CV40"/>
    <mergeCell ref="CU41:CV41"/>
    <mergeCell ref="CU42:CV42"/>
    <mergeCell ref="CT49:CT50"/>
    <mergeCell ref="CU49:CU50"/>
    <mergeCell ref="CV49:CV50"/>
    <mergeCell ref="CW49:CW50"/>
    <mergeCell ref="CE42:CF42"/>
    <mergeCell ref="CD49:CD50"/>
    <mergeCell ref="CE49:CE50"/>
    <mergeCell ref="CF49:CF50"/>
    <mergeCell ref="CG49:CG50"/>
    <mergeCell ref="CH30:CN30"/>
    <mergeCell ref="CL8:CL9"/>
    <mergeCell ref="CM8:CM9"/>
    <mergeCell ref="CN8:CN9"/>
    <mergeCell ref="CH29:CN29"/>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BZ35:CF35"/>
    <mergeCell ref="BZ37:CG37"/>
    <mergeCell ref="BZ39:CF39"/>
    <mergeCell ref="CG39:CG41"/>
    <mergeCell ref="BZ40:BZ41"/>
    <mergeCell ref="CA40:CA41"/>
    <mergeCell ref="CB40:CC40"/>
    <mergeCell ref="CD40:CF40"/>
    <mergeCell ref="CE41:CF41"/>
    <mergeCell ref="BZ30:CF30"/>
    <mergeCell ref="CD8:CD9"/>
    <mergeCell ref="CE8:CE9"/>
    <mergeCell ref="CF8:CF9"/>
    <mergeCell ref="CG8:CG9"/>
    <mergeCell ref="BZ29:CF29"/>
    <mergeCell ref="BZ31:CF31"/>
    <mergeCell ref="BZ32:CF32"/>
    <mergeCell ref="BZ34:CF34"/>
    <mergeCell ref="BO42:BP42"/>
    <mergeCell ref="BN49:BN50"/>
    <mergeCell ref="BO49:BO50"/>
    <mergeCell ref="BP49:BP50"/>
    <mergeCell ref="BQ49:BQ50"/>
    <mergeCell ref="BR30:BX30"/>
    <mergeCell ref="BV8:BV9"/>
    <mergeCell ref="BW8:BW9"/>
    <mergeCell ref="BX8:BX9"/>
    <mergeCell ref="BR29:BX29"/>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J35:BP35"/>
    <mergeCell ref="BJ37:BQ37"/>
    <mergeCell ref="BJ39:BP39"/>
    <mergeCell ref="BQ39:BQ41"/>
    <mergeCell ref="BJ40:BJ41"/>
    <mergeCell ref="BK40:BK41"/>
    <mergeCell ref="BL40:BM40"/>
    <mergeCell ref="BN40:BP40"/>
    <mergeCell ref="BO41:BP41"/>
    <mergeCell ref="BJ30:BP30"/>
    <mergeCell ref="BN8:BN9"/>
    <mergeCell ref="BO8:BO9"/>
    <mergeCell ref="BP8:BP9"/>
    <mergeCell ref="BQ8:BQ9"/>
    <mergeCell ref="BJ29:BP29"/>
    <mergeCell ref="BJ31:BP31"/>
    <mergeCell ref="BJ32:BP32"/>
    <mergeCell ref="BJ34:BP34"/>
    <mergeCell ref="BB35:BH35"/>
    <mergeCell ref="BB37:BI37"/>
    <mergeCell ref="BB39:BH39"/>
    <mergeCell ref="BI39:BI41"/>
    <mergeCell ref="BB40:BB41"/>
    <mergeCell ref="BC40:BC41"/>
    <mergeCell ref="BD40:BE40"/>
    <mergeCell ref="BF40:BH40"/>
    <mergeCell ref="BG41:BH41"/>
    <mergeCell ref="BB30:BH30"/>
    <mergeCell ref="BF8:BF9"/>
    <mergeCell ref="BG8:BG9"/>
    <mergeCell ref="BH8:BH9"/>
    <mergeCell ref="BI8:BI9"/>
    <mergeCell ref="BB29:BH29"/>
    <mergeCell ref="BB31:BH31"/>
    <mergeCell ref="BB32:BH32"/>
    <mergeCell ref="BB34:BH34"/>
    <mergeCell ref="AT35:AZ35"/>
    <mergeCell ref="AT37:BA37"/>
    <mergeCell ref="AT39:AZ39"/>
    <mergeCell ref="BA39:BA41"/>
    <mergeCell ref="AT40:AT41"/>
    <mergeCell ref="AU40:AU41"/>
    <mergeCell ref="AV40:AW40"/>
    <mergeCell ref="AX40:AZ40"/>
    <mergeCell ref="AY41:AZ41"/>
    <mergeCell ref="AT30:AZ30"/>
    <mergeCell ref="AX8:AX9"/>
    <mergeCell ref="AY8:AY9"/>
    <mergeCell ref="AZ8:AZ9"/>
    <mergeCell ref="BA8:BA9"/>
    <mergeCell ref="AT29:AZ29"/>
    <mergeCell ref="AT31:AZ31"/>
    <mergeCell ref="AT32:AZ32"/>
    <mergeCell ref="AT34:AZ34"/>
    <mergeCell ref="AL35:AR35"/>
    <mergeCell ref="AL37:AS37"/>
    <mergeCell ref="AL39:AR39"/>
    <mergeCell ref="AS39:AS41"/>
    <mergeCell ref="AL40:AL41"/>
    <mergeCell ref="AM40:AM41"/>
    <mergeCell ref="AN40:AO40"/>
    <mergeCell ref="AP40:AR40"/>
    <mergeCell ref="AQ41:AR41"/>
    <mergeCell ref="AL30:AR30"/>
    <mergeCell ref="AP8:AP9"/>
    <mergeCell ref="AQ8:AQ9"/>
    <mergeCell ref="AR8:AR9"/>
    <mergeCell ref="AS8:AS9"/>
    <mergeCell ref="AL29:AR29"/>
    <mergeCell ref="AL31:AR31"/>
    <mergeCell ref="AL32:AR32"/>
    <mergeCell ref="AL34:AR34"/>
    <mergeCell ref="T63:EM63"/>
    <mergeCell ref="T64:EM64"/>
    <mergeCell ref="T62:EM62"/>
    <mergeCell ref="EM49:EM51"/>
    <mergeCell ref="T59:EM59"/>
    <mergeCell ref="T60:EM60"/>
    <mergeCell ref="J48:J51"/>
    <mergeCell ref="Q48:Q51"/>
    <mergeCell ref="V48:AC48"/>
    <mergeCell ref="AD48:EL48"/>
    <mergeCell ref="K49:K50"/>
    <mergeCell ref="AH49:AH50"/>
    <mergeCell ref="AI49:AI50"/>
    <mergeCell ref="AJ49:AJ50"/>
    <mergeCell ref="AK49:AK50"/>
    <mergeCell ref="AP49:AP50"/>
    <mergeCell ref="AQ49:AQ50"/>
    <mergeCell ref="AR49:AR50"/>
    <mergeCell ref="AS49:AS50"/>
    <mergeCell ref="AX49:AX50"/>
    <mergeCell ref="AY49:AY50"/>
    <mergeCell ref="AZ49:AZ50"/>
    <mergeCell ref="BA49:BA50"/>
    <mergeCell ref="BF49:BF50"/>
    <mergeCell ref="E43:E56"/>
    <mergeCell ref="V43:AC43"/>
    <mergeCell ref="AD43:EL43"/>
    <mergeCell ref="F44:F55"/>
    <mergeCell ref="V44:AC44"/>
    <mergeCell ref="AD44:EL44"/>
    <mergeCell ref="G45:G54"/>
    <mergeCell ref="V45:AC45"/>
    <mergeCell ref="AD45:EL45"/>
    <mergeCell ref="H46:H53"/>
    <mergeCell ref="V46:AC46"/>
    <mergeCell ref="AD46:EL46"/>
    <mergeCell ref="I47:I52"/>
    <mergeCell ref="P47:P52"/>
    <mergeCell ref="V47:AC47"/>
    <mergeCell ref="AD47:EL47"/>
    <mergeCell ref="BG49:BG50"/>
    <mergeCell ref="BH49:BH50"/>
    <mergeCell ref="BI49:BI50"/>
    <mergeCell ref="BW49:BW50"/>
    <mergeCell ref="BX49:BX50"/>
    <mergeCell ref="BY49:BY50"/>
    <mergeCell ref="CM49:CM50"/>
    <mergeCell ref="CN49:CN50"/>
    <mergeCell ref="AH40:AJ40"/>
    <mergeCell ref="AA41:AB41"/>
    <mergeCell ref="AI41:AJ41"/>
    <mergeCell ref="AA42:AB42"/>
    <mergeCell ref="AI42:AJ42"/>
    <mergeCell ref="S38:EL38"/>
    <mergeCell ref="EM38:EM41"/>
    <mergeCell ref="S39:S41"/>
    <mergeCell ref="T39:T41"/>
    <mergeCell ref="V39:AB39"/>
    <mergeCell ref="AC39:AC41"/>
    <mergeCell ref="AD39:AJ39"/>
    <mergeCell ref="AK39:AK41"/>
    <mergeCell ref="EL39:EL41"/>
    <mergeCell ref="V40:V41"/>
    <mergeCell ref="W40:W41"/>
    <mergeCell ref="X40:Y40"/>
    <mergeCell ref="Z40:AB40"/>
    <mergeCell ref="AD40:AD41"/>
    <mergeCell ref="AE40:AE41"/>
    <mergeCell ref="AF40:AG40"/>
    <mergeCell ref="AQ42:AR42"/>
    <mergeCell ref="AY42:AZ42"/>
    <mergeCell ref="BG42:BH42"/>
    <mergeCell ref="S32:T32"/>
    <mergeCell ref="V32:AB32"/>
    <mergeCell ref="AD32:AJ32"/>
    <mergeCell ref="V37:AC37"/>
    <mergeCell ref="AD37:AK37"/>
    <mergeCell ref="S34:T34"/>
    <mergeCell ref="V34:AB34"/>
    <mergeCell ref="AD34:AJ34"/>
    <mergeCell ref="S35:T35"/>
    <mergeCell ref="V35:AB35"/>
    <mergeCell ref="AD35:AJ35"/>
    <mergeCell ref="EM8:EM10"/>
    <mergeCell ref="AH17:AH18"/>
    <mergeCell ref="AI17:AI18"/>
    <mergeCell ref="AJ17:AJ18"/>
    <mergeCell ref="AK17:AK18"/>
    <mergeCell ref="AH8:AH9"/>
    <mergeCell ref="AI8:AI9"/>
    <mergeCell ref="AJ8:AJ9"/>
    <mergeCell ref="AK8:AK9"/>
    <mergeCell ref="BY8:BY9"/>
    <mergeCell ref="CO8:CO9"/>
    <mergeCell ref="DM8:DM9"/>
    <mergeCell ref="V7:AC7"/>
    <mergeCell ref="AD7:EL7"/>
    <mergeCell ref="V2:AC2"/>
    <mergeCell ref="AD2:EL2"/>
    <mergeCell ref="V3:AC3"/>
    <mergeCell ref="AD3:EL3"/>
    <mergeCell ref="V4:AC4"/>
    <mergeCell ref="AD4:EL4"/>
    <mergeCell ref="V5:AC5"/>
    <mergeCell ref="AD5:EL5"/>
    <mergeCell ref="V6:AC6"/>
    <mergeCell ref="AD6:E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EL983088 V65584:EL65584 V131120:EL131120 V196656:EL196656 V262192:EL262192 V327728:EL327728 V393264:EL393264 V458800:EL458800 V524336:EL524336 V589872:EL589872 V655408:EL655408 V720944:EL720944 V786480:EL786480 V852016:EL852016 V917552:EL917552">
      <formula1>kind_of_cons</formula1>
    </dataValidation>
    <dataValidation allowBlank="1" sqref="S131123:EM131129 S196659:EM196665 S262195:EM262201 S327731:EM327737 S393267:EM393273 S458803:EM458809 S524339:EM524345 S589875:EM589881 S655411:EM655417 S720947:EM720953 S786483:EM786489 S852019:EM852025 S917555:EM917561 S983091:EM983097 S65587:E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EM65579:EM65586 EM131115:EM131122 EM196651:EM196658 EM262187:EM262194 EM327723:EM327730 EM393259:EM393266 EM458795:EM458802 EM524331:EM524338 EM589867:EM589874 EM655403:EM655410 EM720939:EM720946 EM786475:EM786482 EM852011:EM852018 EM917547:EM917554 EM983083:E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CD8 CF8 CD49 CF49 CL8 CN8 CL49 CN49 CT8 CV8 CT49 CV49 DB8 DD8 DB49 DD49 DJ8 DL8 DJ49 DL49 DR8 DT8 DR49 DT49 DZ8 EB8 DZ49 EB49 EH8 EJ8 EH49 EJ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EK327729 AK393265:EK393265 AK49 AQ49 AS49 AY49 BA49 BG49 BI49 BO49 BQ49 BW49 BY49 CE49 CG49 CM49 CO49 CU49 CW49 DC49 DE49 DK49 DM49 DS49 DU49 EA49 EC49 EI49 EK49 AK524337:EK524337 AK8 AQ8 AS8 AY8 BA8 BG8 BI8 BO8 BQ8 BW8 BY8 CE8 CG8 CM8 CO8 CU8 CW8 DC8 DE8 DK8 DM8 DS8 DU8 EA8 EC8 EI8 EK8 AK589873:EK589873 AK655409:EK655409 AK17 AK720945:EK720945 AK786481:EK786481 AK852017:EK852017 AK917553:EK917553 AK983089:EK983089 AK65585:EK65585 AK131121:EK131121 AI49 AK458801:EK458801 AI8 AC8 AA8 AI17 AK196657:EK196657 AA49 AC49 AK262193:E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BU9 BU50 CC9 CC50 CK9 CK50 CS9 CS50 DA9 DA50 DI9 DI50 DQ9 DQ50 DY9 DY50 EG9 E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2553" hidden="1"/>
    <col min="2" max="2" width="11" style="2553" hidden="1" customWidth="1"/>
    <col min="3" max="3" width="10.5703125" style="2553" hidden="1"/>
    <col min="4" max="4" width="11.85546875" style="2553" hidden="1" customWidth="1"/>
    <col min="5" max="5" width="10" style="2553" hidden="1" customWidth="1"/>
    <col min="6" max="6" width="8.7109375" style="2553" hidden="1" customWidth="1"/>
    <col min="7" max="7" width="7.5703125" style="2553" hidden="1" customWidth="1"/>
    <col min="8" max="8" width="11.42578125" style="2553" hidden="1" customWidth="1"/>
    <col min="9" max="9" width="12" style="2553" hidden="1" customWidth="1"/>
    <col min="10" max="10" width="9.85546875" style="2553" hidden="1" customWidth="1"/>
    <col min="11" max="11" width="11.42578125" style="2553" hidden="1" customWidth="1"/>
    <col min="12" max="12" width="19.140625" style="2554" hidden="1" customWidth="1"/>
    <col min="13" max="14" width="12.28515625" style="2555" hidden="1" customWidth="1"/>
    <col min="15" max="15" width="23.42578125" style="2555" hidden="1" customWidth="1"/>
    <col min="16" max="16" width="3.7109375" style="2565" customWidth="1"/>
    <col min="17" max="18" width="3.7109375" style="3173" customWidth="1"/>
    <col min="19" max="19" width="12.7109375" style="3174" customWidth="1"/>
    <col min="20" max="20" width="32" style="1920" customWidth="1"/>
    <col min="21" max="21" width="0.7109375" style="1920" hidden="1" customWidth="1"/>
    <col min="22" max="22" width="1.7109375" style="1920" hidden="1" customWidth="1"/>
    <col min="23" max="23" width="24.7109375" style="1920" hidden="1" customWidth="1"/>
    <col min="24" max="25" width="0.140625" style="1920" hidden="1" customWidth="1"/>
    <col min="26" max="26" width="11.7109375" style="1920" hidden="1" customWidth="1"/>
    <col min="27" max="27" width="3.7109375" style="1920" hidden="1" customWidth="1"/>
    <col min="28" max="28" width="11.7109375" style="1920" hidden="1" customWidth="1"/>
    <col min="29" max="29" width="8.5703125" style="1920" hidden="1" customWidth="1"/>
    <col min="30" max="30" width="0.140625" style="1920" customWidth="1"/>
    <col min="31" max="31" width="24.7109375" style="1920" customWidth="1"/>
    <col min="32" max="33" width="0.140625" style="1920" customWidth="1"/>
    <col min="34" max="34" width="11.7109375" style="1920" customWidth="1"/>
    <col min="35" max="35" width="3.7109375" style="1920" customWidth="1"/>
    <col min="36" max="36" width="11.7109375" style="1920" customWidth="1"/>
    <col min="37" max="37" width="8.5703125" style="1920" hidden="1" customWidth="1"/>
    <col min="38" max="38" width="4.7109375" style="1920" customWidth="1"/>
    <col min="39" max="39" width="115.7109375" style="1920" customWidth="1"/>
    <col min="40" max="41" width="10.5703125" style="1821"/>
    <col min="42" max="42" width="11.140625" style="1821" customWidth="1"/>
    <col min="43" max="44" width="10.5703125" style="1821"/>
  </cols>
  <sheetData>
    <row r="1" spans="1:44" ht="14.25" hidden="1" customHeight="1">
      <c r="Y1" s="254"/>
      <c r="Z1" s="254"/>
      <c r="AG1" s="254"/>
      <c r="AH1" s="254"/>
    </row>
    <row r="2" spans="1:44" ht="21" hidden="1" customHeight="1">
      <c r="A2" s="1279"/>
      <c r="B2" s="1279"/>
      <c r="C2" s="1279"/>
      <c r="D2" s="1279"/>
      <c r="E2" s="4074">
        <v>1</v>
      </c>
      <c r="F2" s="1279"/>
      <c r="G2" s="1279"/>
      <c r="H2" s="1279"/>
      <c r="I2" s="1279"/>
      <c r="J2" s="1279"/>
      <c r="K2" s="1279"/>
      <c r="L2" s="1280"/>
      <c r="M2" s="1281"/>
      <c r="N2" s="1281"/>
      <c r="O2" s="1281"/>
      <c r="P2" s="286"/>
      <c r="Q2" s="285"/>
      <c r="R2" s="280"/>
      <c r="S2" s="1253" t="e">
        <f>INDEX(PT_DIFFERENTIATION_NUM_NTAR,MATCH(A2,PT_DIFFERENTIATION_NTAR_ID,0))</f>
        <v>#N/A</v>
      </c>
      <c r="T2" s="217" t="s">
        <v>121</v>
      </c>
      <c r="U2" s="219"/>
      <c r="V2" s="4060"/>
      <c r="W2" s="4061"/>
      <c r="X2" s="4061"/>
      <c r="Y2" s="4061"/>
      <c r="Z2" s="4061"/>
      <c r="AA2" s="4061"/>
      <c r="AB2" s="4061"/>
      <c r="AC2" s="4062"/>
      <c r="AD2" s="4060" t="e">
        <f>INDEX(PT_DIFFERENTIATION_NTAR,MATCH(A2,PT_DIFFERENTIATION_NTAR_ID,0))</f>
        <v>#N/A</v>
      </c>
      <c r="AE2" s="4061"/>
      <c r="AF2" s="4061"/>
      <c r="AG2" s="4061"/>
      <c r="AH2" s="4061"/>
      <c r="AI2" s="4061"/>
      <c r="AJ2" s="4061"/>
      <c r="AK2" s="4061"/>
      <c r="AL2" s="4062"/>
      <c r="AM2" s="1177" t="s">
        <v>388</v>
      </c>
      <c r="AO2" s="426"/>
      <c r="AP2" s="426" t="str">
        <f t="shared" ref="AP2:AP15" si="0">IF(T2="","",T2)</f>
        <v>Наименование тарифа</v>
      </c>
      <c r="AQ2" s="426"/>
      <c r="AR2" s="426"/>
    </row>
    <row r="3" spans="1:44" ht="21" hidden="1" customHeight="1">
      <c r="A3" s="1279"/>
      <c r="B3" s="1279"/>
      <c r="C3" s="1279"/>
      <c r="D3" s="1279"/>
      <c r="E3" s="4075"/>
      <c r="F3" s="4074">
        <v>1</v>
      </c>
      <c r="G3" s="1279"/>
      <c r="H3" s="1279"/>
      <c r="I3" s="1279"/>
      <c r="J3" s="1279"/>
      <c r="K3" s="1279"/>
      <c r="L3" s="1280"/>
      <c r="M3" s="1281"/>
      <c r="N3" s="1281"/>
      <c r="O3" s="1281"/>
      <c r="P3" s="1249"/>
      <c r="Q3" s="277"/>
      <c r="R3" s="278"/>
      <c r="S3" s="1253" t="e">
        <f>INDEX(PT_DIFFERENTIATION_NUM_TER,MATCH(B3,PT_DIFFERENTIATION_TER_ID,0))</f>
        <v>#N/A</v>
      </c>
      <c r="T3" s="229" t="s">
        <v>389</v>
      </c>
      <c r="U3" s="219"/>
      <c r="V3" s="4060"/>
      <c r="W3" s="4061"/>
      <c r="X3" s="4061"/>
      <c r="Y3" s="4061"/>
      <c r="Z3" s="4061"/>
      <c r="AA3" s="4061"/>
      <c r="AB3" s="4061"/>
      <c r="AC3" s="4062"/>
      <c r="AD3" s="4060" t="e">
        <f>INDEX(PT_DIFFERENTIATION_TER,MATCH(B3,PT_DIFFERENTIATION_TER_ID,0))</f>
        <v>#N/A</v>
      </c>
      <c r="AE3" s="4061"/>
      <c r="AF3" s="4061"/>
      <c r="AG3" s="4061"/>
      <c r="AH3" s="4061"/>
      <c r="AI3" s="4061"/>
      <c r="AJ3" s="4061"/>
      <c r="AK3" s="4061"/>
      <c r="AL3" s="4062"/>
      <c r="AM3" s="1177" t="s">
        <v>390</v>
      </c>
      <c r="AO3" s="426"/>
      <c r="AP3" s="426" t="str">
        <f t="shared" si="0"/>
        <v>Территория действия тарифа</v>
      </c>
      <c r="AQ3" s="426"/>
      <c r="AR3" s="426"/>
    </row>
    <row r="4" spans="1:44" ht="23.25" hidden="1" customHeight="1">
      <c r="A4" s="1279"/>
      <c r="B4" s="1279"/>
      <c r="C4" s="1279"/>
      <c r="D4" s="1279"/>
      <c r="E4" s="4075"/>
      <c r="F4" s="4075"/>
      <c r="G4" s="4074">
        <v>1</v>
      </c>
      <c r="H4" s="1279"/>
      <c r="I4" s="1279"/>
      <c r="J4" s="1279"/>
      <c r="K4" s="1279"/>
      <c r="L4" s="1280"/>
      <c r="M4" s="1281"/>
      <c r="N4" s="1281"/>
      <c r="O4" s="1281"/>
      <c r="P4" s="279"/>
      <c r="Q4" s="277"/>
      <c r="R4" s="278"/>
      <c r="S4" s="1253" t="e">
        <f>INDEX(PT_DIFFERENTIATION_NUM_CS,MATCH(C4,PT_DIFFERENTIATION_CS_ID,0))</f>
        <v>#N/A</v>
      </c>
      <c r="T4" s="230" t="s">
        <v>391</v>
      </c>
      <c r="U4" s="219"/>
      <c r="V4" s="4060"/>
      <c r="W4" s="4061"/>
      <c r="X4" s="4061"/>
      <c r="Y4" s="4061"/>
      <c r="Z4" s="4061"/>
      <c r="AA4" s="4061"/>
      <c r="AB4" s="4061"/>
      <c r="AC4" s="4062"/>
      <c r="AD4" s="4060" t="e">
        <f>INDEX(PT_DIFFERENTIATION_CS,MATCH(C4,PT_DIFFERENTIATION_CS_ID,0))</f>
        <v>#N/A</v>
      </c>
      <c r="AE4" s="4061"/>
      <c r="AF4" s="4061"/>
      <c r="AG4" s="4061"/>
      <c r="AH4" s="4061"/>
      <c r="AI4" s="4061"/>
      <c r="AJ4" s="4061"/>
      <c r="AK4" s="4061"/>
      <c r="AL4" s="4062"/>
      <c r="AM4" s="1177" t="s">
        <v>392</v>
      </c>
      <c r="AO4" s="426"/>
      <c r="AP4" s="426" t="str">
        <f t="shared" si="0"/>
        <v xml:space="preserve">Наименование системы теплоснабжения </v>
      </c>
      <c r="AQ4" s="426"/>
      <c r="AR4" s="426"/>
    </row>
    <row r="5" spans="1:44" ht="21" hidden="1" customHeight="1">
      <c r="A5" s="1279"/>
      <c r="B5" s="1279"/>
      <c r="C5" s="1279"/>
      <c r="D5" s="1279"/>
      <c r="E5" s="4075"/>
      <c r="F5" s="4075"/>
      <c r="G5" s="4075"/>
      <c r="H5" s="4074">
        <v>1</v>
      </c>
      <c r="I5" s="1279"/>
      <c r="J5" s="1279"/>
      <c r="K5" s="1279"/>
      <c r="L5" s="1280"/>
      <c r="M5" s="1281"/>
      <c r="N5" s="1281"/>
      <c r="O5" s="1281"/>
      <c r="P5" s="279"/>
      <c r="Q5" s="277"/>
      <c r="R5" s="278"/>
      <c r="S5" s="1253" t="e">
        <f>INDEX(PT_DIFFERENTIATION_NUM_IST_TE,MATCH(D5,PT_DIFFERENTIATION_IST_TE_ID,0))</f>
        <v>#N/A</v>
      </c>
      <c r="T5" s="231" t="s">
        <v>393</v>
      </c>
      <c r="U5" s="219"/>
      <c r="V5" s="4060"/>
      <c r="W5" s="4061"/>
      <c r="X5" s="4061"/>
      <c r="Y5" s="4061"/>
      <c r="Z5" s="4061"/>
      <c r="AA5" s="4061"/>
      <c r="AB5" s="4061"/>
      <c r="AC5" s="4062"/>
      <c r="AD5" s="4060" t="e">
        <f>INDEX(PT_DIFFERENTIATION_IST_TE,MATCH(D5,PT_DIFFERENTIATION_IST_TE_ID,0))</f>
        <v>#N/A</v>
      </c>
      <c r="AE5" s="4061"/>
      <c r="AF5" s="4061"/>
      <c r="AG5" s="4061"/>
      <c r="AH5" s="4061"/>
      <c r="AI5" s="4061"/>
      <c r="AJ5" s="4061"/>
      <c r="AK5" s="4061"/>
      <c r="AL5" s="4062"/>
      <c r="AM5" s="1177" t="s">
        <v>394</v>
      </c>
      <c r="AO5" s="426"/>
      <c r="AP5" s="426" t="str">
        <f t="shared" si="0"/>
        <v xml:space="preserve">Источник тепловой энергии  </v>
      </c>
      <c r="AQ5" s="426"/>
      <c r="AR5" s="426"/>
    </row>
    <row r="6" spans="1:44" ht="47.25" hidden="1" customHeight="1">
      <c r="A6" s="1279"/>
      <c r="B6" s="1279"/>
      <c r="C6" s="1279"/>
      <c r="D6" s="1279"/>
      <c r="E6" s="4075"/>
      <c r="F6" s="4075"/>
      <c r="G6" s="4075"/>
      <c r="H6" s="4075"/>
      <c r="I6" s="4072" t="e">
        <f>S5&amp;".1"</f>
        <v>#N/A</v>
      </c>
      <c r="J6" s="1279"/>
      <c r="K6" s="1279"/>
      <c r="L6" s="1280" t="s">
        <v>395</v>
      </c>
      <c r="M6" s="462"/>
      <c r="P6" s="4073">
        <v>1</v>
      </c>
      <c r="Q6" s="1248"/>
      <c r="R6" s="281"/>
      <c r="S6" s="1253" t="e">
        <f>$I6</f>
        <v>#N/A</v>
      </c>
      <c r="T6" s="204" t="s">
        <v>396</v>
      </c>
      <c r="U6" s="219"/>
      <c r="V6" s="4063"/>
      <c r="W6" s="4064"/>
      <c r="X6" s="4064"/>
      <c r="Y6" s="4064"/>
      <c r="Z6" s="4064"/>
      <c r="AA6" s="4064"/>
      <c r="AB6" s="4064"/>
      <c r="AC6" s="4065"/>
      <c r="AD6" s="4063"/>
      <c r="AE6" s="4064"/>
      <c r="AF6" s="4064"/>
      <c r="AG6" s="4064"/>
      <c r="AH6" s="4064"/>
      <c r="AI6" s="4064"/>
      <c r="AJ6" s="4064"/>
      <c r="AK6" s="4064"/>
      <c r="AL6" s="4065"/>
      <c r="AM6" s="1177" t="s">
        <v>397</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4075"/>
      <c r="F7" s="4075"/>
      <c r="G7" s="4075"/>
      <c r="H7" s="4075"/>
      <c r="I7" s="4095"/>
      <c r="J7" s="4072" t="e">
        <f>I6&amp;".1"</f>
        <v>#N/A</v>
      </c>
      <c r="K7" s="1279"/>
      <c r="L7" s="1280" t="s">
        <v>398</v>
      </c>
      <c r="M7" s="462"/>
      <c r="N7" s="1282"/>
      <c r="P7" s="4073"/>
      <c r="Q7" s="4073">
        <v>1</v>
      </c>
      <c r="R7" s="282"/>
      <c r="S7" s="1253" t="e">
        <f>$J7</f>
        <v>#N/A</v>
      </c>
      <c r="T7" s="205" t="s">
        <v>399</v>
      </c>
      <c r="U7" s="219"/>
      <c r="V7" s="4063"/>
      <c r="W7" s="4064"/>
      <c r="X7" s="4064"/>
      <c r="Y7" s="4064"/>
      <c r="Z7" s="4064"/>
      <c r="AA7" s="4064"/>
      <c r="AB7" s="4064"/>
      <c r="AC7" s="4065"/>
      <c r="AD7" s="4063"/>
      <c r="AE7" s="4064"/>
      <c r="AF7" s="4064"/>
      <c r="AG7" s="4064"/>
      <c r="AH7" s="4064"/>
      <c r="AI7" s="4064"/>
      <c r="AJ7" s="4064"/>
      <c r="AK7" s="4064"/>
      <c r="AL7" s="4065"/>
      <c r="AM7" s="1177" t="s">
        <v>400</v>
      </c>
      <c r="AO7" s="426"/>
      <c r="AP7" s="426" t="str">
        <f t="shared" si="0"/>
        <v>Группа потребителей</v>
      </c>
      <c r="AQ7" s="426"/>
      <c r="AR7" s="426"/>
    </row>
    <row r="8" spans="1:44" ht="21" hidden="1" customHeight="1">
      <c r="A8" s="1279"/>
      <c r="B8" s="1279"/>
      <c r="C8" s="1279"/>
      <c r="D8" s="1279"/>
      <c r="E8" s="4075"/>
      <c r="F8" s="4075"/>
      <c r="G8" s="4075"/>
      <c r="H8" s="4075"/>
      <c r="I8" s="4095"/>
      <c r="J8" s="4095"/>
      <c r="K8" s="4072" t="e">
        <f>J7&amp;".1"</f>
        <v>#N/A</v>
      </c>
      <c r="L8" s="1280" t="s">
        <v>401</v>
      </c>
      <c r="M8" s="462"/>
      <c r="N8" s="1282"/>
      <c r="O8" s="1282"/>
      <c r="P8" s="4073"/>
      <c r="Q8" s="4073"/>
      <c r="R8" s="282">
        <v>1</v>
      </c>
      <c r="S8" s="1253" t="e">
        <f>$K8</f>
        <v>#N/A</v>
      </c>
      <c r="T8" s="1264"/>
      <c r="U8" s="219"/>
      <c r="V8" s="251"/>
      <c r="W8" s="668"/>
      <c r="X8" s="251"/>
      <c r="Y8" s="318"/>
      <c r="Z8" s="4077"/>
      <c r="AA8" s="3927" t="s">
        <v>65</v>
      </c>
      <c r="AB8" s="4077"/>
      <c r="AC8" s="3927" t="s">
        <v>65</v>
      </c>
      <c r="AD8" s="251"/>
      <c r="AE8" s="668"/>
      <c r="AF8" s="251"/>
      <c r="AG8" s="318"/>
      <c r="AH8" s="4077"/>
      <c r="AI8" s="3927" t="s">
        <v>65</v>
      </c>
      <c r="AJ8" s="4077"/>
      <c r="AK8" s="3927" t="s">
        <v>65</v>
      </c>
      <c r="AL8" s="251"/>
      <c r="AM8" s="4069" t="s">
        <v>402</v>
      </c>
      <c r="AN8" s="437" t="e">
        <f ca="1">STRCHECKDATE(V9:AL9)</f>
        <v>#NAME?</v>
      </c>
      <c r="AO8" s="426"/>
      <c r="AP8" s="426" t="str">
        <f t="shared" si="0"/>
        <v/>
      </c>
      <c r="AQ8" s="426"/>
      <c r="AR8" s="426"/>
    </row>
    <row r="9" spans="1:44" ht="0.75" hidden="1" customHeight="1">
      <c r="A9" s="1279"/>
      <c r="B9" s="1279"/>
      <c r="C9" s="1279"/>
      <c r="D9" s="1279"/>
      <c r="E9" s="4075"/>
      <c r="F9" s="4075"/>
      <c r="G9" s="4075"/>
      <c r="H9" s="4075"/>
      <c r="I9" s="4095"/>
      <c r="J9" s="4095"/>
      <c r="K9" s="4072"/>
      <c r="L9" s="1280"/>
      <c r="M9" s="462"/>
      <c r="N9" s="1282"/>
      <c r="O9" s="1282"/>
      <c r="P9" s="4073"/>
      <c r="Q9" s="4073"/>
      <c r="R9" s="282"/>
      <c r="S9" s="1259"/>
      <c r="T9" s="219"/>
      <c r="U9" s="219"/>
      <c r="V9" s="251"/>
      <c r="W9" s="251"/>
      <c r="X9" s="251"/>
      <c r="Y9" s="255" t="str">
        <f>Z8&amp;"-"&amp;AB8</f>
        <v>-</v>
      </c>
      <c r="Z9" s="4078"/>
      <c r="AA9" s="3927"/>
      <c r="AB9" s="4078"/>
      <c r="AC9" s="3927"/>
      <c r="AD9" s="251"/>
      <c r="AE9" s="251"/>
      <c r="AF9" s="251"/>
      <c r="AG9" s="255" t="str">
        <f>AH8&amp;"-"&amp;AJ8</f>
        <v>-</v>
      </c>
      <c r="AH9" s="4078"/>
      <c r="AI9" s="3927"/>
      <c r="AJ9" s="4078"/>
      <c r="AK9" s="3927"/>
      <c r="AL9" s="251"/>
      <c r="AM9" s="4070"/>
      <c r="AO9" s="426"/>
      <c r="AP9" s="426" t="str">
        <f t="shared" si="0"/>
        <v/>
      </c>
      <c r="AQ9" s="426"/>
      <c r="AR9" s="426"/>
    </row>
    <row r="10" spans="1:44" ht="15" hidden="1" customHeight="1">
      <c r="A10" s="1279"/>
      <c r="B10" s="1279"/>
      <c r="C10" s="1279"/>
      <c r="D10" s="1279"/>
      <c r="E10" s="4075"/>
      <c r="F10" s="4075"/>
      <c r="G10" s="4075"/>
      <c r="H10" s="4075"/>
      <c r="I10" s="4095"/>
      <c r="J10" s="4072"/>
      <c r="K10" s="1279"/>
      <c r="L10" s="1280"/>
      <c r="M10" s="462"/>
      <c r="N10" s="1282"/>
      <c r="P10" s="4073"/>
      <c r="Q10" s="4073"/>
      <c r="R10" s="281"/>
      <c r="S10" s="1198"/>
      <c r="T10" s="207" t="s">
        <v>403</v>
      </c>
      <c r="U10" s="295"/>
      <c r="V10" s="295"/>
      <c r="W10" s="295"/>
      <c r="X10" s="295"/>
      <c r="Y10" s="295"/>
      <c r="Z10" s="295"/>
      <c r="AA10" s="295"/>
      <c r="AB10" s="295"/>
      <c r="AC10" s="295"/>
      <c r="AD10" s="295"/>
      <c r="AE10" s="295"/>
      <c r="AF10" s="295"/>
      <c r="AG10" s="295"/>
      <c r="AH10" s="295"/>
      <c r="AI10" s="295"/>
      <c r="AJ10" s="295"/>
      <c r="AK10" s="295"/>
      <c r="AL10" s="250"/>
      <c r="AM10" s="4071"/>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4075"/>
      <c r="F11" s="4075"/>
      <c r="G11" s="4075"/>
      <c r="H11" s="4075"/>
      <c r="I11" s="4072"/>
      <c r="J11" s="1279"/>
      <c r="K11" s="1279"/>
      <c r="L11" s="1280"/>
      <c r="M11" s="462"/>
      <c r="P11" s="4073"/>
      <c r="Q11" s="1248"/>
      <c r="R11" s="281"/>
      <c r="S11" s="1198"/>
      <c r="T11" s="206" t="s">
        <v>404</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4075"/>
      <c r="F12" s="4075"/>
      <c r="G12" s="4075"/>
      <c r="H12" s="4074"/>
      <c r="I12" s="1279"/>
      <c r="J12" s="1279"/>
      <c r="K12" s="1279"/>
      <c r="L12" s="1280"/>
      <c r="M12" s="1281"/>
      <c r="N12" s="1281"/>
      <c r="O12" s="462"/>
      <c r="P12" s="285"/>
      <c r="Q12" s="304"/>
      <c r="R12" s="280"/>
      <c r="S12" s="1198"/>
      <c r="T12" s="292" t="s">
        <v>405</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2550" customFormat="1" ht="0.75" hidden="1" customHeight="1">
      <c r="A13" s="1232"/>
      <c r="B13" s="1232"/>
      <c r="C13" s="1232"/>
      <c r="D13" s="1232"/>
      <c r="E13" s="4075"/>
      <c r="F13" s="4075"/>
      <c r="G13" s="4074"/>
      <c r="H13" s="1232"/>
      <c r="I13" s="1232"/>
      <c r="J13" s="1232"/>
      <c r="K13" s="1232"/>
      <c r="L13" s="1256"/>
      <c r="M13" s="1233"/>
      <c r="N13" s="1233"/>
      <c r="P13" s="1234"/>
      <c r="Q13" s="1235"/>
      <c r="R13" s="1234"/>
      <c r="S13" s="1236"/>
      <c r="T13" s="1237" t="s">
        <v>166</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2550" customFormat="1" ht="0.75" hidden="1" customHeight="1">
      <c r="A14" s="1232"/>
      <c r="B14" s="1232"/>
      <c r="C14" s="1232"/>
      <c r="D14" s="1232"/>
      <c r="E14" s="4075"/>
      <c r="F14" s="4074"/>
      <c r="G14" s="1232"/>
      <c r="H14" s="1232"/>
      <c r="I14" s="1232"/>
      <c r="J14" s="1232"/>
      <c r="K14" s="1232"/>
      <c r="L14" s="1256"/>
      <c r="M14" s="1239"/>
      <c r="N14" s="1239"/>
      <c r="P14" s="1234"/>
      <c r="Q14" s="1235"/>
      <c r="R14" s="1234"/>
      <c r="S14" s="1240"/>
      <c r="T14" s="1241" t="s">
        <v>167</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2550" customFormat="1" ht="0.75" hidden="1" customHeight="1">
      <c r="A15" s="1232"/>
      <c r="B15" s="1232"/>
      <c r="C15" s="1232"/>
      <c r="D15" s="1232"/>
      <c r="E15" s="4074"/>
      <c r="F15" s="1232"/>
      <c r="G15" s="1232"/>
      <c r="H15" s="1232"/>
      <c r="I15" s="1232"/>
      <c r="J15" s="1232"/>
      <c r="K15" s="1232"/>
      <c r="L15" s="1256"/>
      <c r="M15" s="1239"/>
      <c r="N15" s="1239"/>
      <c r="P15" s="1234"/>
      <c r="Q15" s="1235"/>
      <c r="R15" s="1234"/>
      <c r="S15" s="1240"/>
      <c r="T15" s="1243" t="s">
        <v>168</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4079"/>
      <c r="AI17" s="4080" t="s">
        <v>65</v>
      </c>
      <c r="AJ17" s="4079"/>
      <c r="AK17" s="4080" t="s">
        <v>65</v>
      </c>
    </row>
    <row r="18" spans="1:44" ht="14.25" hidden="1" customHeight="1">
      <c r="AD18" s="1276"/>
      <c r="AE18" s="1276"/>
      <c r="AF18" s="1276"/>
      <c r="AG18" s="255" t="str">
        <f>AH17&amp;"-"&amp;AJ17</f>
        <v>-</v>
      </c>
      <c r="AH18" s="4080"/>
      <c r="AI18" s="4080"/>
      <c r="AJ18" s="4080"/>
      <c r="AK18" s="4080"/>
    </row>
    <row r="19" spans="1:44" ht="14.25" hidden="1" customHeight="1">
      <c r="AK19" s="254"/>
    </row>
    <row r="20" spans="1:44" s="2553" customFormat="1" ht="22.5" hidden="1" customHeight="1">
      <c r="L20" s="1246"/>
      <c r="M20" s="1278"/>
      <c r="N20" s="1278"/>
      <c r="O20" s="1283" t="s">
        <v>406</v>
      </c>
      <c r="P20" s="1278"/>
      <c r="Q20" s="1287"/>
      <c r="R20" s="1287"/>
      <c r="S20" s="648"/>
      <c r="Z20" s="1283"/>
      <c r="AB20" s="1283"/>
      <c r="AC20" s="1282"/>
      <c r="AH20" s="1283"/>
      <c r="AJ20" s="1283"/>
      <c r="AK20" s="1282"/>
      <c r="AN20" s="437"/>
      <c r="AO20" s="437"/>
      <c r="AP20" s="437"/>
      <c r="AQ20" s="437"/>
      <c r="AR20" s="437"/>
    </row>
    <row r="21" spans="1:44" s="2553" customFormat="1" ht="14.25" hidden="1" customHeight="1">
      <c r="L21" s="1246"/>
      <c r="M21" s="1278"/>
      <c r="N21" s="1278"/>
      <c r="O21" s="1278"/>
      <c r="P21" s="1278"/>
      <c r="Q21" s="1287"/>
      <c r="R21" s="1287"/>
      <c r="S21" s="648"/>
      <c r="AC21" s="1282"/>
      <c r="AK21" s="1282"/>
      <c r="AN21" s="437"/>
      <c r="AO21" s="437"/>
      <c r="AP21" s="437"/>
      <c r="AQ21" s="437"/>
      <c r="AR21" s="437"/>
    </row>
    <row r="22" spans="1:44" s="2553" customFormat="1" ht="33.75" hidden="1" customHeight="1">
      <c r="L22" s="1246"/>
      <c r="M22" s="1278"/>
      <c r="N22" s="1278"/>
      <c r="O22" s="1280" t="s">
        <v>407</v>
      </c>
      <c r="P22" s="1278"/>
      <c r="Q22" s="1287"/>
      <c r="R22" s="1287"/>
      <c r="S22" s="648"/>
      <c r="T22" s="1060" t="s">
        <v>408</v>
      </c>
      <c r="AA22" s="107" t="s">
        <v>409</v>
      </c>
      <c r="AC22" s="107" t="s">
        <v>410</v>
      </c>
      <c r="AD22" s="1060" t="s">
        <v>408</v>
      </c>
      <c r="AI22" s="107" t="s">
        <v>411</v>
      </c>
      <c r="AK22" s="107" t="s">
        <v>410</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27.75" customHeight="1">
      <c r="Q26" s="305"/>
      <c r="R26" s="305"/>
      <c r="S26" s="405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4058"/>
      <c r="U26" s="4058"/>
      <c r="V26" s="4058"/>
      <c r="W26" s="4058"/>
      <c r="X26" s="4058"/>
      <c r="Y26" s="4058"/>
      <c r="Z26" s="4058"/>
      <c r="AA26" s="4058"/>
      <c r="AB26" s="4058"/>
      <c r="AC26" s="4058"/>
      <c r="AD26" s="4058"/>
      <c r="AE26" s="4058"/>
      <c r="AF26" s="4058"/>
      <c r="AG26" s="4058"/>
      <c r="AH26" s="4058"/>
      <c r="AI26" s="4058"/>
      <c r="AJ26" s="4058"/>
      <c r="AK26" s="1152"/>
    </row>
    <row r="27" spans="1:44" ht="14.25" customHeight="1">
      <c r="Q27" s="305"/>
      <c r="R27" s="305"/>
      <c r="S27" s="4004" t="str">
        <f>IF(org=0,"Не определено",org)</f>
        <v>ООО «РИР-Сахалин»</v>
      </c>
      <c r="T27" s="4004"/>
      <c r="U27" s="4004"/>
      <c r="V27" s="4004"/>
      <c r="W27" s="4004"/>
      <c r="X27" s="4004"/>
      <c r="Y27" s="4004"/>
      <c r="Z27" s="4004"/>
      <c r="AA27" s="4004"/>
      <c r="AB27" s="4004"/>
      <c r="AC27" s="4004"/>
      <c r="AD27" s="4004"/>
      <c r="AE27" s="4004"/>
      <c r="AF27" s="4004"/>
      <c r="AG27" s="4004"/>
      <c r="AH27" s="4004"/>
      <c r="AI27" s="4004"/>
      <c r="AJ27" s="4004"/>
      <c r="AK27" s="1152"/>
    </row>
    <row r="28" spans="1:44" ht="14.25" hidden="1"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2564" customFormat="1" ht="25.5" hidden="1" customHeight="1">
      <c r="A29" s="1284"/>
      <c r="B29" s="1284"/>
      <c r="C29" s="1284"/>
      <c r="D29" s="1284"/>
      <c r="E29" s="1284"/>
      <c r="F29" s="1284"/>
      <c r="G29" s="1284"/>
      <c r="H29" s="1284"/>
      <c r="I29" s="1284"/>
      <c r="J29" s="1284"/>
      <c r="K29" s="1284"/>
      <c r="L29" s="1285"/>
      <c r="M29" s="1284"/>
      <c r="N29" s="1284"/>
      <c r="O29" s="1284"/>
      <c r="S29" s="4066" t="s">
        <v>38</v>
      </c>
      <c r="T29" s="4066"/>
      <c r="U29" s="1288"/>
      <c r="V29" s="4067" t="str">
        <f>IF(TITLE_NAME_OR_PR_CHANGE="",IF(TITLE_NAME_OR_PR="","",TITLE_NAME_OR_PR),TITLE_NAME_OR_PR_CHANGE)</f>
        <v/>
      </c>
      <c r="W29" s="4067"/>
      <c r="X29" s="4067"/>
      <c r="Y29" s="4067"/>
      <c r="Z29" s="4067"/>
      <c r="AA29" s="4067"/>
      <c r="AB29" s="4067"/>
      <c r="AC29" s="253"/>
      <c r="AD29" s="4067" t="str">
        <f>IF(TITLE_NAME_OR_PR_CHANGE="",IF(TITLE_NAME_OR_PR="","",TITLE_NAME_OR_PR),TITLE_NAME_OR_PR_CHANGE)</f>
        <v/>
      </c>
      <c r="AE29" s="4067"/>
      <c r="AF29" s="4067"/>
      <c r="AG29" s="4067"/>
      <c r="AH29" s="4067"/>
      <c r="AI29" s="4067"/>
      <c r="AJ29" s="4067"/>
      <c r="AK29" s="253"/>
      <c r="AL29" s="253"/>
      <c r="AM29" s="200"/>
      <c r="AN29" s="296"/>
      <c r="AO29" s="296"/>
      <c r="AP29" s="296"/>
      <c r="AQ29" s="296"/>
      <c r="AR29" s="296"/>
    </row>
    <row r="30" spans="1:44" s="2564" customFormat="1" ht="18.75" hidden="1" customHeight="1">
      <c r="A30" s="1284"/>
      <c r="B30" s="1284"/>
      <c r="C30" s="1284"/>
      <c r="D30" s="1284"/>
      <c r="E30" s="1284"/>
      <c r="F30" s="1284"/>
      <c r="G30" s="1284"/>
      <c r="H30" s="1284"/>
      <c r="I30" s="1284"/>
      <c r="J30" s="1284"/>
      <c r="K30" s="1284"/>
      <c r="L30" s="1285"/>
      <c r="M30" s="1284"/>
      <c r="N30" s="1284"/>
      <c r="O30" s="1284"/>
      <c r="S30" s="4066" t="s">
        <v>412</v>
      </c>
      <c r="T30" s="4066"/>
      <c r="U30" s="1288"/>
      <c r="V30" s="4076">
        <f>IF(TITLE_DATE_PR_CHANGE="",IF(TITLE_DATE_PR="","",TITLE_DATE_PR),TITLE_DATE_PR_CHANGE)</f>
        <v>45289.465104166666</v>
      </c>
      <c r="W30" s="4076"/>
      <c r="X30" s="4076"/>
      <c r="Y30" s="4076"/>
      <c r="Z30" s="4076"/>
      <c r="AA30" s="4076"/>
      <c r="AB30" s="4076"/>
      <c r="AC30" s="253"/>
      <c r="AD30" s="4076">
        <f>IF(TITLE_DATE_PR_CHANGE="",IF(TITLE_DATE_PR="","",TITLE_DATE_PR),TITLE_DATE_PR_CHANGE)</f>
        <v>45289.465104166666</v>
      </c>
      <c r="AE30" s="4076"/>
      <c r="AF30" s="4076"/>
      <c r="AG30" s="4076"/>
      <c r="AH30" s="4076"/>
      <c r="AI30" s="4076"/>
      <c r="AJ30" s="4076"/>
      <c r="AK30" s="253"/>
      <c r="AL30" s="253"/>
      <c r="AM30" s="200"/>
      <c r="AN30" s="296"/>
      <c r="AO30" s="296"/>
      <c r="AP30" s="296"/>
      <c r="AQ30" s="296"/>
      <c r="AR30" s="296"/>
    </row>
    <row r="31" spans="1:44" s="2564" customFormat="1" ht="18.75" hidden="1" customHeight="1">
      <c r="A31" s="1284"/>
      <c r="B31" s="1284"/>
      <c r="C31" s="1284"/>
      <c r="D31" s="1284"/>
      <c r="E31" s="1284"/>
      <c r="F31" s="1284"/>
      <c r="G31" s="1284"/>
      <c r="H31" s="1284"/>
      <c r="I31" s="1284"/>
      <c r="J31" s="1284"/>
      <c r="K31" s="1284"/>
      <c r="L31" s="1285"/>
      <c r="M31" s="1284"/>
      <c r="N31" s="1284"/>
      <c r="O31" s="1284"/>
      <c r="S31" s="4066" t="s">
        <v>413</v>
      </c>
      <c r="T31" s="4066"/>
      <c r="U31" s="1288"/>
      <c r="V31" s="4067" t="str">
        <f>IF(TITLE_NUMBER_PR_CHANGE="",IF(TITLE_NUMBER_PR="","",TITLE_NUMBER_PR),TITLE_NUMBER_PR_CHANGE)</f>
        <v>761-1/201-1</v>
      </c>
      <c r="W31" s="4067"/>
      <c r="X31" s="4067"/>
      <c r="Y31" s="4067"/>
      <c r="Z31" s="4067"/>
      <c r="AA31" s="4067"/>
      <c r="AB31" s="4067"/>
      <c r="AC31" s="253"/>
      <c r="AD31" s="4067" t="str">
        <f>IF(TITLE_NUMBER_PR_CHANGE="",IF(TITLE_NUMBER_PR="","",TITLE_NUMBER_PR),TITLE_NUMBER_PR_CHANGE)</f>
        <v>761-1/201-1</v>
      </c>
      <c r="AE31" s="4067"/>
      <c r="AF31" s="4067"/>
      <c r="AG31" s="4067"/>
      <c r="AH31" s="4067"/>
      <c r="AI31" s="4067"/>
      <c r="AJ31" s="4067"/>
      <c r="AK31" s="253"/>
      <c r="AL31" s="253"/>
      <c r="AM31" s="200"/>
      <c r="AN31" s="296"/>
      <c r="AO31" s="296"/>
      <c r="AP31" s="296"/>
      <c r="AQ31" s="296"/>
      <c r="AR31" s="296"/>
    </row>
    <row r="32" spans="1:44" s="2564" customFormat="1" ht="18.75" hidden="1" customHeight="1">
      <c r="A32" s="1284"/>
      <c r="B32" s="1284"/>
      <c r="C32" s="1284"/>
      <c r="D32" s="1284"/>
      <c r="E32" s="1284"/>
      <c r="F32" s="1284"/>
      <c r="G32" s="1284"/>
      <c r="H32" s="1284"/>
      <c r="I32" s="1284"/>
      <c r="J32" s="1284"/>
      <c r="K32" s="1284"/>
      <c r="L32" s="1285"/>
      <c r="M32" s="1284"/>
      <c r="N32" s="1284"/>
      <c r="O32" s="1284"/>
      <c r="S32" s="4066" t="s">
        <v>39</v>
      </c>
      <c r="T32" s="4066"/>
      <c r="U32" s="1288"/>
      <c r="V32" s="4067" t="str">
        <f>IF(TITLE_IST_PUB_CHANGE="",IF(TITLE_IST_PUB="","",TITLE_IST_PUB),TITLE_IST_PUB_CHANGE)</f>
        <v/>
      </c>
      <c r="W32" s="4067"/>
      <c r="X32" s="4067"/>
      <c r="Y32" s="4067"/>
      <c r="Z32" s="4067"/>
      <c r="AA32" s="4067"/>
      <c r="AB32" s="4067"/>
      <c r="AC32" s="253"/>
      <c r="AD32" s="4067" t="str">
        <f>IF(TITLE_IST_PUB_CHANGE="",IF(TITLE_IST_PUB="","",TITLE_IST_PUB),TITLE_IST_PUB_CHANGE)</f>
        <v/>
      </c>
      <c r="AE32" s="4067"/>
      <c r="AF32" s="4067"/>
      <c r="AG32" s="4067"/>
      <c r="AH32" s="4067"/>
      <c r="AI32" s="4067"/>
      <c r="AJ32" s="4067"/>
      <c r="AK32" s="253"/>
      <c r="AL32" s="253"/>
      <c r="AM32" s="200"/>
      <c r="AN32" s="296"/>
      <c r="AO32" s="296"/>
      <c r="AP32" s="296"/>
      <c r="AQ32" s="296"/>
      <c r="AR32" s="296"/>
    </row>
    <row r="33" spans="1:44" ht="14.25"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2564" customFormat="1" ht="18.75" customHeight="1">
      <c r="A34" s="1284"/>
      <c r="B34" s="1284"/>
      <c r="C34" s="1284"/>
      <c r="D34" s="1284"/>
      <c r="E34" s="1284"/>
      <c r="F34" s="1284"/>
      <c r="G34" s="1284"/>
      <c r="H34" s="1284"/>
      <c r="I34" s="1284"/>
      <c r="J34" s="1284"/>
      <c r="K34" s="1284"/>
      <c r="L34" s="1285"/>
      <c r="M34" s="1284"/>
      <c r="N34" s="1284"/>
      <c r="O34" s="1284"/>
      <c r="S34" s="4066" t="s">
        <v>414</v>
      </c>
      <c r="T34" s="4066"/>
      <c r="U34" s="1288"/>
      <c r="V34" s="4076">
        <f>IF(TITLE_DATE_PR_CHANGE="",IF(TITLE_DATE_PR="","",TITLE_DATE_PR),TITLE_DATE_PR_CHANGE)</f>
        <v>45289.465104166666</v>
      </c>
      <c r="W34" s="4076"/>
      <c r="X34" s="4076"/>
      <c r="Y34" s="4076"/>
      <c r="Z34" s="4076"/>
      <c r="AA34" s="4076"/>
      <c r="AB34" s="4076"/>
      <c r="AC34" s="253"/>
      <c r="AD34" s="4076">
        <f>IF(TITLE_DATE_PR_CHANGE="",IF(TITLE_DATE_PR="","",TITLE_DATE_PR),TITLE_DATE_PR_CHANGE)</f>
        <v>45289.465104166666</v>
      </c>
      <c r="AE34" s="4076"/>
      <c r="AF34" s="4076"/>
      <c r="AG34" s="4076"/>
      <c r="AH34" s="4076"/>
      <c r="AI34" s="4076"/>
      <c r="AJ34" s="4076"/>
      <c r="AK34" s="253"/>
      <c r="AL34" s="253"/>
      <c r="AM34" s="200"/>
      <c r="AN34" s="296"/>
      <c r="AO34" s="296"/>
      <c r="AP34" s="296"/>
      <c r="AQ34" s="296"/>
      <c r="AR34" s="296"/>
    </row>
    <row r="35" spans="1:44" s="2564" customFormat="1" ht="18.75" customHeight="1">
      <c r="A35" s="1284"/>
      <c r="B35" s="1284"/>
      <c r="C35" s="1284"/>
      <c r="D35" s="1284"/>
      <c r="E35" s="1284"/>
      <c r="F35" s="1284"/>
      <c r="G35" s="1284"/>
      <c r="H35" s="1284"/>
      <c r="I35" s="1284"/>
      <c r="J35" s="1284"/>
      <c r="K35" s="1284"/>
      <c r="L35" s="1285"/>
      <c r="M35" s="1284"/>
      <c r="N35" s="1284"/>
      <c r="O35" s="1284"/>
      <c r="S35" s="4066" t="s">
        <v>415</v>
      </c>
      <c r="T35" s="4066"/>
      <c r="U35" s="1288"/>
      <c r="V35" s="4067" t="str">
        <f>IF(TITLE_NUMBER_PR_CHANGE="",IF(TITLE_NUMBER_PR="","",TITLE_NUMBER_PR),TITLE_NUMBER_PR_CHANGE)</f>
        <v>761-1/201-1</v>
      </c>
      <c r="W35" s="4067"/>
      <c r="X35" s="4067"/>
      <c r="Y35" s="4067"/>
      <c r="Z35" s="4067"/>
      <c r="AA35" s="4067"/>
      <c r="AB35" s="4067"/>
      <c r="AC35" s="253"/>
      <c r="AD35" s="4067" t="str">
        <f>IF(TITLE_NUMBER_PR_CHANGE="",IF(TITLE_NUMBER_PR="","",TITLE_NUMBER_PR),TITLE_NUMBER_PR_CHANGE)</f>
        <v>761-1/201-1</v>
      </c>
      <c r="AE35" s="4067"/>
      <c r="AF35" s="4067"/>
      <c r="AG35" s="4067"/>
      <c r="AH35" s="4067"/>
      <c r="AI35" s="4067"/>
      <c r="AJ35" s="4067"/>
      <c r="AK35" s="253"/>
      <c r="AL35" s="253"/>
      <c r="AM35" s="200"/>
      <c r="AN35" s="296"/>
      <c r="AO35" s="296"/>
      <c r="AP35" s="296"/>
      <c r="AQ35" s="296"/>
      <c r="AR35" s="296"/>
    </row>
    <row r="36" spans="1:44" s="2564"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416</v>
      </c>
      <c r="AD36" s="253"/>
      <c r="AE36" s="253"/>
      <c r="AF36" s="253"/>
      <c r="AG36" s="253"/>
      <c r="AH36" s="253"/>
      <c r="AI36" s="253"/>
      <c r="AJ36" s="253"/>
      <c r="AK36" s="198" t="s">
        <v>416</v>
      </c>
      <c r="AN36" s="296"/>
      <c r="AO36" s="296"/>
      <c r="AP36" s="296"/>
      <c r="AQ36" s="296"/>
      <c r="AR36" s="296"/>
    </row>
    <row r="37" spans="1:44" ht="14.25" customHeight="1">
      <c r="Q37" s="305"/>
      <c r="R37" s="305"/>
      <c r="S37" s="1195"/>
      <c r="T37" s="290"/>
      <c r="U37" s="1153"/>
      <c r="V37" s="4068"/>
      <c r="W37" s="4068"/>
      <c r="X37" s="4068"/>
      <c r="Y37" s="4068"/>
      <c r="Z37" s="4068"/>
      <c r="AA37" s="4068"/>
      <c r="AB37" s="4068"/>
      <c r="AC37" s="4068"/>
      <c r="AD37" s="4068"/>
      <c r="AE37" s="4068"/>
      <c r="AF37" s="4068"/>
      <c r="AG37" s="4068"/>
      <c r="AH37" s="4068"/>
      <c r="AI37" s="4068"/>
      <c r="AJ37" s="4068"/>
      <c r="AK37" s="4068"/>
    </row>
    <row r="38" spans="1:44" ht="14.25" customHeight="1">
      <c r="Q38" s="305"/>
      <c r="R38" s="305"/>
      <c r="S38" s="3946" t="s">
        <v>290</v>
      </c>
      <c r="T38" s="3946"/>
      <c r="U38" s="3946"/>
      <c r="V38" s="3946"/>
      <c r="W38" s="3946"/>
      <c r="X38" s="3946"/>
      <c r="Y38" s="3946"/>
      <c r="Z38" s="3946"/>
      <c r="AA38" s="3946"/>
      <c r="AB38" s="3946"/>
      <c r="AC38" s="3946"/>
      <c r="AD38" s="3946"/>
      <c r="AE38" s="3946"/>
      <c r="AF38" s="3946"/>
      <c r="AG38" s="3946"/>
      <c r="AH38" s="3946"/>
      <c r="AI38" s="3946"/>
      <c r="AJ38" s="3946"/>
      <c r="AK38" s="3946"/>
      <c r="AL38" s="3946"/>
      <c r="AM38" s="3946" t="s">
        <v>291</v>
      </c>
    </row>
    <row r="39" spans="1:44" ht="14.25" customHeight="1">
      <c r="Q39" s="305"/>
      <c r="R39" s="305"/>
      <c r="S39" s="4082" t="s">
        <v>86</v>
      </c>
      <c r="T39" s="4033" t="s">
        <v>418</v>
      </c>
      <c r="U39" s="220"/>
      <c r="V39" s="4083" t="s">
        <v>419</v>
      </c>
      <c r="W39" s="4084"/>
      <c r="X39" s="4098"/>
      <c r="Y39" s="4098"/>
      <c r="Z39" s="4084"/>
      <c r="AA39" s="4084"/>
      <c r="AB39" s="4085"/>
      <c r="AC39" s="4086" t="s">
        <v>420</v>
      </c>
      <c r="AD39" s="4083" t="s">
        <v>419</v>
      </c>
      <c r="AE39" s="4084"/>
      <c r="AF39" s="4098"/>
      <c r="AG39" s="4098"/>
      <c r="AH39" s="4084"/>
      <c r="AI39" s="4084"/>
      <c r="AJ39" s="4085"/>
      <c r="AK39" s="4086" t="s">
        <v>421</v>
      </c>
      <c r="AL39" s="4089" t="s">
        <v>422</v>
      </c>
      <c r="AM39" s="3946"/>
    </row>
    <row r="40" spans="1:44" ht="23.25" customHeight="1">
      <c r="Q40" s="305"/>
      <c r="R40" s="305"/>
      <c r="S40" s="4082"/>
      <c r="T40" s="4033"/>
      <c r="U40" s="938"/>
      <c r="V40" s="4099" t="s">
        <v>423</v>
      </c>
      <c r="W40" s="4018" t="s">
        <v>424</v>
      </c>
      <c r="X40" s="1292" t="s">
        <v>425</v>
      </c>
      <c r="Y40" s="1292"/>
      <c r="Z40" s="3923" t="s">
        <v>426</v>
      </c>
      <c r="AA40" s="3923"/>
      <c r="AB40" s="3917"/>
      <c r="AC40" s="4087"/>
      <c r="AD40" s="4099" t="s">
        <v>423</v>
      </c>
      <c r="AE40" s="4018" t="s">
        <v>424</v>
      </c>
      <c r="AF40" s="1292" t="s">
        <v>425</v>
      </c>
      <c r="AG40" s="1292"/>
      <c r="AH40" s="3923" t="s">
        <v>426</v>
      </c>
      <c r="AI40" s="3923"/>
      <c r="AJ40" s="3917"/>
      <c r="AK40" s="4087"/>
      <c r="AL40" s="4090"/>
      <c r="AM40" s="3946"/>
    </row>
    <row r="41" spans="1:44" s="3799" customFormat="1" ht="23.25" customHeight="1">
      <c r="A41" s="1286"/>
      <c r="B41" s="1286" t="s">
        <v>133</v>
      </c>
      <c r="C41" s="1286" t="s">
        <v>134</v>
      </c>
      <c r="D41" s="1286" t="s">
        <v>135</v>
      </c>
      <c r="E41" s="1280" t="s">
        <v>427</v>
      </c>
      <c r="F41" s="1280" t="s">
        <v>428</v>
      </c>
      <c r="G41" s="1280" t="s">
        <v>429</v>
      </c>
      <c r="H41" s="1280" t="s">
        <v>430</v>
      </c>
      <c r="I41" s="1280" t="s">
        <v>431</v>
      </c>
      <c r="J41" s="1280" t="s">
        <v>432</v>
      </c>
      <c r="K41" s="1280" t="s">
        <v>433</v>
      </c>
      <c r="L41" s="1280" t="s">
        <v>407</v>
      </c>
      <c r="M41" s="1278"/>
      <c r="N41" s="1278"/>
      <c r="O41" s="1278"/>
      <c r="P41" s="1245"/>
      <c r="Q41" s="305"/>
      <c r="R41" s="305"/>
      <c r="S41" s="4082"/>
      <c r="T41" s="4033"/>
      <c r="U41" s="221"/>
      <c r="V41" s="4100"/>
      <c r="W41" s="4023"/>
      <c r="X41" s="1289" t="s">
        <v>434</v>
      </c>
      <c r="Y41" s="1289" t="s">
        <v>435</v>
      </c>
      <c r="Z41" s="1251" t="s">
        <v>436</v>
      </c>
      <c r="AA41" s="4042" t="s">
        <v>437</v>
      </c>
      <c r="AB41" s="4044"/>
      <c r="AC41" s="4088"/>
      <c r="AD41" s="4100"/>
      <c r="AE41" s="4023"/>
      <c r="AF41" s="1289" t="s">
        <v>434</v>
      </c>
      <c r="AG41" s="1289" t="s">
        <v>435</v>
      </c>
      <c r="AH41" s="1251" t="s">
        <v>436</v>
      </c>
      <c r="AI41" s="4042" t="s">
        <v>437</v>
      </c>
      <c r="AJ41" s="4044"/>
      <c r="AK41" s="4088"/>
      <c r="AL41" s="4091"/>
      <c r="AM41" s="3946"/>
      <c r="AN41" s="437"/>
      <c r="AO41" s="426"/>
      <c r="AP41" s="426"/>
      <c r="AQ41" s="426"/>
      <c r="AR41" s="426"/>
    </row>
    <row r="42" spans="1:44" s="1820"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107</v>
      </c>
      <c r="T42" s="1172" t="s">
        <v>108</v>
      </c>
      <c r="U42" s="1154" t="str">
        <f ca="1">OFFSET(U42,0,-1)</f>
        <v>2</v>
      </c>
      <c r="V42" s="1252">
        <f ca="1">OFFSET(V42,0,-1)+1</f>
        <v>3</v>
      </c>
      <c r="W42" s="1252"/>
      <c r="X42" s="1258">
        <f ca="1">OFFSET(X42,0,-1)+1</f>
        <v>1</v>
      </c>
      <c r="Y42" s="1258">
        <f ca="1">OFFSET(Y42,0,-1)+1</f>
        <v>2</v>
      </c>
      <c r="Z42" s="1252">
        <f ca="1">OFFSET(Z42,0,-1)+1</f>
        <v>3</v>
      </c>
      <c r="AA42" s="4081">
        <f ca="1">OFFSET(AA42,0,-1)+1</f>
        <v>4</v>
      </c>
      <c r="AB42" s="4081"/>
      <c r="AC42" s="1252">
        <f ca="1">OFFSET(AC42,0,-2)+1</f>
        <v>5</v>
      </c>
      <c r="AD42" s="1252">
        <f ca="1">OFFSET(AD42,0,-1)+1</f>
        <v>6</v>
      </c>
      <c r="AE42" s="1252"/>
      <c r="AF42" s="1258">
        <f ca="1">OFFSET(AF42,0,-1)+1</f>
        <v>1</v>
      </c>
      <c r="AG42" s="1258">
        <f ca="1">OFFSET(AG42,0,-1)+1</f>
        <v>2</v>
      </c>
      <c r="AH42" s="1252">
        <f ca="1">OFFSET(AH42,0,-1)+1</f>
        <v>3</v>
      </c>
      <c r="AI42" s="4081">
        <f ca="1">OFFSET(AI42,0,-1)+1</f>
        <v>4</v>
      </c>
      <c r="AJ42" s="4081"/>
      <c r="AK42" s="1252">
        <f ca="1">OFFSET(AK42,0,-2)+1</f>
        <v>5</v>
      </c>
      <c r="AL42" s="1154">
        <f ca="1">OFFSET(AL42,0,-1)</f>
        <v>5</v>
      </c>
      <c r="AM42" s="1252">
        <f ca="1">OFFSET(AM42,0,-1)+1</f>
        <v>6</v>
      </c>
      <c r="AN42" s="437"/>
      <c r="AO42" s="437"/>
      <c r="AP42" s="437"/>
      <c r="AQ42" s="437"/>
      <c r="AR42" s="437"/>
    </row>
    <row r="43" spans="1:44" ht="21" customHeight="1">
      <c r="A43" s="1279" t="s">
        <v>196</v>
      </c>
      <c r="B43" s="1279"/>
      <c r="C43" s="1279"/>
      <c r="D43" s="1279"/>
      <c r="E43" s="4074">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121</v>
      </c>
      <c r="U43" s="219"/>
      <c r="V43" s="4060"/>
      <c r="W43" s="4061"/>
      <c r="X43" s="4061"/>
      <c r="Y43" s="4061"/>
      <c r="Z43" s="4061"/>
      <c r="AA43" s="4061"/>
      <c r="AB43" s="4061"/>
      <c r="AC43" s="4062"/>
      <c r="AD43" s="4060" t="str">
        <f>INDEX(PT_DIFFERENTIATION_NTAR,MATCH(A43,PT_DIFFERENTIATION_NTAR_ID,0))</f>
        <v/>
      </c>
      <c r="AE43" s="4061"/>
      <c r="AF43" s="4061"/>
      <c r="AG43" s="4061"/>
      <c r="AH43" s="4061"/>
      <c r="AI43" s="4061"/>
      <c r="AJ43" s="4061"/>
      <c r="AK43" s="4061"/>
      <c r="AL43" s="4062"/>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79" t="s">
        <v>196</v>
      </c>
      <c r="B44" s="1279" t="s">
        <v>197</v>
      </c>
      <c r="C44" s="1279"/>
      <c r="D44" s="1279"/>
      <c r="E44" s="4075"/>
      <c r="F44" s="4074">
        <v>1</v>
      </c>
      <c r="G44" s="1279"/>
      <c r="H44" s="1279"/>
      <c r="I44" s="1279"/>
      <c r="J44" s="1279"/>
      <c r="K44" s="1279"/>
      <c r="L44" s="1280"/>
      <c r="M44" s="1281"/>
      <c r="N44" s="1281"/>
      <c r="O44" s="1281"/>
      <c r="P44" s="1249"/>
      <c r="Q44" s="277"/>
      <c r="R44" s="278"/>
      <c r="S44" s="1253" t="str">
        <f>INDEX(PT_DIFFERENTIATION_NUM_TER,MATCH(B44,PT_DIFFERENTIATION_TER_ID,0))</f>
        <v>.</v>
      </c>
      <c r="T44" s="229" t="s">
        <v>389</v>
      </c>
      <c r="U44" s="219"/>
      <c r="V44" s="4060"/>
      <c r="W44" s="4061"/>
      <c r="X44" s="4061"/>
      <c r="Y44" s="4061"/>
      <c r="Z44" s="4061"/>
      <c r="AA44" s="4061"/>
      <c r="AB44" s="4061"/>
      <c r="AC44" s="4062"/>
      <c r="AD44" s="4060" t="str">
        <f>INDEX(PT_DIFFERENTIATION_TER,MATCH(B44,PT_DIFFERENTIATION_TER_ID,0))</f>
        <v/>
      </c>
      <c r="AE44" s="4061"/>
      <c r="AF44" s="4061"/>
      <c r="AG44" s="4061"/>
      <c r="AH44" s="4061"/>
      <c r="AI44" s="4061"/>
      <c r="AJ44" s="4061"/>
      <c r="AK44" s="4061"/>
      <c r="AL44" s="4062"/>
      <c r="AM44" s="1177" t="s">
        <v>390</v>
      </c>
      <c r="AO44" s="426"/>
      <c r="AP44" s="426" t="str">
        <f t="shared" si="1"/>
        <v>Территория действия тарифа</v>
      </c>
      <c r="AQ44" s="426"/>
      <c r="AR44" s="426"/>
    </row>
    <row r="45" spans="1:44" ht="23.25" customHeight="1">
      <c r="A45" s="1279" t="s">
        <v>196</v>
      </c>
      <c r="B45" s="1279" t="s">
        <v>197</v>
      </c>
      <c r="C45" s="1279" t="s">
        <v>198</v>
      </c>
      <c r="D45" s="1279"/>
      <c r="E45" s="4075"/>
      <c r="F45" s="4075"/>
      <c r="G45" s="4074">
        <v>1</v>
      </c>
      <c r="H45" s="1279"/>
      <c r="I45" s="1279"/>
      <c r="J45" s="1279"/>
      <c r="K45" s="1279"/>
      <c r="L45" s="1280"/>
      <c r="M45" s="1281"/>
      <c r="N45" s="1281"/>
      <c r="O45" s="1281"/>
      <c r="P45" s="279"/>
      <c r="Q45" s="277"/>
      <c r="R45" s="278"/>
      <c r="S45" s="1253" t="str">
        <f>INDEX(PT_DIFFERENTIATION_NUM_CS,MATCH(C45,PT_DIFFERENTIATION_CS_ID,0))</f>
        <v>..</v>
      </c>
      <c r="T45" s="230" t="s">
        <v>391</v>
      </c>
      <c r="U45" s="219"/>
      <c r="V45" s="4060"/>
      <c r="W45" s="4061"/>
      <c r="X45" s="4061"/>
      <c r="Y45" s="4061"/>
      <c r="Z45" s="4061"/>
      <c r="AA45" s="4061"/>
      <c r="AB45" s="4061"/>
      <c r="AC45" s="4062"/>
      <c r="AD45" s="4060" t="str">
        <f>INDEX(PT_DIFFERENTIATION_CS,MATCH(C45,PT_DIFFERENTIATION_CS_ID,0))</f>
        <v/>
      </c>
      <c r="AE45" s="4061"/>
      <c r="AF45" s="4061"/>
      <c r="AG45" s="4061"/>
      <c r="AH45" s="4061"/>
      <c r="AI45" s="4061"/>
      <c r="AJ45" s="4061"/>
      <c r="AK45" s="4061"/>
      <c r="AL45" s="4062"/>
      <c r="AM45" s="1177" t="s">
        <v>392</v>
      </c>
      <c r="AO45" s="426"/>
      <c r="AP45" s="426" t="str">
        <f t="shared" si="1"/>
        <v xml:space="preserve">Наименование системы теплоснабжения </v>
      </c>
      <c r="AQ45" s="426"/>
      <c r="AR45" s="426"/>
    </row>
    <row r="46" spans="1:44" ht="21" customHeight="1">
      <c r="A46" s="1279" t="s">
        <v>196</v>
      </c>
      <c r="B46" s="1279" t="s">
        <v>197</v>
      </c>
      <c r="C46" s="1279" t="s">
        <v>198</v>
      </c>
      <c r="D46" s="1279" t="s">
        <v>199</v>
      </c>
      <c r="E46" s="4075"/>
      <c r="F46" s="4075"/>
      <c r="G46" s="4075"/>
      <c r="H46" s="4074">
        <v>1</v>
      </c>
      <c r="I46" s="1279"/>
      <c r="J46" s="1279"/>
      <c r="K46" s="1279"/>
      <c r="L46" s="1280"/>
      <c r="M46" s="1281"/>
      <c r="N46" s="1281"/>
      <c r="O46" s="1281"/>
      <c r="P46" s="279"/>
      <c r="Q46" s="277"/>
      <c r="R46" s="278"/>
      <c r="S46" s="1253" t="str">
        <f>INDEX(PT_DIFFERENTIATION_NUM_IST_TE,MATCH(D46,PT_DIFFERENTIATION_IST_TE_ID,0))</f>
        <v>...</v>
      </c>
      <c r="T46" s="231" t="s">
        <v>393</v>
      </c>
      <c r="U46" s="219"/>
      <c r="V46" s="4060"/>
      <c r="W46" s="4061"/>
      <c r="X46" s="4061"/>
      <c r="Y46" s="4061"/>
      <c r="Z46" s="4061"/>
      <c r="AA46" s="4061"/>
      <c r="AB46" s="4061"/>
      <c r="AC46" s="4062"/>
      <c r="AD46" s="4060" t="str">
        <f>INDEX(PT_DIFFERENTIATION_IST_TE,MATCH(D46,PT_DIFFERENTIATION_IST_TE_ID,0))</f>
        <v/>
      </c>
      <c r="AE46" s="4061"/>
      <c r="AF46" s="4061"/>
      <c r="AG46" s="4061"/>
      <c r="AH46" s="4061"/>
      <c r="AI46" s="4061"/>
      <c r="AJ46" s="4061"/>
      <c r="AK46" s="4061"/>
      <c r="AL46" s="4062"/>
      <c r="AM46" s="1177" t="s">
        <v>394</v>
      </c>
      <c r="AO46" s="426"/>
      <c r="AP46" s="426" t="str">
        <f t="shared" si="1"/>
        <v xml:space="preserve">Источник тепловой энергии  </v>
      </c>
      <c r="AQ46" s="426"/>
      <c r="AR46" s="426"/>
    </row>
    <row r="47" spans="1:44" ht="47.25" customHeight="1">
      <c r="A47" s="1279" t="s">
        <v>196</v>
      </c>
      <c r="B47" s="1279" t="s">
        <v>197</v>
      </c>
      <c r="C47" s="1279" t="s">
        <v>198</v>
      </c>
      <c r="D47" s="1279" t="s">
        <v>199</v>
      </c>
      <c r="E47" s="4075"/>
      <c r="F47" s="4075"/>
      <c r="G47" s="4075"/>
      <c r="H47" s="4075"/>
      <c r="I47" s="4072" t="str">
        <f>S46&amp;".1"</f>
        <v>....1</v>
      </c>
      <c r="J47" s="1279"/>
      <c r="K47" s="1279"/>
      <c r="L47" s="1280" t="s">
        <v>395</v>
      </c>
      <c r="P47" s="4073">
        <v>1</v>
      </c>
      <c r="Q47" s="1248"/>
      <c r="R47" s="281"/>
      <c r="S47" s="1253" t="str">
        <f>$I47</f>
        <v>....1</v>
      </c>
      <c r="T47" s="204" t="s">
        <v>396</v>
      </c>
      <c r="U47" s="219"/>
      <c r="V47" s="4063"/>
      <c r="W47" s="4064"/>
      <c r="X47" s="4064"/>
      <c r="Y47" s="4064"/>
      <c r="Z47" s="4064"/>
      <c r="AA47" s="4064"/>
      <c r="AB47" s="4064"/>
      <c r="AC47" s="4065"/>
      <c r="AD47" s="4063"/>
      <c r="AE47" s="4064"/>
      <c r="AF47" s="4064"/>
      <c r="AG47" s="4064"/>
      <c r="AH47" s="4064"/>
      <c r="AI47" s="4064"/>
      <c r="AJ47" s="4064"/>
      <c r="AK47" s="4064"/>
      <c r="AL47" s="4065"/>
      <c r="AM47" s="1177" t="s">
        <v>397</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79" t="s">
        <v>196</v>
      </c>
      <c r="B48" s="1279" t="s">
        <v>197</v>
      </c>
      <c r="C48" s="1279" t="s">
        <v>198</v>
      </c>
      <c r="D48" s="1279" t="s">
        <v>199</v>
      </c>
      <c r="E48" s="4075"/>
      <c r="F48" s="4075"/>
      <c r="G48" s="4075"/>
      <c r="H48" s="4075"/>
      <c r="I48" s="4095"/>
      <c r="J48" s="4072" t="str">
        <f>I47&amp;".1"</f>
        <v>....1.1</v>
      </c>
      <c r="K48" s="1279"/>
      <c r="L48" s="1280" t="s">
        <v>398</v>
      </c>
      <c r="P48" s="4073"/>
      <c r="Q48" s="4073">
        <v>1</v>
      </c>
      <c r="R48" s="282"/>
      <c r="S48" s="1253" t="str">
        <f>$J48</f>
        <v>....1.1</v>
      </c>
      <c r="T48" s="205" t="s">
        <v>399</v>
      </c>
      <c r="U48" s="219"/>
      <c r="V48" s="4063"/>
      <c r="W48" s="4064"/>
      <c r="X48" s="4064"/>
      <c r="Y48" s="4064"/>
      <c r="Z48" s="4064"/>
      <c r="AA48" s="4064"/>
      <c r="AB48" s="4064"/>
      <c r="AC48" s="4065"/>
      <c r="AD48" s="4063"/>
      <c r="AE48" s="4064"/>
      <c r="AF48" s="4064"/>
      <c r="AG48" s="4064"/>
      <c r="AH48" s="4064"/>
      <c r="AI48" s="4064"/>
      <c r="AJ48" s="4064"/>
      <c r="AK48" s="4064"/>
      <c r="AL48" s="4065"/>
      <c r="AM48" s="1177" t="s">
        <v>400</v>
      </c>
      <c r="AO48" s="426"/>
      <c r="AP48" s="426" t="str">
        <f t="shared" si="1"/>
        <v>Группа потребителей</v>
      </c>
      <c r="AQ48" s="426"/>
      <c r="AR48" s="426"/>
    </row>
    <row r="49" spans="1:44" ht="21" customHeight="1">
      <c r="A49" s="1279" t="s">
        <v>196</v>
      </c>
      <c r="B49" s="1279" t="s">
        <v>197</v>
      </c>
      <c r="C49" s="1279" t="s">
        <v>198</v>
      </c>
      <c r="D49" s="1279" t="s">
        <v>199</v>
      </c>
      <c r="E49" s="4075"/>
      <c r="F49" s="4075"/>
      <c r="G49" s="4075"/>
      <c r="H49" s="4075"/>
      <c r="I49" s="4095"/>
      <c r="J49" s="4095"/>
      <c r="K49" s="4072" t="str">
        <f>J48&amp;".1"</f>
        <v>....1.1.1</v>
      </c>
      <c r="L49" s="1280" t="s">
        <v>401</v>
      </c>
      <c r="P49" s="4073"/>
      <c r="Q49" s="4073"/>
      <c r="R49" s="282">
        <v>1</v>
      </c>
      <c r="S49" s="1253" t="str">
        <f>$K49</f>
        <v>....1.1.1</v>
      </c>
      <c r="T49" s="1264"/>
      <c r="U49" s="219"/>
      <c r="V49" s="251"/>
      <c r="W49" s="668"/>
      <c r="X49" s="251"/>
      <c r="Y49" s="318"/>
      <c r="Z49" s="4077"/>
      <c r="AA49" s="3927" t="s">
        <v>65</v>
      </c>
      <c r="AB49" s="4077"/>
      <c r="AC49" s="3927" t="s">
        <v>65</v>
      </c>
      <c r="AD49" s="251"/>
      <c r="AE49" s="668"/>
      <c r="AF49" s="251"/>
      <c r="AG49" s="318"/>
      <c r="AH49" s="4077"/>
      <c r="AI49" s="3927" t="s">
        <v>65</v>
      </c>
      <c r="AJ49" s="4096"/>
      <c r="AK49" s="3927" t="s">
        <v>65</v>
      </c>
      <c r="AL49" s="1265"/>
      <c r="AM49" s="4069" t="s">
        <v>402</v>
      </c>
      <c r="AN49" s="437" t="e">
        <f ca="1">STRCHECKDATE(V50:AL50)</f>
        <v>#NAME?</v>
      </c>
      <c r="AO49" s="426"/>
      <c r="AP49" s="426" t="str">
        <f t="shared" si="1"/>
        <v/>
      </c>
      <c r="AQ49" s="426"/>
      <c r="AR49" s="426"/>
    </row>
    <row r="50" spans="1:44" ht="0.75" customHeight="1">
      <c r="A50" s="1279" t="s">
        <v>196</v>
      </c>
      <c r="B50" s="1279" t="s">
        <v>197</v>
      </c>
      <c r="C50" s="1279" t="s">
        <v>198</v>
      </c>
      <c r="D50" s="1279" t="s">
        <v>199</v>
      </c>
      <c r="E50" s="4075"/>
      <c r="F50" s="4075"/>
      <c r="G50" s="4075"/>
      <c r="H50" s="4075"/>
      <c r="I50" s="4095"/>
      <c r="J50" s="4095"/>
      <c r="K50" s="4072"/>
      <c r="L50" s="1280"/>
      <c r="P50" s="4073"/>
      <c r="Q50" s="4073"/>
      <c r="R50" s="282"/>
      <c r="S50" s="1259"/>
      <c r="T50" s="219"/>
      <c r="U50" s="219"/>
      <c r="V50" s="251"/>
      <c r="W50" s="251"/>
      <c r="X50" s="251"/>
      <c r="Y50" s="255" t="str">
        <f>Z49&amp;"-"&amp;AB49</f>
        <v>-</v>
      </c>
      <c r="Z50" s="4078"/>
      <c r="AA50" s="3927"/>
      <c r="AB50" s="4078"/>
      <c r="AC50" s="3927"/>
      <c r="AD50" s="251"/>
      <c r="AE50" s="251"/>
      <c r="AF50" s="251"/>
      <c r="AG50" s="255" t="str">
        <f>AH49&amp;"-"&amp;AJ49</f>
        <v>-</v>
      </c>
      <c r="AH50" s="4078"/>
      <c r="AI50" s="3927"/>
      <c r="AJ50" s="4097"/>
      <c r="AK50" s="3927"/>
      <c r="AL50" s="1266"/>
      <c r="AM50" s="4070"/>
      <c r="AO50" s="426"/>
      <c r="AP50" s="426" t="str">
        <f t="shared" si="1"/>
        <v/>
      </c>
      <c r="AQ50" s="426"/>
      <c r="AR50" s="426"/>
    </row>
    <row r="51" spans="1:44" ht="11.25" customHeight="1">
      <c r="A51" s="1279" t="s">
        <v>196</v>
      </c>
      <c r="B51" s="1279" t="s">
        <v>197</v>
      </c>
      <c r="C51" s="1279" t="s">
        <v>198</v>
      </c>
      <c r="D51" s="1279" t="s">
        <v>199</v>
      </c>
      <c r="E51" s="4075"/>
      <c r="F51" s="4075"/>
      <c r="G51" s="4075"/>
      <c r="H51" s="4075"/>
      <c r="I51" s="4095"/>
      <c r="J51" s="4072"/>
      <c r="K51" s="1279"/>
      <c r="L51" s="1280"/>
      <c r="P51" s="4073"/>
      <c r="Q51" s="4073"/>
      <c r="R51" s="281"/>
      <c r="S51" s="1198"/>
      <c r="T51" s="207" t="s">
        <v>403</v>
      </c>
      <c r="U51" s="295"/>
      <c r="V51" s="295"/>
      <c r="W51" s="295"/>
      <c r="X51" s="295"/>
      <c r="Y51" s="295"/>
      <c r="Z51" s="295"/>
      <c r="AA51" s="295"/>
      <c r="AB51" s="295"/>
      <c r="AC51" s="295"/>
      <c r="AD51" s="295"/>
      <c r="AE51" s="295"/>
      <c r="AF51" s="295"/>
      <c r="AG51" s="295"/>
      <c r="AH51" s="295"/>
      <c r="AI51" s="295"/>
      <c r="AJ51" s="295"/>
      <c r="AK51" s="295"/>
      <c r="AL51" s="250"/>
      <c r="AM51" s="4071"/>
      <c r="AO51" s="426"/>
      <c r="AP51" s="426" t="str">
        <f t="shared" si="1"/>
        <v>Добавить вид теплоносителя (параметры теплоносителя)</v>
      </c>
      <c r="AQ51" s="426"/>
      <c r="AR51" s="426"/>
    </row>
    <row r="52" spans="1:44" ht="11.25" customHeight="1">
      <c r="A52" s="1279" t="s">
        <v>196</v>
      </c>
      <c r="B52" s="1279" t="s">
        <v>197</v>
      </c>
      <c r="C52" s="1279" t="s">
        <v>198</v>
      </c>
      <c r="D52" s="1279" t="s">
        <v>199</v>
      </c>
      <c r="E52" s="4075"/>
      <c r="F52" s="4075"/>
      <c r="G52" s="4075"/>
      <c r="H52" s="4075"/>
      <c r="I52" s="4072"/>
      <c r="J52" s="1279"/>
      <c r="K52" s="1279"/>
      <c r="L52" s="1280"/>
      <c r="P52" s="4073"/>
      <c r="Q52" s="1248"/>
      <c r="R52" s="281"/>
      <c r="S52" s="1198"/>
      <c r="T52" s="206" t="s">
        <v>404</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196</v>
      </c>
      <c r="B53" s="1279" t="s">
        <v>197</v>
      </c>
      <c r="C53" s="1279" t="s">
        <v>198</v>
      </c>
      <c r="D53" s="1279" t="s">
        <v>199</v>
      </c>
      <c r="E53" s="4075"/>
      <c r="F53" s="4075"/>
      <c r="G53" s="4075"/>
      <c r="H53" s="4074"/>
      <c r="I53" s="1279"/>
      <c r="J53" s="1279"/>
      <c r="K53" s="1279"/>
      <c r="L53" s="1280"/>
      <c r="M53" s="1281"/>
      <c r="N53" s="1281"/>
      <c r="O53" s="462"/>
      <c r="P53" s="285"/>
      <c r="Q53" s="304"/>
      <c r="R53" s="280"/>
      <c r="S53" s="1198"/>
      <c r="T53" s="292" t="s">
        <v>405</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2550" customFormat="1" ht="0.75" customHeight="1">
      <c r="A54" s="1260" t="s">
        <v>196</v>
      </c>
      <c r="B54" s="1260" t="s">
        <v>197</v>
      </c>
      <c r="C54" s="1260" t="s">
        <v>198</v>
      </c>
      <c r="D54" s="1232"/>
      <c r="E54" s="4075"/>
      <c r="F54" s="4075"/>
      <c r="G54" s="4074"/>
      <c r="H54" s="1232"/>
      <c r="I54" s="1232"/>
      <c r="J54" s="1232"/>
      <c r="K54" s="1232"/>
      <c r="L54" s="1256"/>
      <c r="M54" s="1233"/>
      <c r="N54" s="1233"/>
      <c r="P54" s="1234"/>
      <c r="Q54" s="1235"/>
      <c r="R54" s="1234"/>
      <c r="S54" s="1240"/>
      <c r="T54" s="1243" t="s">
        <v>166</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2550" customFormat="1" ht="0.75" customHeight="1">
      <c r="A55" s="1260" t="s">
        <v>196</v>
      </c>
      <c r="B55" s="1260" t="s">
        <v>197</v>
      </c>
      <c r="C55" s="1232"/>
      <c r="D55" s="1232"/>
      <c r="E55" s="4075"/>
      <c r="F55" s="4074"/>
      <c r="G55" s="1232"/>
      <c r="H55" s="1232"/>
      <c r="I55" s="1232"/>
      <c r="J55" s="1232"/>
      <c r="K55" s="1232"/>
      <c r="L55" s="1256"/>
      <c r="M55" s="1239"/>
      <c r="N55" s="1239"/>
      <c r="P55" s="1234"/>
      <c r="Q55" s="1235"/>
      <c r="R55" s="1234"/>
      <c r="S55" s="1240"/>
      <c r="T55" s="1243" t="s">
        <v>167</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21" customFormat="1" ht="0.75" customHeight="1">
      <c r="A56" s="1260" t="s">
        <v>196</v>
      </c>
      <c r="B56" s="1260"/>
      <c r="C56" s="1260"/>
      <c r="D56" s="1260"/>
      <c r="E56" s="4074"/>
      <c r="F56" s="1260"/>
      <c r="G56" s="1260"/>
      <c r="H56" s="1260"/>
      <c r="I56" s="1260"/>
      <c r="J56" s="1260"/>
      <c r="K56" s="1260"/>
      <c r="L56" s="1263"/>
      <c r="M56" s="1239"/>
      <c r="N56" s="1239"/>
      <c r="O56" s="444"/>
      <c r="P56" s="313"/>
      <c r="Q56" s="1261"/>
      <c r="R56" s="313"/>
      <c r="S56" s="1240"/>
      <c r="T56" s="1243" t="s">
        <v>168</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2550"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169</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4094"/>
      <c r="U59" s="4094"/>
      <c r="V59" s="4094"/>
      <c r="W59" s="4094"/>
      <c r="X59" s="4094"/>
      <c r="Y59" s="4094"/>
      <c r="Z59" s="4094"/>
      <c r="AA59" s="4094"/>
      <c r="AB59" s="4094"/>
      <c r="AC59" s="4094"/>
      <c r="AD59" s="4094"/>
      <c r="AE59" s="4094"/>
      <c r="AF59" s="4094"/>
      <c r="AG59" s="4094"/>
      <c r="AH59" s="4094"/>
      <c r="AI59" s="4094"/>
      <c r="AJ59" s="4094"/>
      <c r="AK59" s="4094"/>
      <c r="AL59" s="4094"/>
      <c r="AM59" s="4094"/>
    </row>
    <row r="60" spans="1:44" ht="75" customHeight="1">
      <c r="O60" s="462"/>
      <c r="T60" s="4094"/>
      <c r="U60" s="4094"/>
      <c r="V60" s="4094"/>
      <c r="W60" s="4094"/>
      <c r="X60" s="4094"/>
      <c r="Y60" s="4094"/>
      <c r="Z60" s="4094"/>
      <c r="AA60" s="4094"/>
      <c r="AB60" s="4094"/>
      <c r="AC60" s="4094"/>
      <c r="AD60" s="4094"/>
      <c r="AE60" s="4094"/>
      <c r="AF60" s="4094"/>
      <c r="AG60" s="4094"/>
      <c r="AH60" s="4094"/>
      <c r="AI60" s="4094"/>
      <c r="AJ60" s="4094"/>
      <c r="AK60" s="4094"/>
      <c r="AL60" s="4094"/>
      <c r="AM60" s="4094"/>
    </row>
    <row r="61" spans="1:44" ht="14.25" customHeight="1">
      <c r="O61" s="462"/>
    </row>
    <row r="62" spans="1:44" ht="18" customHeight="1">
      <c r="O62" s="462"/>
      <c r="S62" s="1164"/>
      <c r="T62" s="4094"/>
      <c r="U62" s="4094"/>
      <c r="V62" s="4094"/>
      <c r="W62" s="4094"/>
      <c r="X62" s="4094"/>
      <c r="Y62" s="4094"/>
      <c r="Z62" s="4094"/>
      <c r="AA62" s="4094"/>
      <c r="AB62" s="4094"/>
      <c r="AC62" s="4094"/>
      <c r="AD62" s="4094"/>
      <c r="AE62" s="4094"/>
      <c r="AF62" s="4094"/>
      <c r="AG62" s="4094"/>
      <c r="AH62" s="4094"/>
      <c r="AI62" s="4094"/>
      <c r="AJ62" s="4094"/>
      <c r="AK62" s="4094"/>
      <c r="AL62" s="4094"/>
      <c r="AM62" s="4094"/>
    </row>
    <row r="63" spans="1:44" ht="18" customHeight="1">
      <c r="O63" s="462"/>
      <c r="T63" s="4094"/>
      <c r="U63" s="4094"/>
      <c r="V63" s="4094"/>
      <c r="W63" s="4094"/>
      <c r="X63" s="4094"/>
      <c r="Y63" s="4094"/>
      <c r="Z63" s="4094"/>
      <c r="AA63" s="4094"/>
      <c r="AB63" s="4094"/>
      <c r="AC63" s="4094"/>
      <c r="AD63" s="4094"/>
      <c r="AE63" s="4094"/>
      <c r="AF63" s="4094"/>
      <c r="AG63" s="4094"/>
      <c r="AH63" s="4094"/>
      <c r="AI63" s="4094"/>
      <c r="AJ63" s="4094"/>
      <c r="AK63" s="4094"/>
      <c r="AL63" s="4094"/>
      <c r="AM63" s="4094"/>
    </row>
    <row r="64" spans="1:44" ht="38.25" customHeight="1">
      <c r="O64" s="462"/>
      <c r="S64" s="1164"/>
      <c r="T64" s="4094"/>
      <c r="U64" s="4094"/>
      <c r="V64" s="4094"/>
      <c r="W64" s="4094"/>
      <c r="X64" s="4094"/>
      <c r="Y64" s="4094"/>
      <c r="Z64" s="4094"/>
      <c r="AA64" s="4094"/>
      <c r="AB64" s="4094"/>
      <c r="AC64" s="4094"/>
      <c r="AD64" s="4094"/>
      <c r="AE64" s="4094"/>
      <c r="AF64" s="4094"/>
      <c r="AG64" s="4094"/>
      <c r="AH64" s="4094"/>
      <c r="AI64" s="4094"/>
      <c r="AJ64" s="4094"/>
      <c r="AK64" s="4094"/>
      <c r="AL64" s="4094"/>
      <c r="AM64" s="4094"/>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2553" hidden="1"/>
    <col min="2" max="2" width="11" style="2553" hidden="1" customWidth="1"/>
    <col min="3" max="3" width="10.5703125" style="2553" hidden="1"/>
    <col min="4" max="4" width="11.85546875" style="2553" hidden="1" customWidth="1"/>
    <col min="5" max="5" width="10" style="2553" hidden="1" customWidth="1"/>
    <col min="6" max="6" width="8.7109375" style="2553" hidden="1" customWidth="1"/>
    <col min="7" max="7" width="7.5703125" style="2553" hidden="1" customWidth="1"/>
    <col min="8" max="8" width="11.42578125" style="2553" hidden="1" customWidth="1"/>
    <col min="9" max="9" width="12" style="2553" hidden="1" customWidth="1"/>
    <col min="10" max="10" width="9.85546875" style="2553" hidden="1" customWidth="1"/>
    <col min="11" max="11" width="11.42578125" style="2553" hidden="1" customWidth="1"/>
    <col min="12" max="12" width="19.140625" style="2554" hidden="1" customWidth="1"/>
    <col min="13" max="14" width="12.28515625" style="2555" hidden="1" customWidth="1"/>
    <col min="15" max="15" width="23.42578125" style="2555" hidden="1" customWidth="1"/>
    <col min="16" max="16" width="3.7109375" style="2565" hidden="1" customWidth="1"/>
    <col min="17" max="18" width="3.7109375" style="3173" customWidth="1"/>
    <col min="19" max="19" width="12.7109375" style="3174" customWidth="1"/>
    <col min="20" max="20" width="32" style="1920" customWidth="1"/>
    <col min="21" max="21" width="0.140625" style="1920" customWidth="1"/>
    <col min="22" max="22" width="24.7109375" style="1920" hidden="1" customWidth="1"/>
    <col min="23" max="23" width="0.140625" style="1920" hidden="1" customWidth="1"/>
    <col min="24" max="25" width="24.7109375" style="1920" hidden="1" customWidth="1"/>
    <col min="26" max="26" width="11.7109375" style="1920" hidden="1" customWidth="1"/>
    <col min="27" max="27" width="3.7109375" style="1920" hidden="1" customWidth="1"/>
    <col min="28" max="28" width="11.7109375" style="1920" hidden="1" customWidth="1"/>
    <col min="29" max="29" width="8.5703125" style="1920" hidden="1" customWidth="1"/>
    <col min="30" max="30" width="24.7109375" style="1920" customWidth="1"/>
    <col min="31" max="31" width="0.140625" style="1920" customWidth="1"/>
    <col min="32" max="33" width="24.7109375" style="1920" customWidth="1"/>
    <col min="34" max="34" width="11.7109375" style="1920" customWidth="1"/>
    <col min="35" max="35" width="3.7109375" style="1920" customWidth="1"/>
    <col min="36" max="36" width="11.7109375" style="1920" customWidth="1"/>
    <col min="37" max="37" width="8.5703125" style="1920" hidden="1" customWidth="1"/>
    <col min="38" max="38" width="4.7109375" style="1920" customWidth="1"/>
    <col min="39" max="39" width="115.7109375" style="1920" customWidth="1"/>
    <col min="40" max="41" width="10.5703125" style="1821"/>
    <col min="42" max="42" width="11.140625" style="1821" customWidth="1"/>
    <col min="43" max="44" width="10.5703125" style="1821"/>
  </cols>
  <sheetData>
    <row r="1" spans="1:44" ht="14.25" hidden="1" customHeight="1">
      <c r="Y1" s="254"/>
      <c r="Z1" s="254"/>
      <c r="AG1" s="254"/>
      <c r="AH1" s="254"/>
    </row>
    <row r="2" spans="1:44" ht="21" hidden="1" customHeight="1">
      <c r="A2" s="1279"/>
      <c r="B2" s="1279"/>
      <c r="C2" s="1279"/>
      <c r="D2" s="1279"/>
      <c r="E2" s="4074">
        <v>1</v>
      </c>
      <c r="F2" s="1279"/>
      <c r="G2" s="1279"/>
      <c r="H2" s="1279"/>
      <c r="I2" s="1279"/>
      <c r="J2" s="1279"/>
      <c r="K2" s="1279"/>
      <c r="L2" s="1280"/>
      <c r="M2" s="1281"/>
      <c r="N2" s="1281"/>
      <c r="O2" s="1281"/>
      <c r="P2" s="286"/>
      <c r="Q2" s="285"/>
      <c r="R2" s="280"/>
      <c r="S2" s="1253" t="e">
        <f>INDEX(PT_DIFFERENTIATION_NUM_NTAR,MATCH(A2,PT_DIFFERENTIATION_NTAR_ID,0))</f>
        <v>#N/A</v>
      </c>
      <c r="T2" s="217" t="s">
        <v>121</v>
      </c>
      <c r="U2" s="219"/>
      <c r="V2" s="4060"/>
      <c r="W2" s="4061"/>
      <c r="X2" s="4061"/>
      <c r="Y2" s="4061"/>
      <c r="Z2" s="4061"/>
      <c r="AA2" s="4061"/>
      <c r="AB2" s="4061"/>
      <c r="AC2" s="4062"/>
      <c r="AD2" s="4060" t="e">
        <f>INDEX(PT_DIFFERENTIATION_NTAR,MATCH(A2,PT_DIFFERENTIATION_NTAR_ID,0))</f>
        <v>#N/A</v>
      </c>
      <c r="AE2" s="4061"/>
      <c r="AF2" s="4061"/>
      <c r="AG2" s="4061"/>
      <c r="AH2" s="4061"/>
      <c r="AI2" s="4061"/>
      <c r="AJ2" s="4061"/>
      <c r="AK2" s="4061"/>
      <c r="AL2" s="4062"/>
      <c r="AM2" s="1177" t="s">
        <v>388</v>
      </c>
      <c r="AO2" s="426"/>
      <c r="AP2" s="426" t="str">
        <f t="shared" ref="AP2:AP15" si="0">IF(T2="","",T2)</f>
        <v>Наименование тарифа</v>
      </c>
      <c r="AQ2" s="426"/>
      <c r="AR2" s="426"/>
    </row>
    <row r="3" spans="1:44" ht="21" hidden="1" customHeight="1">
      <c r="A3" s="1279"/>
      <c r="B3" s="1279"/>
      <c r="C3" s="1279"/>
      <c r="D3" s="1279"/>
      <c r="E3" s="4075"/>
      <c r="F3" s="4074">
        <v>1</v>
      </c>
      <c r="G3" s="1279"/>
      <c r="H3" s="1279"/>
      <c r="I3" s="1279"/>
      <c r="J3" s="1279"/>
      <c r="K3" s="1279"/>
      <c r="L3" s="1280"/>
      <c r="M3" s="1281"/>
      <c r="N3" s="1281"/>
      <c r="O3" s="1281"/>
      <c r="P3" s="1249"/>
      <c r="Q3" s="277"/>
      <c r="R3" s="278"/>
      <c r="S3" s="1253" t="e">
        <f>INDEX(PT_DIFFERENTIATION_NUM_TER,MATCH(B3,PT_DIFFERENTIATION_TER_ID,0))</f>
        <v>#N/A</v>
      </c>
      <c r="T3" s="229" t="s">
        <v>389</v>
      </c>
      <c r="U3" s="219"/>
      <c r="V3" s="4060"/>
      <c r="W3" s="4061"/>
      <c r="X3" s="4061"/>
      <c r="Y3" s="4061"/>
      <c r="Z3" s="4061"/>
      <c r="AA3" s="4061"/>
      <c r="AB3" s="4061"/>
      <c r="AC3" s="4062"/>
      <c r="AD3" s="4060" t="e">
        <f>INDEX(PT_DIFFERENTIATION_TER,MATCH(B3,PT_DIFFERENTIATION_TER_ID,0))</f>
        <v>#N/A</v>
      </c>
      <c r="AE3" s="4061"/>
      <c r="AF3" s="4061"/>
      <c r="AG3" s="4061"/>
      <c r="AH3" s="4061"/>
      <c r="AI3" s="4061"/>
      <c r="AJ3" s="4061"/>
      <c r="AK3" s="4061"/>
      <c r="AL3" s="4062"/>
      <c r="AM3" s="1177" t="s">
        <v>390</v>
      </c>
      <c r="AO3" s="426"/>
      <c r="AP3" s="426" t="str">
        <f t="shared" si="0"/>
        <v>Территория действия тарифа</v>
      </c>
      <c r="AQ3" s="426"/>
      <c r="AR3" s="426"/>
    </row>
    <row r="4" spans="1:44" ht="23.25" hidden="1" customHeight="1">
      <c r="A4" s="1279"/>
      <c r="B4" s="1279"/>
      <c r="C4" s="1279"/>
      <c r="D4" s="1279"/>
      <c r="E4" s="4075"/>
      <c r="F4" s="4075"/>
      <c r="G4" s="4074">
        <v>1</v>
      </c>
      <c r="H4" s="1279"/>
      <c r="I4" s="1279"/>
      <c r="J4" s="1279"/>
      <c r="K4" s="1279"/>
      <c r="L4" s="1280"/>
      <c r="M4" s="1281"/>
      <c r="N4" s="1281"/>
      <c r="O4" s="1281"/>
      <c r="P4" s="279"/>
      <c r="Q4" s="277"/>
      <c r="R4" s="278"/>
      <c r="S4" s="1253" t="e">
        <f>INDEX(PT_DIFFERENTIATION_NUM_CS,MATCH(C4,PT_DIFFERENTIATION_CS_ID,0))</f>
        <v>#N/A</v>
      </c>
      <c r="T4" s="230" t="s">
        <v>391</v>
      </c>
      <c r="U4" s="219"/>
      <c r="V4" s="4060"/>
      <c r="W4" s="4061"/>
      <c r="X4" s="4061"/>
      <c r="Y4" s="4061"/>
      <c r="Z4" s="4061"/>
      <c r="AA4" s="4061"/>
      <c r="AB4" s="4061"/>
      <c r="AC4" s="4062"/>
      <c r="AD4" s="4060" t="e">
        <f>INDEX(PT_DIFFERENTIATION_CS,MATCH(C4,PT_DIFFERENTIATION_CS_ID,0))</f>
        <v>#N/A</v>
      </c>
      <c r="AE4" s="4061"/>
      <c r="AF4" s="4061"/>
      <c r="AG4" s="4061"/>
      <c r="AH4" s="4061"/>
      <c r="AI4" s="4061"/>
      <c r="AJ4" s="4061"/>
      <c r="AK4" s="4061"/>
      <c r="AL4" s="4062"/>
      <c r="AM4" s="1177" t="s">
        <v>392</v>
      </c>
      <c r="AO4" s="426"/>
      <c r="AP4" s="426" t="str">
        <f t="shared" si="0"/>
        <v xml:space="preserve">Наименование системы теплоснабжения </v>
      </c>
      <c r="AQ4" s="426"/>
      <c r="AR4" s="426"/>
    </row>
    <row r="5" spans="1:44" ht="21" hidden="1" customHeight="1">
      <c r="A5" s="1279"/>
      <c r="B5" s="1279"/>
      <c r="C5" s="1279"/>
      <c r="D5" s="1279"/>
      <c r="E5" s="4075"/>
      <c r="F5" s="4075"/>
      <c r="G5" s="4075"/>
      <c r="H5" s="4074">
        <v>1</v>
      </c>
      <c r="I5" s="1279"/>
      <c r="J5" s="1279"/>
      <c r="K5" s="1279"/>
      <c r="L5" s="1280"/>
      <c r="M5" s="1281"/>
      <c r="N5" s="1281"/>
      <c r="O5" s="1281"/>
      <c r="P5" s="279"/>
      <c r="Q5" s="277"/>
      <c r="R5" s="278"/>
      <c r="S5" s="1253" t="e">
        <f>INDEX(PT_DIFFERENTIATION_NUM_IST_TE,MATCH(D5,PT_DIFFERENTIATION_IST_TE_ID,0))</f>
        <v>#N/A</v>
      </c>
      <c r="T5" s="231" t="s">
        <v>393</v>
      </c>
      <c r="U5" s="219"/>
      <c r="V5" s="4060"/>
      <c r="W5" s="4061"/>
      <c r="X5" s="4061"/>
      <c r="Y5" s="4061"/>
      <c r="Z5" s="4061"/>
      <c r="AA5" s="4061"/>
      <c r="AB5" s="4061"/>
      <c r="AC5" s="4062"/>
      <c r="AD5" s="4060" t="e">
        <f>INDEX(PT_DIFFERENTIATION_IST_TE,MATCH(D5,PT_DIFFERENTIATION_IST_TE_ID,0))</f>
        <v>#N/A</v>
      </c>
      <c r="AE5" s="4061"/>
      <c r="AF5" s="4061"/>
      <c r="AG5" s="4061"/>
      <c r="AH5" s="4061"/>
      <c r="AI5" s="4061"/>
      <c r="AJ5" s="4061"/>
      <c r="AK5" s="4061"/>
      <c r="AL5" s="4062"/>
      <c r="AM5" s="1177" t="s">
        <v>394</v>
      </c>
      <c r="AO5" s="426"/>
      <c r="AP5" s="426" t="str">
        <f t="shared" si="0"/>
        <v xml:space="preserve">Источник тепловой энергии  </v>
      </c>
      <c r="AQ5" s="426"/>
      <c r="AR5" s="426"/>
    </row>
    <row r="6" spans="1:44" ht="14.25" hidden="1" customHeight="1">
      <c r="A6" s="1279"/>
      <c r="B6" s="1279"/>
      <c r="C6" s="1279"/>
      <c r="D6" s="1279"/>
      <c r="E6" s="4075"/>
      <c r="F6" s="4075"/>
      <c r="G6" s="4075"/>
      <c r="H6" s="4075"/>
      <c r="I6" s="4072" t="e">
        <f>S5&amp;".1"</f>
        <v>#N/A</v>
      </c>
      <c r="J6" s="1279"/>
      <c r="K6" s="1279"/>
      <c r="L6" s="1280" t="s">
        <v>395</v>
      </c>
      <c r="M6" s="462"/>
      <c r="P6" s="4073">
        <v>1</v>
      </c>
      <c r="Q6" s="1248"/>
      <c r="R6" s="281"/>
      <c r="S6" s="949"/>
      <c r="T6" s="1299"/>
      <c r="U6" s="1300"/>
      <c r="V6" s="4101"/>
      <c r="W6" s="4102"/>
      <c r="X6" s="4102"/>
      <c r="Y6" s="4102"/>
      <c r="Z6" s="4102"/>
      <c r="AA6" s="4102"/>
      <c r="AB6" s="4102"/>
      <c r="AC6" s="4103"/>
      <c r="AD6" s="4101"/>
      <c r="AE6" s="4102"/>
      <c r="AF6" s="4102"/>
      <c r="AG6" s="4102"/>
      <c r="AH6" s="4102"/>
      <c r="AI6" s="4102"/>
      <c r="AJ6" s="4102"/>
      <c r="AK6" s="4102"/>
      <c r="AL6" s="4103"/>
      <c r="AM6" s="1301"/>
      <c r="AO6" s="426"/>
      <c r="AP6" s="426" t="str">
        <f t="shared" si="0"/>
        <v/>
      </c>
      <c r="AQ6" s="426"/>
      <c r="AR6" s="426"/>
    </row>
    <row r="7" spans="1:44" ht="21" hidden="1" customHeight="1">
      <c r="A7" s="1279"/>
      <c r="B7" s="1279"/>
      <c r="C7" s="1279"/>
      <c r="D7" s="1279"/>
      <c r="E7" s="4075"/>
      <c r="F7" s="4075"/>
      <c r="G7" s="4075"/>
      <c r="H7" s="4075"/>
      <c r="I7" s="4095"/>
      <c r="J7" s="4072" t="e">
        <f>I6&amp;".1"</f>
        <v>#N/A</v>
      </c>
      <c r="K7" s="1279"/>
      <c r="L7" s="1280" t="s">
        <v>398</v>
      </c>
      <c r="M7" s="462"/>
      <c r="N7" s="1282"/>
      <c r="P7" s="4073"/>
      <c r="Q7" s="4073">
        <v>1</v>
      </c>
      <c r="R7" s="282"/>
      <c r="S7" s="1253" t="e">
        <f>$J7</f>
        <v>#N/A</v>
      </c>
      <c r="T7" s="205" t="s">
        <v>399</v>
      </c>
      <c r="U7" s="219"/>
      <c r="V7" s="4063"/>
      <c r="W7" s="4064"/>
      <c r="X7" s="4064"/>
      <c r="Y7" s="4064"/>
      <c r="Z7" s="4064"/>
      <c r="AA7" s="4064"/>
      <c r="AB7" s="4064"/>
      <c r="AC7" s="4065"/>
      <c r="AD7" s="4063"/>
      <c r="AE7" s="4064"/>
      <c r="AF7" s="4064"/>
      <c r="AG7" s="4064"/>
      <c r="AH7" s="4064"/>
      <c r="AI7" s="4064"/>
      <c r="AJ7" s="4064"/>
      <c r="AK7" s="4064"/>
      <c r="AL7" s="4065"/>
      <c r="AM7" s="1177" t="s">
        <v>400</v>
      </c>
      <c r="AO7" s="426"/>
      <c r="AP7" s="426" t="str">
        <f t="shared" si="0"/>
        <v>Группа потребителей</v>
      </c>
      <c r="AQ7" s="426"/>
      <c r="AR7" s="426"/>
    </row>
    <row r="8" spans="1:44" ht="21" hidden="1" customHeight="1">
      <c r="A8" s="1279"/>
      <c r="B8" s="1279"/>
      <c r="C8" s="1279"/>
      <c r="D8" s="1279"/>
      <c r="E8" s="4075"/>
      <c r="F8" s="4075"/>
      <c r="G8" s="4075"/>
      <c r="H8" s="4075"/>
      <c r="I8" s="4095"/>
      <c r="J8" s="4095"/>
      <c r="K8" s="4072" t="e">
        <f>J7&amp;".1"</f>
        <v>#N/A</v>
      </c>
      <c r="L8" s="1280" t="s">
        <v>401</v>
      </c>
      <c r="M8" s="462"/>
      <c r="N8" s="1282"/>
      <c r="O8" s="1282"/>
      <c r="P8" s="4073"/>
      <c r="Q8" s="4073"/>
      <c r="R8" s="282">
        <v>1</v>
      </c>
      <c r="S8" s="1253" t="e">
        <f>$K8</f>
        <v>#N/A</v>
      </c>
      <c r="T8" s="1264"/>
      <c r="U8" s="219"/>
      <c r="V8" s="668"/>
      <c r="W8" s="251"/>
      <c r="X8" s="668"/>
      <c r="Y8" s="1176"/>
      <c r="Z8" s="4077"/>
      <c r="AA8" s="3927" t="s">
        <v>65</v>
      </c>
      <c r="AB8" s="4077"/>
      <c r="AC8" s="3927" t="s">
        <v>65</v>
      </c>
      <c r="AD8" s="668"/>
      <c r="AE8" s="251"/>
      <c r="AF8" s="668"/>
      <c r="AG8" s="1176"/>
      <c r="AH8" s="4077"/>
      <c r="AI8" s="3927" t="s">
        <v>65</v>
      </c>
      <c r="AJ8" s="4077"/>
      <c r="AK8" s="3927" t="s">
        <v>65</v>
      </c>
      <c r="AL8" s="251"/>
      <c r="AM8" s="4069" t="s">
        <v>402</v>
      </c>
      <c r="AN8" s="437" t="e">
        <f ca="1">STRCHECKDATE(V9:AL9)</f>
        <v>#NAME?</v>
      </c>
      <c r="AO8" s="426"/>
      <c r="AP8" s="426" t="str">
        <f t="shared" si="0"/>
        <v/>
      </c>
      <c r="AQ8" s="426"/>
      <c r="AR8" s="426"/>
    </row>
    <row r="9" spans="1:44" ht="0.75" hidden="1" customHeight="1">
      <c r="A9" s="1279"/>
      <c r="B9" s="1279"/>
      <c r="C9" s="1279"/>
      <c r="D9" s="1279"/>
      <c r="E9" s="4075"/>
      <c r="F9" s="4075"/>
      <c r="G9" s="4075"/>
      <c r="H9" s="4075"/>
      <c r="I9" s="4095"/>
      <c r="J9" s="4095"/>
      <c r="K9" s="4072"/>
      <c r="L9" s="1280"/>
      <c r="M9" s="462"/>
      <c r="N9" s="1282"/>
      <c r="O9" s="1282"/>
      <c r="P9" s="4073"/>
      <c r="Q9" s="4073"/>
      <c r="R9" s="282"/>
      <c r="S9" s="1259"/>
      <c r="T9" s="219"/>
      <c r="U9" s="219"/>
      <c r="V9" s="251"/>
      <c r="W9" s="251"/>
      <c r="X9" s="251"/>
      <c r="Y9" s="255" t="str">
        <f>Z8&amp;"-"&amp;AB8</f>
        <v>-</v>
      </c>
      <c r="Z9" s="4078"/>
      <c r="AA9" s="3927"/>
      <c r="AB9" s="4078"/>
      <c r="AC9" s="3927"/>
      <c r="AD9" s="251"/>
      <c r="AE9" s="251"/>
      <c r="AF9" s="251"/>
      <c r="AG9" s="255" t="str">
        <f>AH8&amp;"-"&amp;AJ8</f>
        <v>-</v>
      </c>
      <c r="AH9" s="4078"/>
      <c r="AI9" s="3927"/>
      <c r="AJ9" s="4078"/>
      <c r="AK9" s="3927"/>
      <c r="AL9" s="251"/>
      <c r="AM9" s="4070"/>
      <c r="AO9" s="426"/>
      <c r="AP9" s="426" t="str">
        <f t="shared" si="0"/>
        <v/>
      </c>
      <c r="AQ9" s="426"/>
      <c r="AR9" s="426"/>
    </row>
    <row r="10" spans="1:44" ht="15" hidden="1" customHeight="1">
      <c r="A10" s="1279"/>
      <c r="B10" s="1279"/>
      <c r="C10" s="1279"/>
      <c r="D10" s="1279"/>
      <c r="E10" s="4075"/>
      <c r="F10" s="4075"/>
      <c r="G10" s="4075"/>
      <c r="H10" s="4075"/>
      <c r="I10" s="4095"/>
      <c r="J10" s="4072"/>
      <c r="K10" s="1279"/>
      <c r="L10" s="1280"/>
      <c r="M10" s="462"/>
      <c r="N10" s="1282"/>
      <c r="P10" s="4073"/>
      <c r="Q10" s="4073"/>
      <c r="R10" s="281"/>
      <c r="S10" s="1198"/>
      <c r="T10" s="206" t="s">
        <v>403</v>
      </c>
      <c r="U10" s="295"/>
      <c r="V10" s="295"/>
      <c r="W10" s="295"/>
      <c r="X10" s="295"/>
      <c r="Y10" s="295"/>
      <c r="Z10" s="295"/>
      <c r="AA10" s="295"/>
      <c r="AB10" s="295"/>
      <c r="AC10" s="295"/>
      <c r="AD10" s="295"/>
      <c r="AE10" s="295"/>
      <c r="AF10" s="295"/>
      <c r="AG10" s="295"/>
      <c r="AH10" s="295"/>
      <c r="AI10" s="295"/>
      <c r="AJ10" s="295"/>
      <c r="AK10" s="295"/>
      <c r="AL10" s="250"/>
      <c r="AM10" s="4071"/>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4075"/>
      <c r="F11" s="4075"/>
      <c r="G11" s="4075"/>
      <c r="H11" s="4075"/>
      <c r="I11" s="4072"/>
      <c r="J11" s="1279"/>
      <c r="K11" s="1279"/>
      <c r="L11" s="1280"/>
      <c r="M11" s="462"/>
      <c r="P11" s="4073"/>
      <c r="Q11" s="1248"/>
      <c r="R11" s="281"/>
      <c r="S11" s="1198"/>
      <c r="T11" s="292" t="s">
        <v>404</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4075"/>
      <c r="F12" s="4075"/>
      <c r="G12" s="4075"/>
      <c r="H12" s="4074"/>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2550" customFormat="1" ht="0.75" hidden="1" customHeight="1">
      <c r="A13" s="1232"/>
      <c r="B13" s="1232"/>
      <c r="C13" s="1232"/>
      <c r="D13" s="1232"/>
      <c r="E13" s="4075"/>
      <c r="F13" s="4075"/>
      <c r="G13" s="4074"/>
      <c r="H13" s="1232"/>
      <c r="I13" s="1232"/>
      <c r="J13" s="1232"/>
      <c r="K13" s="1232"/>
      <c r="L13" s="1256"/>
      <c r="M13" s="1233"/>
      <c r="N13" s="1233"/>
      <c r="P13" s="1234"/>
      <c r="Q13" s="1235"/>
      <c r="R13" s="1234"/>
      <c r="S13" s="1236"/>
      <c r="T13" s="1237" t="s">
        <v>166</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2550" customFormat="1" ht="0.75" hidden="1" customHeight="1">
      <c r="A14" s="1232"/>
      <c r="B14" s="1232"/>
      <c r="C14" s="1232"/>
      <c r="D14" s="1232"/>
      <c r="E14" s="4075"/>
      <c r="F14" s="4074"/>
      <c r="G14" s="1232"/>
      <c r="H14" s="1232"/>
      <c r="I14" s="1232"/>
      <c r="J14" s="1232"/>
      <c r="K14" s="1232"/>
      <c r="L14" s="1256"/>
      <c r="M14" s="1239"/>
      <c r="N14" s="1239"/>
      <c r="P14" s="1234"/>
      <c r="Q14" s="1235"/>
      <c r="R14" s="1234"/>
      <c r="S14" s="1240"/>
      <c r="T14" s="1241" t="s">
        <v>167</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2550" customFormat="1" ht="0.75" hidden="1" customHeight="1">
      <c r="A15" s="1232"/>
      <c r="B15" s="1232"/>
      <c r="C15" s="1232"/>
      <c r="D15" s="1232"/>
      <c r="E15" s="4074"/>
      <c r="F15" s="1232"/>
      <c r="G15" s="1232"/>
      <c r="H15" s="1232"/>
      <c r="I15" s="1232"/>
      <c r="J15" s="1232"/>
      <c r="K15" s="1232"/>
      <c r="L15" s="1256"/>
      <c r="M15" s="1239"/>
      <c r="N15" s="1239"/>
      <c r="P15" s="1234"/>
      <c r="Q15" s="1235"/>
      <c r="R15" s="1234"/>
      <c r="S15" s="1240"/>
      <c r="T15" s="1243" t="s">
        <v>168</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4079"/>
      <c r="AI17" s="4080" t="s">
        <v>65</v>
      </c>
      <c r="AJ17" s="4079"/>
      <c r="AK17" s="4080" t="s">
        <v>65</v>
      </c>
    </row>
    <row r="18" spans="1:44" ht="14.25" hidden="1" customHeight="1">
      <c r="AD18" s="1276"/>
      <c r="AE18" s="1276"/>
      <c r="AF18" s="1276"/>
      <c r="AG18" s="255" t="str">
        <f>AH17&amp;"-"&amp;AJ17</f>
        <v>-</v>
      </c>
      <c r="AH18" s="4080"/>
      <c r="AI18" s="4080"/>
      <c r="AJ18" s="4080"/>
      <c r="AK18" s="4080"/>
    </row>
    <row r="19" spans="1:44" ht="14.25" hidden="1" customHeight="1">
      <c r="AK19" s="254"/>
    </row>
    <row r="20" spans="1:44" s="2553" customFormat="1" ht="22.5" hidden="1" customHeight="1">
      <c r="L20" s="1246"/>
      <c r="M20" s="1278"/>
      <c r="N20" s="1278"/>
      <c r="O20" s="1283" t="s">
        <v>406</v>
      </c>
      <c r="P20" s="1278"/>
      <c r="Q20" s="1287"/>
      <c r="R20" s="1287"/>
      <c r="S20" s="648"/>
      <c r="Z20" s="1283"/>
      <c r="AB20" s="1283"/>
      <c r="AC20" s="1282"/>
      <c r="AH20" s="1283"/>
      <c r="AJ20" s="1283"/>
      <c r="AK20" s="1282"/>
      <c r="AN20" s="437"/>
      <c r="AO20" s="437"/>
      <c r="AP20" s="437"/>
      <c r="AQ20" s="437"/>
      <c r="AR20" s="437"/>
    </row>
    <row r="21" spans="1:44" s="2553" customFormat="1" ht="14.25" hidden="1" customHeight="1">
      <c r="L21" s="1246"/>
      <c r="M21" s="1278"/>
      <c r="N21" s="1278"/>
      <c r="O21" s="1278"/>
      <c r="P21" s="1278"/>
      <c r="Q21" s="1287"/>
      <c r="R21" s="1287"/>
      <c r="S21" s="648"/>
      <c r="AC21" s="1282"/>
      <c r="AK21" s="1282"/>
      <c r="AN21" s="437"/>
      <c r="AO21" s="437"/>
      <c r="AP21" s="437"/>
      <c r="AQ21" s="437"/>
      <c r="AR21" s="437"/>
    </row>
    <row r="22" spans="1:44" s="2553" customFormat="1" ht="14.25" hidden="1" customHeight="1">
      <c r="L22" s="1246"/>
      <c r="M22" s="1278"/>
      <c r="N22" s="1278"/>
      <c r="O22" s="1280" t="s">
        <v>407</v>
      </c>
      <c r="P22" s="1278"/>
      <c r="Q22" s="1287"/>
      <c r="R22" s="1287"/>
      <c r="S22" s="648"/>
      <c r="T22" s="1060" t="s">
        <v>408</v>
      </c>
      <c r="AA22" s="107" t="s">
        <v>409</v>
      </c>
      <c r="AC22" s="107" t="s">
        <v>410</v>
      </c>
      <c r="AD22" s="1060" t="s">
        <v>408</v>
      </c>
      <c r="AI22" s="107" t="s">
        <v>411</v>
      </c>
      <c r="AK22" s="107" t="s">
        <v>410</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405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4058"/>
      <c r="U26" s="4058"/>
      <c r="V26" s="4058"/>
      <c r="W26" s="4058"/>
      <c r="X26" s="4058"/>
      <c r="Y26" s="4058"/>
      <c r="Z26" s="4058"/>
      <c r="AA26" s="4058"/>
      <c r="AB26" s="4058"/>
      <c r="AC26" s="4058"/>
      <c r="AD26" s="4058"/>
      <c r="AE26" s="4058"/>
      <c r="AF26" s="4058"/>
      <c r="AG26" s="4058"/>
      <c r="AH26" s="4058"/>
      <c r="AI26" s="4058"/>
      <c r="AJ26" s="4058"/>
      <c r="AK26" s="1152"/>
    </row>
    <row r="27" spans="1:44" ht="14.25" customHeight="1">
      <c r="Q27" s="305"/>
      <c r="R27" s="305"/>
      <c r="S27" s="4004" t="str">
        <f>IF(org=0,"Не определено",org)</f>
        <v>ООО «РИР-Сахалин»</v>
      </c>
      <c r="T27" s="4004"/>
      <c r="U27" s="4004"/>
      <c r="V27" s="4004"/>
      <c r="W27" s="4004"/>
      <c r="X27" s="4004"/>
      <c r="Y27" s="4004"/>
      <c r="Z27" s="4004"/>
      <c r="AA27" s="4004"/>
      <c r="AB27" s="4004"/>
      <c r="AC27" s="4004"/>
      <c r="AD27" s="4004"/>
      <c r="AE27" s="4004"/>
      <c r="AF27" s="4004"/>
      <c r="AG27" s="4004"/>
      <c r="AH27" s="4004"/>
      <c r="AI27" s="4004"/>
      <c r="AJ27" s="4004"/>
      <c r="AK27" s="1152"/>
    </row>
    <row r="28" spans="1:44" ht="14.25" hidden="1"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2564" customFormat="1" ht="25.5" hidden="1" customHeight="1">
      <c r="A29" s="1284"/>
      <c r="B29" s="1284"/>
      <c r="C29" s="1284"/>
      <c r="D29" s="1284"/>
      <c r="E29" s="1284"/>
      <c r="F29" s="1284"/>
      <c r="G29" s="1284"/>
      <c r="H29" s="1284"/>
      <c r="I29" s="1284"/>
      <c r="J29" s="1284"/>
      <c r="K29" s="1284"/>
      <c r="L29" s="1285"/>
      <c r="M29" s="1284"/>
      <c r="N29" s="1284"/>
      <c r="O29" s="1284"/>
      <c r="S29" s="4066" t="s">
        <v>38</v>
      </c>
      <c r="T29" s="4066"/>
      <c r="U29" s="1288"/>
      <c r="V29" s="4067" t="str">
        <f>IF(TITLE_NAME_OR_PR_CHANGE="",IF(TITLE_NAME_OR_PR="","",TITLE_NAME_OR_PR),TITLE_NAME_OR_PR_CHANGE)</f>
        <v/>
      </c>
      <c r="W29" s="4067"/>
      <c r="X29" s="4067"/>
      <c r="Y29" s="4067"/>
      <c r="Z29" s="4067"/>
      <c r="AA29" s="4067"/>
      <c r="AB29" s="4067"/>
      <c r="AC29" s="253"/>
      <c r="AD29" s="4067" t="str">
        <f>IF(TITLE_NAME_OR_PR_CHANGE="",IF(TITLE_NAME_OR_PR="","",TITLE_NAME_OR_PR),TITLE_NAME_OR_PR_CHANGE)</f>
        <v/>
      </c>
      <c r="AE29" s="4067"/>
      <c r="AF29" s="4067"/>
      <c r="AG29" s="4067"/>
      <c r="AH29" s="4067"/>
      <c r="AI29" s="4067"/>
      <c r="AJ29" s="4067"/>
      <c r="AK29" s="253"/>
      <c r="AL29" s="253"/>
      <c r="AM29" s="200"/>
      <c r="AN29" s="296"/>
      <c r="AO29" s="296"/>
      <c r="AP29" s="296"/>
      <c r="AQ29" s="296"/>
      <c r="AR29" s="296"/>
    </row>
    <row r="30" spans="1:44" s="2564" customFormat="1" ht="18.75" hidden="1" customHeight="1">
      <c r="A30" s="1284"/>
      <c r="B30" s="1284"/>
      <c r="C30" s="1284"/>
      <c r="D30" s="1284"/>
      <c r="E30" s="1284"/>
      <c r="F30" s="1284"/>
      <c r="G30" s="1284"/>
      <c r="H30" s="1284"/>
      <c r="I30" s="1284"/>
      <c r="J30" s="1284"/>
      <c r="K30" s="1284"/>
      <c r="L30" s="1285"/>
      <c r="M30" s="1284"/>
      <c r="N30" s="1284"/>
      <c r="O30" s="1284"/>
      <c r="S30" s="4066" t="s">
        <v>412</v>
      </c>
      <c r="T30" s="4066"/>
      <c r="U30" s="1288"/>
      <c r="V30" s="4076">
        <f>IF(TITLE_DATE_PR_CHANGE="",IF(TITLE_DATE_PR="","",TITLE_DATE_PR),TITLE_DATE_PR_CHANGE)</f>
        <v>45289.465104166666</v>
      </c>
      <c r="W30" s="4076"/>
      <c r="X30" s="4076"/>
      <c r="Y30" s="4076"/>
      <c r="Z30" s="4076"/>
      <c r="AA30" s="4076"/>
      <c r="AB30" s="4076"/>
      <c r="AC30" s="253"/>
      <c r="AD30" s="4076">
        <f>IF(TITLE_DATE_PR_CHANGE="",IF(TITLE_DATE_PR="","",TITLE_DATE_PR),TITLE_DATE_PR_CHANGE)</f>
        <v>45289.465104166666</v>
      </c>
      <c r="AE30" s="4076"/>
      <c r="AF30" s="4076"/>
      <c r="AG30" s="4076"/>
      <c r="AH30" s="4076"/>
      <c r="AI30" s="4076"/>
      <c r="AJ30" s="4076"/>
      <c r="AK30" s="253"/>
      <c r="AL30" s="253"/>
      <c r="AM30" s="200"/>
      <c r="AN30" s="296"/>
      <c r="AO30" s="296"/>
      <c r="AP30" s="296"/>
      <c r="AQ30" s="296"/>
      <c r="AR30" s="296"/>
    </row>
    <row r="31" spans="1:44" s="2564" customFormat="1" ht="18.75" hidden="1" customHeight="1">
      <c r="A31" s="1284"/>
      <c r="B31" s="1284"/>
      <c r="C31" s="1284"/>
      <c r="D31" s="1284"/>
      <c r="E31" s="1284"/>
      <c r="F31" s="1284"/>
      <c r="G31" s="1284"/>
      <c r="H31" s="1284"/>
      <c r="I31" s="1284"/>
      <c r="J31" s="1284"/>
      <c r="K31" s="1284"/>
      <c r="L31" s="1285"/>
      <c r="M31" s="1284"/>
      <c r="N31" s="1284"/>
      <c r="O31" s="1284"/>
      <c r="S31" s="4066" t="s">
        <v>413</v>
      </c>
      <c r="T31" s="4066"/>
      <c r="U31" s="1288"/>
      <c r="V31" s="4067" t="str">
        <f>IF(TITLE_NUMBER_PR_CHANGE="",IF(TITLE_NUMBER_PR="","",TITLE_NUMBER_PR),TITLE_NUMBER_PR_CHANGE)</f>
        <v>761-1/201-1</v>
      </c>
      <c r="W31" s="4067"/>
      <c r="X31" s="4067"/>
      <c r="Y31" s="4067"/>
      <c r="Z31" s="4067"/>
      <c r="AA31" s="4067"/>
      <c r="AB31" s="4067"/>
      <c r="AC31" s="253"/>
      <c r="AD31" s="4067" t="str">
        <f>IF(TITLE_NUMBER_PR_CHANGE="",IF(TITLE_NUMBER_PR="","",TITLE_NUMBER_PR),TITLE_NUMBER_PR_CHANGE)</f>
        <v>761-1/201-1</v>
      </c>
      <c r="AE31" s="4067"/>
      <c r="AF31" s="4067"/>
      <c r="AG31" s="4067"/>
      <c r="AH31" s="4067"/>
      <c r="AI31" s="4067"/>
      <c r="AJ31" s="4067"/>
      <c r="AK31" s="253"/>
      <c r="AL31" s="253"/>
      <c r="AM31" s="200"/>
      <c r="AN31" s="296"/>
      <c r="AO31" s="296"/>
      <c r="AP31" s="296"/>
      <c r="AQ31" s="296"/>
      <c r="AR31" s="296"/>
    </row>
    <row r="32" spans="1:44" s="2564" customFormat="1" ht="18.75" hidden="1" customHeight="1">
      <c r="A32" s="1284"/>
      <c r="B32" s="1284"/>
      <c r="C32" s="1284"/>
      <c r="D32" s="1284"/>
      <c r="E32" s="1284"/>
      <c r="F32" s="1284"/>
      <c r="G32" s="1284"/>
      <c r="H32" s="1284"/>
      <c r="I32" s="1284"/>
      <c r="J32" s="1284"/>
      <c r="K32" s="1284"/>
      <c r="L32" s="1285"/>
      <c r="M32" s="1284"/>
      <c r="N32" s="1284"/>
      <c r="O32" s="1284"/>
      <c r="S32" s="4066" t="s">
        <v>39</v>
      </c>
      <c r="T32" s="4066"/>
      <c r="U32" s="1288"/>
      <c r="V32" s="4067" t="str">
        <f>IF(TITLE_IST_PUB_CHANGE="",IF(TITLE_IST_PUB="","",TITLE_IST_PUB),TITLE_IST_PUB_CHANGE)</f>
        <v/>
      </c>
      <c r="W32" s="4067"/>
      <c r="X32" s="4067"/>
      <c r="Y32" s="4067"/>
      <c r="Z32" s="4067"/>
      <c r="AA32" s="4067"/>
      <c r="AB32" s="4067"/>
      <c r="AC32" s="253"/>
      <c r="AD32" s="4067" t="str">
        <f>IF(TITLE_IST_PUB_CHANGE="",IF(TITLE_IST_PUB="","",TITLE_IST_PUB),TITLE_IST_PUB_CHANGE)</f>
        <v/>
      </c>
      <c r="AE32" s="4067"/>
      <c r="AF32" s="4067"/>
      <c r="AG32" s="4067"/>
      <c r="AH32" s="4067"/>
      <c r="AI32" s="4067"/>
      <c r="AJ32" s="4067"/>
      <c r="AK32" s="253"/>
      <c r="AL32" s="253"/>
      <c r="AM32" s="200"/>
      <c r="AN32" s="296"/>
      <c r="AO32" s="296"/>
      <c r="AP32" s="296"/>
      <c r="AQ32" s="296"/>
      <c r="AR32" s="296"/>
    </row>
    <row r="33" spans="1:44" ht="14.25"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2564" customFormat="1" ht="18.75" customHeight="1">
      <c r="A34" s="1284"/>
      <c r="B34" s="1284"/>
      <c r="C34" s="1284"/>
      <c r="D34" s="1284"/>
      <c r="E34" s="1284"/>
      <c r="F34" s="1284"/>
      <c r="G34" s="1284"/>
      <c r="H34" s="1284"/>
      <c r="I34" s="1284"/>
      <c r="J34" s="1284"/>
      <c r="K34" s="1284"/>
      <c r="L34" s="1285"/>
      <c r="M34" s="1284"/>
      <c r="N34" s="1284"/>
      <c r="O34" s="1284"/>
      <c r="S34" s="4066" t="s">
        <v>414</v>
      </c>
      <c r="T34" s="4066"/>
      <c r="U34" s="1288"/>
      <c r="V34" s="4076">
        <f>IF(TITLE_DATE_PR_CHANGE="",IF(TITLE_DATE_PR="","",TITLE_DATE_PR),TITLE_DATE_PR_CHANGE)</f>
        <v>45289.465104166666</v>
      </c>
      <c r="W34" s="4076"/>
      <c r="X34" s="4076"/>
      <c r="Y34" s="4076"/>
      <c r="Z34" s="4076"/>
      <c r="AA34" s="4076"/>
      <c r="AB34" s="4076"/>
      <c r="AC34" s="253"/>
      <c r="AD34" s="4076">
        <f>IF(TITLE_DATE_PR_CHANGE="",IF(TITLE_DATE_PR="","",TITLE_DATE_PR),TITLE_DATE_PR_CHANGE)</f>
        <v>45289.465104166666</v>
      </c>
      <c r="AE34" s="4076"/>
      <c r="AF34" s="4076"/>
      <c r="AG34" s="4076"/>
      <c r="AH34" s="4076"/>
      <c r="AI34" s="4076"/>
      <c r="AJ34" s="4076"/>
      <c r="AK34" s="253"/>
      <c r="AL34" s="253"/>
      <c r="AM34" s="200"/>
      <c r="AN34" s="296"/>
      <c r="AO34" s="296"/>
      <c r="AP34" s="296"/>
      <c r="AQ34" s="296"/>
      <c r="AR34" s="296"/>
    </row>
    <row r="35" spans="1:44" s="2564" customFormat="1" ht="18.75" customHeight="1">
      <c r="A35" s="1284"/>
      <c r="B35" s="1284"/>
      <c r="C35" s="1284"/>
      <c r="D35" s="1284"/>
      <c r="E35" s="1284"/>
      <c r="F35" s="1284"/>
      <c r="G35" s="1284"/>
      <c r="H35" s="1284"/>
      <c r="I35" s="1284"/>
      <c r="J35" s="1284"/>
      <c r="K35" s="1284"/>
      <c r="L35" s="1285"/>
      <c r="M35" s="1284"/>
      <c r="N35" s="1284"/>
      <c r="O35" s="1284"/>
      <c r="S35" s="4066" t="s">
        <v>415</v>
      </c>
      <c r="T35" s="4066"/>
      <c r="U35" s="1288"/>
      <c r="V35" s="4067" t="str">
        <f>IF(TITLE_NUMBER_PR_CHANGE="",IF(TITLE_NUMBER_PR="","",TITLE_NUMBER_PR),TITLE_NUMBER_PR_CHANGE)</f>
        <v>761-1/201-1</v>
      </c>
      <c r="W35" s="4067"/>
      <c r="X35" s="4067"/>
      <c r="Y35" s="4067"/>
      <c r="Z35" s="4067"/>
      <c r="AA35" s="4067"/>
      <c r="AB35" s="4067"/>
      <c r="AC35" s="253"/>
      <c r="AD35" s="4067" t="str">
        <f>IF(TITLE_NUMBER_PR_CHANGE="",IF(TITLE_NUMBER_PR="","",TITLE_NUMBER_PR),TITLE_NUMBER_PR_CHANGE)</f>
        <v>761-1/201-1</v>
      </c>
      <c r="AE35" s="4067"/>
      <c r="AF35" s="4067"/>
      <c r="AG35" s="4067"/>
      <c r="AH35" s="4067"/>
      <c r="AI35" s="4067"/>
      <c r="AJ35" s="4067"/>
      <c r="AK35" s="253"/>
      <c r="AL35" s="253"/>
      <c r="AM35" s="200"/>
      <c r="AN35" s="296"/>
      <c r="AO35" s="296"/>
      <c r="AP35" s="296"/>
      <c r="AQ35" s="296"/>
      <c r="AR35" s="296"/>
    </row>
    <row r="36" spans="1:44" s="2564"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416</v>
      </c>
      <c r="AD36" s="253"/>
      <c r="AE36" s="253"/>
      <c r="AF36" s="253"/>
      <c r="AG36" s="253"/>
      <c r="AH36" s="253"/>
      <c r="AI36" s="253"/>
      <c r="AJ36" s="253"/>
      <c r="AK36" s="198" t="s">
        <v>416</v>
      </c>
      <c r="AN36" s="296"/>
      <c r="AO36" s="296"/>
      <c r="AP36" s="296"/>
      <c r="AQ36" s="296"/>
      <c r="AR36" s="296"/>
    </row>
    <row r="37" spans="1:44" ht="14.25" customHeight="1">
      <c r="Q37" s="305"/>
      <c r="R37" s="305"/>
      <c r="S37" s="1195"/>
      <c r="T37" s="290"/>
      <c r="U37" s="1153"/>
      <c r="V37" s="4068"/>
      <c r="W37" s="4068"/>
      <c r="X37" s="4068"/>
      <c r="Y37" s="4068"/>
      <c r="Z37" s="4068"/>
      <c r="AA37" s="4068"/>
      <c r="AB37" s="4068"/>
      <c r="AC37" s="4068"/>
      <c r="AD37" s="4068"/>
      <c r="AE37" s="4068"/>
      <c r="AF37" s="4068"/>
      <c r="AG37" s="4068"/>
      <c r="AH37" s="4068"/>
      <c r="AI37" s="4068"/>
      <c r="AJ37" s="4068"/>
      <c r="AK37" s="4068"/>
    </row>
    <row r="38" spans="1:44" ht="14.25" customHeight="1">
      <c r="Q38" s="305"/>
      <c r="R38" s="305"/>
      <c r="S38" s="3946" t="s">
        <v>290</v>
      </c>
      <c r="T38" s="3946"/>
      <c r="U38" s="3946"/>
      <c r="V38" s="3946"/>
      <c r="W38" s="3946"/>
      <c r="X38" s="3946"/>
      <c r="Y38" s="3946"/>
      <c r="Z38" s="3946"/>
      <c r="AA38" s="3946"/>
      <c r="AB38" s="3946"/>
      <c r="AC38" s="3946"/>
      <c r="AD38" s="3946"/>
      <c r="AE38" s="3946"/>
      <c r="AF38" s="3946"/>
      <c r="AG38" s="3946"/>
      <c r="AH38" s="3946"/>
      <c r="AI38" s="3946"/>
      <c r="AJ38" s="3946"/>
      <c r="AK38" s="3946"/>
      <c r="AL38" s="3946"/>
      <c r="AM38" s="3946" t="s">
        <v>291</v>
      </c>
    </row>
    <row r="39" spans="1:44" ht="14.25" customHeight="1">
      <c r="Q39" s="305"/>
      <c r="R39" s="305"/>
      <c r="S39" s="4082" t="s">
        <v>86</v>
      </c>
      <c r="T39" s="4033" t="s">
        <v>418</v>
      </c>
      <c r="U39" s="220"/>
      <c r="V39" s="4083" t="s">
        <v>419</v>
      </c>
      <c r="W39" s="4084"/>
      <c r="X39" s="4084"/>
      <c r="Y39" s="4084"/>
      <c r="Z39" s="4084"/>
      <c r="AA39" s="4084"/>
      <c r="AB39" s="4085"/>
      <c r="AC39" s="4086" t="s">
        <v>420</v>
      </c>
      <c r="AD39" s="4083" t="s">
        <v>419</v>
      </c>
      <c r="AE39" s="4084"/>
      <c r="AF39" s="4084"/>
      <c r="AG39" s="4084"/>
      <c r="AH39" s="4084"/>
      <c r="AI39" s="4084"/>
      <c r="AJ39" s="4085"/>
      <c r="AK39" s="4086" t="s">
        <v>421</v>
      </c>
      <c r="AL39" s="4089" t="s">
        <v>422</v>
      </c>
      <c r="AM39" s="3946"/>
    </row>
    <row r="40" spans="1:44" ht="33.75" customHeight="1">
      <c r="Q40" s="305"/>
      <c r="R40" s="305"/>
      <c r="S40" s="4082"/>
      <c r="T40" s="4033"/>
      <c r="U40" s="938"/>
      <c r="V40" s="4003" t="s">
        <v>423</v>
      </c>
      <c r="W40" s="4092"/>
      <c r="X40" s="3918" t="s">
        <v>425</v>
      </c>
      <c r="Y40" s="3917"/>
      <c r="Z40" s="3918" t="s">
        <v>426</v>
      </c>
      <c r="AA40" s="3923"/>
      <c r="AB40" s="3917"/>
      <c r="AC40" s="4087"/>
      <c r="AD40" s="4003" t="s">
        <v>423</v>
      </c>
      <c r="AE40" s="4092"/>
      <c r="AF40" s="3918" t="s">
        <v>425</v>
      </c>
      <c r="AG40" s="3917"/>
      <c r="AH40" s="3918" t="s">
        <v>426</v>
      </c>
      <c r="AI40" s="3923"/>
      <c r="AJ40" s="3917"/>
      <c r="AK40" s="4087"/>
      <c r="AL40" s="4090"/>
      <c r="AM40" s="3946"/>
    </row>
    <row r="41" spans="1:44" ht="33.75" customHeight="1">
      <c r="A41" s="1286"/>
      <c r="B41" s="1286" t="s">
        <v>133</v>
      </c>
      <c r="C41" s="1286" t="s">
        <v>134</v>
      </c>
      <c r="D41" s="1286" t="s">
        <v>135</v>
      </c>
      <c r="E41" s="1280" t="s">
        <v>427</v>
      </c>
      <c r="F41" s="1280" t="s">
        <v>428</v>
      </c>
      <c r="G41" s="1280" t="s">
        <v>429</v>
      </c>
      <c r="H41" s="1280" t="s">
        <v>430</v>
      </c>
      <c r="I41" s="1280" t="s">
        <v>431</v>
      </c>
      <c r="J41" s="1280" t="s">
        <v>432</v>
      </c>
      <c r="K41" s="1280" t="s">
        <v>433</v>
      </c>
      <c r="L41" s="1280" t="s">
        <v>407</v>
      </c>
      <c r="Q41" s="305"/>
      <c r="R41" s="305"/>
      <c r="S41" s="4082"/>
      <c r="T41" s="4033"/>
      <c r="U41" s="221"/>
      <c r="V41" s="4053"/>
      <c r="W41" s="4093"/>
      <c r="X41" s="1128" t="s">
        <v>434</v>
      </c>
      <c r="Y41" s="1128" t="s">
        <v>435</v>
      </c>
      <c r="Z41" s="1255" t="s">
        <v>436</v>
      </c>
      <c r="AA41" s="4042" t="s">
        <v>437</v>
      </c>
      <c r="AB41" s="4044"/>
      <c r="AC41" s="4088"/>
      <c r="AD41" s="4053"/>
      <c r="AE41" s="4093"/>
      <c r="AF41" s="1128" t="s">
        <v>434</v>
      </c>
      <c r="AG41" s="1128" t="s">
        <v>435</v>
      </c>
      <c r="AH41" s="1255" t="s">
        <v>436</v>
      </c>
      <c r="AI41" s="4042" t="s">
        <v>437</v>
      </c>
      <c r="AJ41" s="4044"/>
      <c r="AK41" s="4088"/>
      <c r="AL41" s="4091"/>
      <c r="AM41" s="3946"/>
    </row>
    <row r="42" spans="1:44" s="1820"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107</v>
      </c>
      <c r="T42" s="1172" t="s">
        <v>108</v>
      </c>
      <c r="U42" s="1154" t="str">
        <f ca="1">OFFSET(U42,0,-1)</f>
        <v>2</v>
      </c>
      <c r="V42" s="1252">
        <f ca="1">OFFSET(V42,0,-1)+1</f>
        <v>3</v>
      </c>
      <c r="W42" s="1252"/>
      <c r="X42" s="1252">
        <f ca="1">OFFSET(X42,0,-1)+1</f>
        <v>1</v>
      </c>
      <c r="Y42" s="1252">
        <f ca="1">OFFSET(Y42,0,-1)+1</f>
        <v>2</v>
      </c>
      <c r="Z42" s="1252">
        <f ca="1">OFFSET(Z42,0,-1)+1</f>
        <v>3</v>
      </c>
      <c r="AA42" s="4081">
        <f ca="1">OFFSET(AA42,0,-1)+1</f>
        <v>4</v>
      </c>
      <c r="AB42" s="4081"/>
      <c r="AC42" s="1252">
        <f ca="1">OFFSET(AC42,0,-2)+1</f>
        <v>5</v>
      </c>
      <c r="AD42" s="1252">
        <f ca="1">OFFSET(AD42,0,-1)+1</f>
        <v>6</v>
      </c>
      <c r="AE42" s="1252"/>
      <c r="AF42" s="1252">
        <f ca="1">OFFSET(AF42,0,-1)+1</f>
        <v>1</v>
      </c>
      <c r="AG42" s="1252">
        <f ca="1">OFFSET(AG42,0,-1)+1</f>
        <v>2</v>
      </c>
      <c r="AH42" s="1252">
        <f ca="1">OFFSET(AH42,0,-1)+1</f>
        <v>3</v>
      </c>
      <c r="AI42" s="4081">
        <f ca="1">OFFSET(AI42,0,-1)+1</f>
        <v>4</v>
      </c>
      <c r="AJ42" s="4081"/>
      <c r="AK42" s="1252">
        <f ca="1">OFFSET(AK42,0,-2)+1</f>
        <v>5</v>
      </c>
      <c r="AL42" s="1154">
        <f ca="1">OFFSET(AL42,0,-1)</f>
        <v>5</v>
      </c>
      <c r="AM42" s="1252">
        <f ca="1">OFFSET(AM42,0,-1)+1</f>
        <v>6</v>
      </c>
      <c r="AN42" s="437"/>
      <c r="AO42" s="437"/>
      <c r="AP42" s="437"/>
      <c r="AQ42" s="437"/>
      <c r="AR42" s="437"/>
    </row>
    <row r="43" spans="1:44" ht="21" customHeight="1">
      <c r="A43" s="1279" t="s">
        <v>172</v>
      </c>
      <c r="B43" s="1279"/>
      <c r="C43" s="1279"/>
      <c r="D43" s="1279"/>
      <c r="E43" s="4074">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121</v>
      </c>
      <c r="U43" s="219"/>
      <c r="V43" s="4060"/>
      <c r="W43" s="4061"/>
      <c r="X43" s="4061"/>
      <c r="Y43" s="4061"/>
      <c r="Z43" s="4061"/>
      <c r="AA43" s="4061"/>
      <c r="AB43" s="4061"/>
      <c r="AC43" s="4062"/>
      <c r="AD43" s="4060" t="str">
        <f>INDEX(PT_DIFFERENTIATION_NTAR,MATCH(A43,PT_DIFFERENTIATION_NTAR_ID,0))</f>
        <v/>
      </c>
      <c r="AE43" s="4061"/>
      <c r="AF43" s="4061"/>
      <c r="AG43" s="4061"/>
      <c r="AH43" s="4061"/>
      <c r="AI43" s="4061"/>
      <c r="AJ43" s="4061"/>
      <c r="AK43" s="4061"/>
      <c r="AL43" s="4062"/>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79" t="s">
        <v>172</v>
      </c>
      <c r="B44" s="1279" t="s">
        <v>173</v>
      </c>
      <c r="C44" s="1279"/>
      <c r="D44" s="1279"/>
      <c r="E44" s="4075"/>
      <c r="F44" s="4074">
        <v>1</v>
      </c>
      <c r="G44" s="1279"/>
      <c r="H44" s="1279"/>
      <c r="I44" s="1279"/>
      <c r="J44" s="1279"/>
      <c r="K44" s="1279"/>
      <c r="L44" s="1280"/>
      <c r="M44" s="1281"/>
      <c r="N44" s="1281"/>
      <c r="O44" s="1281"/>
      <c r="P44" s="1249"/>
      <c r="Q44" s="277"/>
      <c r="R44" s="278"/>
      <c r="S44" s="1253" t="str">
        <f>INDEX(PT_DIFFERENTIATION_NUM_TER,MATCH(B44,PT_DIFFERENTIATION_TER_ID,0))</f>
        <v>.</v>
      </c>
      <c r="T44" s="229" t="s">
        <v>389</v>
      </c>
      <c r="U44" s="219"/>
      <c r="V44" s="4060"/>
      <c r="W44" s="4061"/>
      <c r="X44" s="4061"/>
      <c r="Y44" s="4061"/>
      <c r="Z44" s="4061"/>
      <c r="AA44" s="4061"/>
      <c r="AB44" s="4061"/>
      <c r="AC44" s="4062"/>
      <c r="AD44" s="4060" t="str">
        <f>INDEX(PT_DIFFERENTIATION_TER,MATCH(B44,PT_DIFFERENTIATION_TER_ID,0))</f>
        <v/>
      </c>
      <c r="AE44" s="4061"/>
      <c r="AF44" s="4061"/>
      <c r="AG44" s="4061"/>
      <c r="AH44" s="4061"/>
      <c r="AI44" s="4061"/>
      <c r="AJ44" s="4061"/>
      <c r="AK44" s="4061"/>
      <c r="AL44" s="4062"/>
      <c r="AM44" s="1177" t="s">
        <v>390</v>
      </c>
      <c r="AO44" s="426"/>
      <c r="AP44" s="426" t="str">
        <f t="shared" si="1"/>
        <v>Территория действия тарифа</v>
      </c>
      <c r="AQ44" s="426"/>
      <c r="AR44" s="426"/>
    </row>
    <row r="45" spans="1:44" ht="23.25" customHeight="1">
      <c r="A45" s="1279" t="s">
        <v>172</v>
      </c>
      <c r="B45" s="1279" t="s">
        <v>173</v>
      </c>
      <c r="C45" s="1279" t="s">
        <v>174</v>
      </c>
      <c r="D45" s="1279"/>
      <c r="E45" s="4075"/>
      <c r="F45" s="4075"/>
      <c r="G45" s="4074">
        <v>1</v>
      </c>
      <c r="H45" s="1279"/>
      <c r="I45" s="1279"/>
      <c r="J45" s="1279"/>
      <c r="K45" s="1279"/>
      <c r="L45" s="1280"/>
      <c r="M45" s="1281"/>
      <c r="N45" s="1281"/>
      <c r="O45" s="1281"/>
      <c r="P45" s="279"/>
      <c r="Q45" s="277"/>
      <c r="R45" s="278"/>
      <c r="S45" s="1253" t="str">
        <f>INDEX(PT_DIFFERENTIATION_NUM_CS,MATCH(C45,PT_DIFFERENTIATION_CS_ID,0))</f>
        <v>..</v>
      </c>
      <c r="T45" s="230" t="s">
        <v>391</v>
      </c>
      <c r="U45" s="219"/>
      <c r="V45" s="4060"/>
      <c r="W45" s="4061"/>
      <c r="X45" s="4061"/>
      <c r="Y45" s="4061"/>
      <c r="Z45" s="4061"/>
      <c r="AA45" s="4061"/>
      <c r="AB45" s="4061"/>
      <c r="AC45" s="4062"/>
      <c r="AD45" s="4060" t="str">
        <f>INDEX(PT_DIFFERENTIATION_CS,MATCH(C45,PT_DIFFERENTIATION_CS_ID,0))</f>
        <v/>
      </c>
      <c r="AE45" s="4061"/>
      <c r="AF45" s="4061"/>
      <c r="AG45" s="4061"/>
      <c r="AH45" s="4061"/>
      <c r="AI45" s="4061"/>
      <c r="AJ45" s="4061"/>
      <c r="AK45" s="4061"/>
      <c r="AL45" s="4062"/>
      <c r="AM45" s="1177" t="s">
        <v>392</v>
      </c>
      <c r="AO45" s="426"/>
      <c r="AP45" s="426" t="str">
        <f t="shared" si="1"/>
        <v xml:space="preserve">Наименование системы теплоснабжения </v>
      </c>
      <c r="AQ45" s="426"/>
      <c r="AR45" s="426"/>
    </row>
    <row r="46" spans="1:44" ht="21" customHeight="1">
      <c r="A46" s="1279" t="s">
        <v>172</v>
      </c>
      <c r="B46" s="1279" t="s">
        <v>173</v>
      </c>
      <c r="C46" s="1279" t="s">
        <v>174</v>
      </c>
      <c r="D46" s="1279" t="s">
        <v>175</v>
      </c>
      <c r="E46" s="4075"/>
      <c r="F46" s="4075"/>
      <c r="G46" s="4075"/>
      <c r="H46" s="4074">
        <v>1</v>
      </c>
      <c r="I46" s="1279"/>
      <c r="J46" s="1279"/>
      <c r="K46" s="1279"/>
      <c r="L46" s="1280"/>
      <c r="M46" s="1281"/>
      <c r="N46" s="1281"/>
      <c r="O46" s="1281"/>
      <c r="P46" s="279"/>
      <c r="Q46" s="277"/>
      <c r="R46" s="278"/>
      <c r="S46" s="1253" t="str">
        <f>INDEX(PT_DIFFERENTIATION_NUM_IST_TE,MATCH(D46,PT_DIFFERENTIATION_IST_TE_ID,0))</f>
        <v>...</v>
      </c>
      <c r="T46" s="231" t="s">
        <v>393</v>
      </c>
      <c r="U46" s="219"/>
      <c r="V46" s="4060"/>
      <c r="W46" s="4061"/>
      <c r="X46" s="4061"/>
      <c r="Y46" s="4061"/>
      <c r="Z46" s="4061"/>
      <c r="AA46" s="4061"/>
      <c r="AB46" s="4061"/>
      <c r="AC46" s="4062"/>
      <c r="AD46" s="4060" t="str">
        <f>INDEX(PT_DIFFERENTIATION_IST_TE,MATCH(D46,PT_DIFFERENTIATION_IST_TE_ID,0))</f>
        <v/>
      </c>
      <c r="AE46" s="4061"/>
      <c r="AF46" s="4061"/>
      <c r="AG46" s="4061"/>
      <c r="AH46" s="4061"/>
      <c r="AI46" s="4061"/>
      <c r="AJ46" s="4061"/>
      <c r="AK46" s="4061"/>
      <c r="AL46" s="4062"/>
      <c r="AM46" s="1177" t="s">
        <v>394</v>
      </c>
      <c r="AO46" s="426"/>
      <c r="AP46" s="426" t="str">
        <f t="shared" si="1"/>
        <v xml:space="preserve">Источник тепловой энергии  </v>
      </c>
      <c r="AQ46" s="426"/>
      <c r="AR46" s="426"/>
    </row>
    <row r="47" spans="1:44" s="1821" customFormat="1" ht="0" hidden="1" customHeight="1">
      <c r="A47" s="1260" t="s">
        <v>172</v>
      </c>
      <c r="B47" s="1260" t="s">
        <v>173</v>
      </c>
      <c r="C47" s="1260" t="s">
        <v>174</v>
      </c>
      <c r="D47" s="1260" t="s">
        <v>175</v>
      </c>
      <c r="E47" s="4075"/>
      <c r="F47" s="4075"/>
      <c r="G47" s="4075"/>
      <c r="H47" s="4075"/>
      <c r="I47" s="4072" t="str">
        <f>S46&amp;".1"</f>
        <v>....1</v>
      </c>
      <c r="J47" s="1260"/>
      <c r="K47" s="1260"/>
      <c r="L47" s="1263" t="s">
        <v>395</v>
      </c>
      <c r="M47" s="436"/>
      <c r="N47" s="436"/>
      <c r="O47" s="436"/>
      <c r="P47" s="4073">
        <v>1</v>
      </c>
      <c r="Q47" s="1248"/>
      <c r="R47" s="281"/>
      <c r="S47" s="949"/>
      <c r="T47" s="1299"/>
      <c r="U47" s="1300"/>
      <c r="V47" s="4101"/>
      <c r="W47" s="4102"/>
      <c r="X47" s="4102"/>
      <c r="Y47" s="4102"/>
      <c r="Z47" s="4102"/>
      <c r="AA47" s="4102"/>
      <c r="AB47" s="4102"/>
      <c r="AC47" s="4103"/>
      <c r="AD47" s="4101"/>
      <c r="AE47" s="4102"/>
      <c r="AF47" s="4102"/>
      <c r="AG47" s="4102"/>
      <c r="AH47" s="4102"/>
      <c r="AI47" s="4102"/>
      <c r="AJ47" s="4102"/>
      <c r="AK47" s="4102"/>
      <c r="AL47" s="4103"/>
      <c r="AM47" s="1301"/>
      <c r="AO47" s="426"/>
      <c r="AP47" s="426" t="str">
        <f t="shared" si="1"/>
        <v/>
      </c>
      <c r="AQ47" s="426"/>
      <c r="AR47" s="426"/>
    </row>
    <row r="48" spans="1:44" ht="21" customHeight="1">
      <c r="A48" s="1279" t="s">
        <v>172</v>
      </c>
      <c r="B48" s="1279" t="s">
        <v>173</v>
      </c>
      <c r="C48" s="1279" t="s">
        <v>174</v>
      </c>
      <c r="D48" s="1279" t="s">
        <v>175</v>
      </c>
      <c r="E48" s="4075"/>
      <c r="F48" s="4075"/>
      <c r="G48" s="4075"/>
      <c r="H48" s="4075"/>
      <c r="I48" s="4095"/>
      <c r="J48" s="4072" t="str">
        <f>S46&amp;".1"</f>
        <v>....1</v>
      </c>
      <c r="K48" s="1279"/>
      <c r="L48" s="1280" t="s">
        <v>398</v>
      </c>
      <c r="P48" s="4073"/>
      <c r="Q48" s="4073">
        <v>1</v>
      </c>
      <c r="R48" s="282"/>
      <c r="S48" s="1253" t="str">
        <f>$J48</f>
        <v>....1</v>
      </c>
      <c r="T48" s="205" t="s">
        <v>399</v>
      </c>
      <c r="U48" s="219"/>
      <c r="V48" s="4063"/>
      <c r="W48" s="4064"/>
      <c r="X48" s="4064"/>
      <c r="Y48" s="4064"/>
      <c r="Z48" s="4064"/>
      <c r="AA48" s="4064"/>
      <c r="AB48" s="4064"/>
      <c r="AC48" s="4065"/>
      <c r="AD48" s="4063"/>
      <c r="AE48" s="4064"/>
      <c r="AF48" s="4064"/>
      <c r="AG48" s="4064"/>
      <c r="AH48" s="4064"/>
      <c r="AI48" s="4064"/>
      <c r="AJ48" s="4064"/>
      <c r="AK48" s="4064"/>
      <c r="AL48" s="4065"/>
      <c r="AM48" s="1177" t="s">
        <v>400</v>
      </c>
      <c r="AO48" s="426"/>
      <c r="AP48" s="426" t="str">
        <f t="shared" si="1"/>
        <v>Группа потребителей</v>
      </c>
      <c r="AQ48" s="426"/>
      <c r="AR48" s="426"/>
    </row>
    <row r="49" spans="1:44" ht="21" customHeight="1">
      <c r="A49" s="1279" t="s">
        <v>172</v>
      </c>
      <c r="B49" s="1279" t="s">
        <v>173</v>
      </c>
      <c r="C49" s="1279" t="s">
        <v>174</v>
      </c>
      <c r="D49" s="1279" t="s">
        <v>175</v>
      </c>
      <c r="E49" s="4075"/>
      <c r="F49" s="4075"/>
      <c r="G49" s="4075"/>
      <c r="H49" s="4075"/>
      <c r="I49" s="4095"/>
      <c r="J49" s="4095"/>
      <c r="K49" s="4072" t="str">
        <f>J48&amp;".1"</f>
        <v>....1.1</v>
      </c>
      <c r="L49" s="1280" t="s">
        <v>401</v>
      </c>
      <c r="P49" s="4073"/>
      <c r="Q49" s="4073"/>
      <c r="R49" s="282">
        <v>1</v>
      </c>
      <c r="S49" s="1253" t="str">
        <f>$K49</f>
        <v>....1.1</v>
      </c>
      <c r="T49" s="1264"/>
      <c r="U49" s="219"/>
      <c r="V49" s="668"/>
      <c r="W49" s="251"/>
      <c r="X49" s="668"/>
      <c r="Y49" s="1176"/>
      <c r="Z49" s="4077"/>
      <c r="AA49" s="3927" t="s">
        <v>65</v>
      </c>
      <c r="AB49" s="4077"/>
      <c r="AC49" s="3927" t="s">
        <v>65</v>
      </c>
      <c r="AD49" s="668"/>
      <c r="AE49" s="251"/>
      <c r="AF49" s="668"/>
      <c r="AG49" s="1176"/>
      <c r="AH49" s="4077"/>
      <c r="AI49" s="3927" t="s">
        <v>65</v>
      </c>
      <c r="AJ49" s="4096"/>
      <c r="AK49" s="3927" t="s">
        <v>65</v>
      </c>
      <c r="AL49" s="1265"/>
      <c r="AM49" s="4069" t="s">
        <v>441</v>
      </c>
      <c r="AN49" s="437" t="e">
        <f ca="1">STRCHECKDATE(V50:AL50)</f>
        <v>#NAME?</v>
      </c>
      <c r="AO49" s="426"/>
      <c r="AP49" s="426" t="str">
        <f t="shared" si="1"/>
        <v/>
      </c>
      <c r="AQ49" s="426"/>
      <c r="AR49" s="426"/>
    </row>
    <row r="50" spans="1:44" ht="0.75" customHeight="1">
      <c r="A50" s="1279" t="s">
        <v>172</v>
      </c>
      <c r="B50" s="1279" t="s">
        <v>173</v>
      </c>
      <c r="C50" s="1279" t="s">
        <v>174</v>
      </c>
      <c r="D50" s="1279" t="s">
        <v>175</v>
      </c>
      <c r="E50" s="4075"/>
      <c r="F50" s="4075"/>
      <c r="G50" s="4075"/>
      <c r="H50" s="4075"/>
      <c r="I50" s="4095"/>
      <c r="J50" s="4095"/>
      <c r="K50" s="4072"/>
      <c r="L50" s="1280"/>
      <c r="P50" s="4073"/>
      <c r="Q50" s="4073"/>
      <c r="R50" s="282"/>
      <c r="S50" s="1259"/>
      <c r="T50" s="219"/>
      <c r="U50" s="219"/>
      <c r="V50" s="251"/>
      <c r="W50" s="251"/>
      <c r="X50" s="251"/>
      <c r="Y50" s="255" t="str">
        <f>Z49&amp;"-"&amp;AB49</f>
        <v>-</v>
      </c>
      <c r="Z50" s="4078"/>
      <c r="AA50" s="3927"/>
      <c r="AB50" s="4078"/>
      <c r="AC50" s="3927"/>
      <c r="AD50" s="251"/>
      <c r="AE50" s="251"/>
      <c r="AF50" s="251"/>
      <c r="AG50" s="255" t="str">
        <f>AH49&amp;"-"&amp;AJ49</f>
        <v>-</v>
      </c>
      <c r="AH50" s="4078"/>
      <c r="AI50" s="3927"/>
      <c r="AJ50" s="4097"/>
      <c r="AK50" s="3927"/>
      <c r="AL50" s="1266"/>
      <c r="AM50" s="4070"/>
      <c r="AO50" s="426"/>
      <c r="AP50" s="426" t="str">
        <f t="shared" si="1"/>
        <v/>
      </c>
      <c r="AQ50" s="426"/>
      <c r="AR50" s="426"/>
    </row>
    <row r="51" spans="1:44" ht="11.25" customHeight="1">
      <c r="A51" s="1279" t="s">
        <v>172</v>
      </c>
      <c r="B51" s="1279" t="s">
        <v>173</v>
      </c>
      <c r="C51" s="1279" t="s">
        <v>174</v>
      </c>
      <c r="D51" s="1279" t="s">
        <v>175</v>
      </c>
      <c r="E51" s="4075"/>
      <c r="F51" s="4075"/>
      <c r="G51" s="4075"/>
      <c r="H51" s="4075"/>
      <c r="I51" s="4095"/>
      <c r="J51" s="4072"/>
      <c r="K51" s="1279"/>
      <c r="L51" s="1280"/>
      <c r="P51" s="4073"/>
      <c r="Q51" s="4073"/>
      <c r="R51" s="281"/>
      <c r="S51" s="1198"/>
      <c r="T51" s="206" t="s">
        <v>403</v>
      </c>
      <c r="U51" s="295"/>
      <c r="V51" s="295"/>
      <c r="W51" s="295"/>
      <c r="X51" s="295"/>
      <c r="Y51" s="295"/>
      <c r="Z51" s="295"/>
      <c r="AA51" s="295"/>
      <c r="AB51" s="295"/>
      <c r="AC51" s="295"/>
      <c r="AD51" s="295"/>
      <c r="AE51" s="295"/>
      <c r="AF51" s="295"/>
      <c r="AG51" s="295"/>
      <c r="AH51" s="295"/>
      <c r="AI51" s="295"/>
      <c r="AJ51" s="295"/>
      <c r="AK51" s="295"/>
      <c r="AL51" s="250"/>
      <c r="AM51" s="4071"/>
      <c r="AO51" s="426"/>
      <c r="AP51" s="426" t="str">
        <f t="shared" si="1"/>
        <v>Добавить вид теплоносителя (параметры теплоносителя)</v>
      </c>
      <c r="AQ51" s="426"/>
      <c r="AR51" s="426"/>
    </row>
    <row r="52" spans="1:44" ht="11.25" customHeight="1">
      <c r="A52" s="1279" t="s">
        <v>172</v>
      </c>
      <c r="B52" s="1279" t="s">
        <v>173</v>
      </c>
      <c r="C52" s="1279" t="s">
        <v>174</v>
      </c>
      <c r="D52" s="1279" t="s">
        <v>175</v>
      </c>
      <c r="E52" s="4075"/>
      <c r="F52" s="4075"/>
      <c r="G52" s="4075"/>
      <c r="H52" s="4075"/>
      <c r="I52" s="4072"/>
      <c r="J52" s="1279"/>
      <c r="K52" s="1279"/>
      <c r="L52" s="1280"/>
      <c r="P52" s="4073"/>
      <c r="Q52" s="1248"/>
      <c r="R52" s="281"/>
      <c r="S52" s="1198"/>
      <c r="T52" s="292" t="s">
        <v>404</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172</v>
      </c>
      <c r="B53" s="1279" t="s">
        <v>173</v>
      </c>
      <c r="C53" s="1279" t="s">
        <v>174</v>
      </c>
      <c r="D53" s="1279" t="s">
        <v>175</v>
      </c>
      <c r="E53" s="4075"/>
      <c r="F53" s="4075"/>
      <c r="G53" s="4075"/>
      <c r="H53" s="4074"/>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2550" customFormat="1" ht="0.75" customHeight="1">
      <c r="A54" s="1260" t="s">
        <v>172</v>
      </c>
      <c r="B54" s="1260" t="s">
        <v>173</v>
      </c>
      <c r="C54" s="1260" t="s">
        <v>174</v>
      </c>
      <c r="D54" s="1232"/>
      <c r="E54" s="4075"/>
      <c r="F54" s="4075"/>
      <c r="G54" s="4074"/>
      <c r="H54" s="1232"/>
      <c r="I54" s="1232"/>
      <c r="J54" s="1232"/>
      <c r="K54" s="1232"/>
      <c r="L54" s="1256"/>
      <c r="M54" s="1233"/>
      <c r="N54" s="1233"/>
      <c r="P54" s="1234"/>
      <c r="Q54" s="1235"/>
      <c r="R54" s="1234"/>
      <c r="S54" s="1240"/>
      <c r="T54" s="1243" t="s">
        <v>166</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2550" customFormat="1" ht="0.75" customHeight="1">
      <c r="A55" s="1260" t="s">
        <v>172</v>
      </c>
      <c r="B55" s="1260" t="s">
        <v>173</v>
      </c>
      <c r="C55" s="1232"/>
      <c r="D55" s="1232"/>
      <c r="E55" s="4075"/>
      <c r="F55" s="4074"/>
      <c r="G55" s="1232"/>
      <c r="H55" s="1232"/>
      <c r="I55" s="1232"/>
      <c r="J55" s="1232"/>
      <c r="K55" s="1232"/>
      <c r="L55" s="1256"/>
      <c r="M55" s="1239"/>
      <c r="N55" s="1239"/>
      <c r="P55" s="1234"/>
      <c r="Q55" s="1235"/>
      <c r="R55" s="1234"/>
      <c r="S55" s="1240"/>
      <c r="T55" s="1243" t="s">
        <v>167</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21" customFormat="1" ht="0.75" customHeight="1">
      <c r="A56" s="1260" t="s">
        <v>172</v>
      </c>
      <c r="B56" s="1260"/>
      <c r="C56" s="1260"/>
      <c r="D56" s="1260"/>
      <c r="E56" s="4074"/>
      <c r="F56" s="1260"/>
      <c r="G56" s="1260"/>
      <c r="H56" s="1260"/>
      <c r="I56" s="1260"/>
      <c r="J56" s="1260"/>
      <c r="K56" s="1260"/>
      <c r="L56" s="1263"/>
      <c r="M56" s="1239"/>
      <c r="N56" s="1239"/>
      <c r="O56" s="444"/>
      <c r="P56" s="313"/>
      <c r="Q56" s="1261"/>
      <c r="R56" s="313"/>
      <c r="S56" s="1240"/>
      <c r="T56" s="1243" t="s">
        <v>168</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2550"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169</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18.75" customHeight="1">
      <c r="O59" s="462"/>
      <c r="S59" s="1164"/>
      <c r="T59" s="4094"/>
      <c r="U59" s="4094"/>
      <c r="V59" s="4094"/>
      <c r="W59" s="4094"/>
      <c r="X59" s="4094"/>
      <c r="Y59" s="4094"/>
      <c r="Z59" s="4094"/>
      <c r="AA59" s="4094"/>
      <c r="AB59" s="4094"/>
      <c r="AC59" s="4094"/>
      <c r="AD59" s="4094"/>
      <c r="AE59" s="4094"/>
      <c r="AF59" s="4094"/>
      <c r="AG59" s="4094"/>
      <c r="AH59" s="4094"/>
      <c r="AI59" s="4094"/>
      <c r="AJ59" s="4094"/>
      <c r="AK59" s="4094"/>
      <c r="AL59" s="4094"/>
      <c r="AM59" s="4094"/>
    </row>
    <row r="60" spans="1:44" ht="27.75" customHeight="1">
      <c r="O60" s="462"/>
      <c r="T60" s="4094"/>
      <c r="U60" s="4094"/>
      <c r="V60" s="4094"/>
      <c r="W60" s="4094"/>
      <c r="X60" s="4094"/>
      <c r="Y60" s="4094"/>
      <c r="Z60" s="4094"/>
      <c r="AA60" s="4094"/>
      <c r="AB60" s="4094"/>
      <c r="AC60" s="4094"/>
      <c r="AD60" s="4094"/>
      <c r="AE60" s="4094"/>
      <c r="AF60" s="4094"/>
      <c r="AG60" s="4094"/>
      <c r="AH60" s="4094"/>
      <c r="AI60" s="4094"/>
      <c r="AJ60" s="4094"/>
      <c r="AK60" s="4094"/>
      <c r="AL60" s="4094"/>
      <c r="AM60" s="4094"/>
    </row>
    <row r="61" spans="1:44" ht="39.75" customHeight="1">
      <c r="O61" s="462"/>
      <c r="T61" s="4094"/>
      <c r="U61" s="4094"/>
      <c r="V61" s="4094"/>
      <c r="W61" s="4094"/>
      <c r="X61" s="4094"/>
      <c r="Y61" s="4094"/>
      <c r="Z61" s="4094"/>
      <c r="AA61" s="4094"/>
      <c r="AB61" s="4094"/>
      <c r="AC61" s="4094"/>
      <c r="AD61" s="4094"/>
      <c r="AE61" s="4094"/>
      <c r="AF61" s="4094"/>
      <c r="AG61" s="4094"/>
      <c r="AH61" s="4094"/>
      <c r="AI61" s="4094"/>
      <c r="AJ61" s="4094"/>
      <c r="AK61" s="4094"/>
      <c r="AL61" s="4094"/>
      <c r="AM61" s="4094"/>
    </row>
    <row r="62" spans="1:44" ht="14.25" customHeight="1">
      <c r="O62" s="462"/>
    </row>
    <row r="63" spans="1:44" ht="19.5" customHeight="1">
      <c r="O63" s="462"/>
      <c r="S63" s="1164"/>
      <c r="T63" s="3995"/>
      <c r="U63" s="4094"/>
      <c r="V63" s="4094"/>
      <c r="W63" s="4094"/>
      <c r="X63" s="4094"/>
      <c r="Y63" s="4094"/>
      <c r="Z63" s="4094"/>
      <c r="AA63" s="4094"/>
      <c r="AB63" s="4094"/>
      <c r="AC63" s="4094"/>
      <c r="AD63" s="4094"/>
      <c r="AE63" s="4094"/>
      <c r="AF63" s="4094"/>
      <c r="AG63" s="4094"/>
      <c r="AH63" s="4094"/>
      <c r="AI63" s="4094"/>
      <c r="AJ63" s="4094"/>
      <c r="AK63" s="4094"/>
      <c r="AL63" s="4094"/>
      <c r="AM63" s="4094"/>
    </row>
    <row r="64" spans="1:44" ht="27.75" customHeight="1">
      <c r="O64" s="462"/>
      <c r="T64" s="4094"/>
      <c r="U64" s="4094"/>
      <c r="V64" s="4094"/>
      <c r="W64" s="4094"/>
      <c r="X64" s="4094"/>
      <c r="Y64" s="4094"/>
      <c r="Z64" s="4094"/>
      <c r="AA64" s="4094"/>
      <c r="AB64" s="4094"/>
      <c r="AC64" s="4094"/>
      <c r="AD64" s="4094"/>
      <c r="AE64" s="4094"/>
      <c r="AF64" s="4094"/>
      <c r="AG64" s="4094"/>
      <c r="AH64" s="4094"/>
      <c r="AI64" s="4094"/>
      <c r="AJ64" s="4094"/>
      <c r="AK64" s="4094"/>
      <c r="AL64" s="4094"/>
      <c r="AM64" s="4094"/>
    </row>
    <row r="65" spans="20:39" ht="33.75" customHeight="1">
      <c r="T65" s="4094"/>
      <c r="U65" s="4094"/>
      <c r="V65" s="4094"/>
      <c r="W65" s="4094"/>
      <c r="X65" s="4094"/>
      <c r="Y65" s="4094"/>
      <c r="Z65" s="4094"/>
      <c r="AA65" s="4094"/>
      <c r="AB65" s="4094"/>
      <c r="AC65" s="4094"/>
      <c r="AD65" s="4094"/>
      <c r="AE65" s="4094"/>
      <c r="AF65" s="4094"/>
      <c r="AG65" s="4094"/>
      <c r="AH65" s="4094"/>
      <c r="AI65" s="4094"/>
      <c r="AJ65" s="4094"/>
      <c r="AK65" s="4094"/>
      <c r="AL65" s="4094"/>
      <c r="AM65" s="4094"/>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2553" hidden="1"/>
    <col min="2" max="2" width="11" style="2553" hidden="1" customWidth="1"/>
    <col min="3" max="3" width="10.5703125" style="2553" hidden="1"/>
    <col min="4" max="4" width="11.85546875" style="2553" hidden="1" customWidth="1"/>
    <col min="5" max="5" width="10" style="2553" hidden="1" customWidth="1"/>
    <col min="6" max="6" width="8.7109375" style="2553" hidden="1" customWidth="1"/>
    <col min="7" max="7" width="7.5703125" style="2553" hidden="1" customWidth="1"/>
    <col min="8" max="8" width="11.42578125" style="2553" hidden="1" customWidth="1"/>
    <col min="9" max="9" width="12" style="2553" hidden="1" customWidth="1"/>
    <col min="10" max="10" width="9.85546875" style="2553" hidden="1" customWidth="1"/>
    <col min="11" max="11" width="11.42578125" style="2553" hidden="1" customWidth="1"/>
    <col min="12" max="12" width="19.140625" style="2554" hidden="1" customWidth="1"/>
    <col min="13" max="14" width="12.28515625" style="2555" hidden="1" customWidth="1"/>
    <col min="15" max="15" width="23.42578125" style="2555" hidden="1" customWidth="1"/>
    <col min="16" max="16" width="3.7109375" style="2565" hidden="1" customWidth="1"/>
    <col min="17" max="18" width="3.7109375" style="3173" customWidth="1"/>
    <col min="19" max="19" width="12.7109375" style="3174" customWidth="1"/>
    <col min="20" max="20" width="32" style="1920" customWidth="1"/>
    <col min="21" max="21" width="0.140625" style="1920" customWidth="1"/>
    <col min="22" max="22" width="24.7109375" style="1920" hidden="1" customWidth="1"/>
    <col min="23" max="23" width="0.140625" style="1920" hidden="1" customWidth="1"/>
    <col min="24" max="25" width="24.7109375" style="1920" hidden="1" customWidth="1"/>
    <col min="26" max="26" width="11.7109375" style="1920" hidden="1" customWidth="1"/>
    <col min="27" max="27" width="3.7109375" style="1920" hidden="1" customWidth="1"/>
    <col min="28" max="28" width="11.7109375" style="1920" hidden="1" customWidth="1"/>
    <col min="29" max="29" width="8.5703125" style="1920" hidden="1" customWidth="1"/>
    <col min="30" max="30" width="24.7109375" style="1920" customWidth="1"/>
    <col min="31" max="31" width="0.140625" style="1920" customWidth="1"/>
    <col min="32" max="33" width="24.7109375" style="1920" customWidth="1"/>
    <col min="34" max="34" width="11.7109375" style="1920" customWidth="1"/>
    <col min="35" max="35" width="3.7109375" style="1920" customWidth="1"/>
    <col min="36" max="36" width="11.7109375" style="1920" customWidth="1"/>
    <col min="37" max="37" width="8.5703125" style="1920" hidden="1" customWidth="1"/>
    <col min="38" max="38" width="4.7109375" style="1920" customWidth="1"/>
    <col min="39" max="39" width="115.7109375" style="1920" customWidth="1"/>
    <col min="40" max="41" width="10.5703125" style="1821"/>
    <col min="42" max="42" width="11.140625" style="1821" customWidth="1"/>
    <col min="43" max="44" width="10.5703125" style="1821"/>
  </cols>
  <sheetData>
    <row r="1" spans="1:44" ht="14.25" hidden="1" customHeight="1">
      <c r="A1" s="1782"/>
      <c r="Y1" s="254"/>
      <c r="Z1" s="254"/>
      <c r="AG1" s="254"/>
      <c r="AH1" s="254"/>
    </row>
    <row r="2" spans="1:44" ht="21" hidden="1" customHeight="1">
      <c r="A2" s="1279"/>
      <c r="B2" s="1279"/>
      <c r="C2" s="1279"/>
      <c r="D2" s="1279"/>
      <c r="E2" s="4074">
        <v>1</v>
      </c>
      <c r="F2" s="1279"/>
      <c r="G2" s="1279"/>
      <c r="H2" s="1279"/>
      <c r="I2" s="1279"/>
      <c r="J2" s="1279"/>
      <c r="K2" s="1279"/>
      <c r="L2" s="1280"/>
      <c r="M2" s="1281"/>
      <c r="N2" s="1281"/>
      <c r="O2" s="1281"/>
      <c r="P2" s="286"/>
      <c r="Q2" s="285"/>
      <c r="R2" s="280"/>
      <c r="S2" s="1253" t="e">
        <f>INDEX(PT_DIFFERENTIATION_NUM_NTAR,MATCH(A2,PT_DIFFERENTIATION_NTAR_ID,0))</f>
        <v>#N/A</v>
      </c>
      <c r="T2" s="217" t="s">
        <v>121</v>
      </c>
      <c r="U2" s="219"/>
      <c r="V2" s="4060"/>
      <c r="W2" s="4061"/>
      <c r="X2" s="4061"/>
      <c r="Y2" s="4061"/>
      <c r="Z2" s="4061"/>
      <c r="AA2" s="4061"/>
      <c r="AB2" s="4061"/>
      <c r="AC2" s="4062"/>
      <c r="AD2" s="4060" t="e">
        <f>INDEX(PT_DIFFERENTIATION_NTAR,MATCH(A2,PT_DIFFERENTIATION_NTAR_ID,0))</f>
        <v>#N/A</v>
      </c>
      <c r="AE2" s="4061"/>
      <c r="AF2" s="4061"/>
      <c r="AG2" s="4061"/>
      <c r="AH2" s="4061"/>
      <c r="AI2" s="4061"/>
      <c r="AJ2" s="4061"/>
      <c r="AK2" s="4061"/>
      <c r="AL2" s="4062"/>
      <c r="AM2" s="1177" t="s">
        <v>388</v>
      </c>
      <c r="AO2" s="426"/>
      <c r="AP2" s="426" t="str">
        <f t="shared" ref="AP2:AP15" si="0">IF(T2="","",T2)</f>
        <v>Наименование тарифа</v>
      </c>
      <c r="AQ2" s="426"/>
      <c r="AR2" s="426"/>
    </row>
    <row r="3" spans="1:44" ht="21" hidden="1" customHeight="1">
      <c r="A3" s="1279"/>
      <c r="B3" s="1279"/>
      <c r="C3" s="1279"/>
      <c r="D3" s="1279"/>
      <c r="E3" s="4075"/>
      <c r="F3" s="4074">
        <v>1</v>
      </c>
      <c r="G3" s="1279"/>
      <c r="H3" s="1279"/>
      <c r="I3" s="1279"/>
      <c r="J3" s="1279"/>
      <c r="K3" s="1279"/>
      <c r="L3" s="1280"/>
      <c r="M3" s="1281"/>
      <c r="N3" s="1281"/>
      <c r="O3" s="1281"/>
      <c r="P3" s="1249"/>
      <c r="Q3" s="277"/>
      <c r="R3" s="278"/>
      <c r="S3" s="1253" t="e">
        <f>INDEX(PT_DIFFERENTIATION_NUM_TER,MATCH(B3,PT_DIFFERENTIATION_TER_ID,0))</f>
        <v>#N/A</v>
      </c>
      <c r="T3" s="229" t="s">
        <v>389</v>
      </c>
      <c r="U3" s="219"/>
      <c r="V3" s="4060"/>
      <c r="W3" s="4061"/>
      <c r="X3" s="4061"/>
      <c r="Y3" s="4061"/>
      <c r="Z3" s="4061"/>
      <c r="AA3" s="4061"/>
      <c r="AB3" s="4061"/>
      <c r="AC3" s="4062"/>
      <c r="AD3" s="4060" t="e">
        <f>INDEX(PT_DIFFERENTIATION_TER,MATCH(B3,PT_DIFFERENTIATION_TER_ID,0))</f>
        <v>#N/A</v>
      </c>
      <c r="AE3" s="4061"/>
      <c r="AF3" s="4061"/>
      <c r="AG3" s="4061"/>
      <c r="AH3" s="4061"/>
      <c r="AI3" s="4061"/>
      <c r="AJ3" s="4061"/>
      <c r="AK3" s="4061"/>
      <c r="AL3" s="4062"/>
      <c r="AM3" s="1177" t="s">
        <v>390</v>
      </c>
      <c r="AO3" s="426"/>
      <c r="AP3" s="426" t="str">
        <f t="shared" si="0"/>
        <v>Территория действия тарифа</v>
      </c>
      <c r="AQ3" s="426"/>
      <c r="AR3" s="426"/>
    </row>
    <row r="4" spans="1:44" ht="23.25" hidden="1" customHeight="1">
      <c r="A4" s="1279"/>
      <c r="B4" s="1279"/>
      <c r="C4" s="1279"/>
      <c r="D4" s="1279"/>
      <c r="E4" s="4075"/>
      <c r="F4" s="4075"/>
      <c r="G4" s="4074">
        <v>1</v>
      </c>
      <c r="H4" s="1279"/>
      <c r="I4" s="1279"/>
      <c r="J4" s="1279"/>
      <c r="K4" s="1279"/>
      <c r="L4" s="1280"/>
      <c r="M4" s="1281"/>
      <c r="N4" s="1281"/>
      <c r="O4" s="1281"/>
      <c r="P4" s="279"/>
      <c r="Q4" s="277"/>
      <c r="R4" s="278"/>
      <c r="S4" s="1253" t="e">
        <f>INDEX(PT_DIFFERENTIATION_NUM_CS,MATCH(C4,PT_DIFFERENTIATION_CS_ID,0))</f>
        <v>#N/A</v>
      </c>
      <c r="T4" s="230" t="s">
        <v>391</v>
      </c>
      <c r="U4" s="219"/>
      <c r="V4" s="4060"/>
      <c r="W4" s="4061"/>
      <c r="X4" s="4061"/>
      <c r="Y4" s="4061"/>
      <c r="Z4" s="4061"/>
      <c r="AA4" s="4061"/>
      <c r="AB4" s="4061"/>
      <c r="AC4" s="4062"/>
      <c r="AD4" s="4060" t="e">
        <f>INDEX(PT_DIFFERENTIATION_CS,MATCH(C4,PT_DIFFERENTIATION_CS_ID,0))</f>
        <v>#N/A</v>
      </c>
      <c r="AE4" s="4061"/>
      <c r="AF4" s="4061"/>
      <c r="AG4" s="4061"/>
      <c r="AH4" s="4061"/>
      <c r="AI4" s="4061"/>
      <c r="AJ4" s="4061"/>
      <c r="AK4" s="4061"/>
      <c r="AL4" s="4062"/>
      <c r="AM4" s="1177" t="s">
        <v>392</v>
      </c>
      <c r="AO4" s="426"/>
      <c r="AP4" s="426" t="str">
        <f t="shared" si="0"/>
        <v xml:space="preserve">Наименование системы теплоснабжения </v>
      </c>
      <c r="AQ4" s="426"/>
      <c r="AR4" s="426"/>
    </row>
    <row r="5" spans="1:44" ht="21" hidden="1" customHeight="1">
      <c r="A5" s="1279"/>
      <c r="B5" s="1279"/>
      <c r="C5" s="1279"/>
      <c r="D5" s="1279"/>
      <c r="E5" s="4075"/>
      <c r="F5" s="4075"/>
      <c r="G5" s="4075"/>
      <c r="H5" s="4074">
        <v>1</v>
      </c>
      <c r="I5" s="1279"/>
      <c r="J5" s="1279"/>
      <c r="K5" s="1279"/>
      <c r="L5" s="1280"/>
      <c r="M5" s="1281"/>
      <c r="N5" s="1281"/>
      <c r="O5" s="1281"/>
      <c r="P5" s="279"/>
      <c r="Q5" s="277"/>
      <c r="R5" s="278"/>
      <c r="S5" s="1253" t="e">
        <f>INDEX(PT_DIFFERENTIATION_NUM_IST_TE,MATCH(D5,PT_DIFFERENTIATION_IST_TE_ID,0))</f>
        <v>#N/A</v>
      </c>
      <c r="T5" s="231" t="s">
        <v>393</v>
      </c>
      <c r="U5" s="219"/>
      <c r="V5" s="4060"/>
      <c r="W5" s="4061"/>
      <c r="X5" s="4061"/>
      <c r="Y5" s="4061"/>
      <c r="Z5" s="4061"/>
      <c r="AA5" s="4061"/>
      <c r="AB5" s="4061"/>
      <c r="AC5" s="4062"/>
      <c r="AD5" s="4060" t="e">
        <f>INDEX(PT_DIFFERENTIATION_IST_TE,MATCH(D5,PT_DIFFERENTIATION_IST_TE_ID,0))</f>
        <v>#N/A</v>
      </c>
      <c r="AE5" s="4061"/>
      <c r="AF5" s="4061"/>
      <c r="AG5" s="4061"/>
      <c r="AH5" s="4061"/>
      <c r="AI5" s="4061"/>
      <c r="AJ5" s="4061"/>
      <c r="AK5" s="4061"/>
      <c r="AL5" s="4062"/>
      <c r="AM5" s="1177" t="s">
        <v>394</v>
      </c>
      <c r="AO5" s="426"/>
      <c r="AP5" s="426" t="str">
        <f t="shared" si="0"/>
        <v xml:space="preserve">Источник тепловой энергии  </v>
      </c>
      <c r="AQ5" s="426"/>
      <c r="AR5" s="426"/>
    </row>
    <row r="6" spans="1:44" ht="14.25" hidden="1" customHeight="1">
      <c r="A6" s="1279"/>
      <c r="B6" s="1279"/>
      <c r="C6" s="1279"/>
      <c r="D6" s="1279"/>
      <c r="E6" s="4075"/>
      <c r="F6" s="4075"/>
      <c r="G6" s="4075"/>
      <c r="H6" s="4075"/>
      <c r="I6" s="4072" t="e">
        <f>S5&amp;".1"</f>
        <v>#N/A</v>
      </c>
      <c r="J6" s="1279"/>
      <c r="K6" s="1279"/>
      <c r="L6" s="1280" t="s">
        <v>395</v>
      </c>
      <c r="M6" s="462"/>
      <c r="P6" s="4073">
        <v>1</v>
      </c>
      <c r="Q6" s="1248"/>
      <c r="R6" s="281"/>
      <c r="S6" s="949"/>
      <c r="T6" s="1299"/>
      <c r="U6" s="1300"/>
      <c r="V6" s="4101"/>
      <c r="W6" s="4102"/>
      <c r="X6" s="4102"/>
      <c r="Y6" s="4102"/>
      <c r="Z6" s="4102"/>
      <c r="AA6" s="4102"/>
      <c r="AB6" s="4102"/>
      <c r="AC6" s="4103"/>
      <c r="AD6" s="4101"/>
      <c r="AE6" s="4102"/>
      <c r="AF6" s="4102"/>
      <c r="AG6" s="4102"/>
      <c r="AH6" s="4102"/>
      <c r="AI6" s="4102"/>
      <c r="AJ6" s="4102"/>
      <c r="AK6" s="4102"/>
      <c r="AL6" s="4103"/>
      <c r="AM6" s="1301"/>
      <c r="AO6" s="426"/>
      <c r="AP6" s="426" t="str">
        <f t="shared" si="0"/>
        <v/>
      </c>
      <c r="AQ6" s="426"/>
      <c r="AR6" s="426"/>
    </row>
    <row r="7" spans="1:44" ht="21" hidden="1" customHeight="1">
      <c r="A7" s="1279"/>
      <c r="B7" s="1279"/>
      <c r="C7" s="1279"/>
      <c r="D7" s="1279"/>
      <c r="E7" s="4075"/>
      <c r="F7" s="4075"/>
      <c r="G7" s="4075"/>
      <c r="H7" s="4075"/>
      <c r="I7" s="4095"/>
      <c r="J7" s="4072" t="e">
        <f>I6&amp;".1"</f>
        <v>#N/A</v>
      </c>
      <c r="K7" s="1279"/>
      <c r="L7" s="1280" t="s">
        <v>398</v>
      </c>
      <c r="M7" s="462"/>
      <c r="N7" s="1282"/>
      <c r="P7" s="4073"/>
      <c r="Q7" s="4073">
        <v>1</v>
      </c>
      <c r="R7" s="282"/>
      <c r="S7" s="1253" t="e">
        <f>$J7</f>
        <v>#N/A</v>
      </c>
      <c r="T7" s="205" t="s">
        <v>399</v>
      </c>
      <c r="U7" s="219"/>
      <c r="V7" s="4063"/>
      <c r="W7" s="4064"/>
      <c r="X7" s="4064"/>
      <c r="Y7" s="4064"/>
      <c r="Z7" s="4064"/>
      <c r="AA7" s="4064"/>
      <c r="AB7" s="4064"/>
      <c r="AC7" s="4065"/>
      <c r="AD7" s="4063"/>
      <c r="AE7" s="4064"/>
      <c r="AF7" s="4064"/>
      <c r="AG7" s="4064"/>
      <c r="AH7" s="4064"/>
      <c r="AI7" s="4064"/>
      <c r="AJ7" s="4064"/>
      <c r="AK7" s="4064"/>
      <c r="AL7" s="4065"/>
      <c r="AM7" s="1177" t="s">
        <v>400</v>
      </c>
      <c r="AO7" s="426"/>
      <c r="AP7" s="426" t="str">
        <f t="shared" si="0"/>
        <v>Группа потребителей</v>
      </c>
      <c r="AQ7" s="426"/>
      <c r="AR7" s="426"/>
    </row>
    <row r="8" spans="1:44" ht="21" hidden="1" customHeight="1">
      <c r="A8" s="1279"/>
      <c r="B8" s="1279"/>
      <c r="C8" s="1279"/>
      <c r="D8" s="1279"/>
      <c r="E8" s="4075"/>
      <c r="F8" s="4075"/>
      <c r="G8" s="4075"/>
      <c r="H8" s="4075"/>
      <c r="I8" s="4095"/>
      <c r="J8" s="4095"/>
      <c r="K8" s="4072" t="e">
        <f>J7&amp;".1"</f>
        <v>#N/A</v>
      </c>
      <c r="L8" s="1280" t="s">
        <v>401</v>
      </c>
      <c r="M8" s="462"/>
      <c r="N8" s="1282"/>
      <c r="O8" s="1282"/>
      <c r="P8" s="4073"/>
      <c r="Q8" s="4073"/>
      <c r="R8" s="282">
        <v>1</v>
      </c>
      <c r="S8" s="1253" t="e">
        <f>$K8</f>
        <v>#N/A</v>
      </c>
      <c r="T8" s="1264"/>
      <c r="U8" s="219"/>
      <c r="V8" s="668"/>
      <c r="W8" s="251"/>
      <c r="X8" s="668"/>
      <c r="Y8" s="1176"/>
      <c r="Z8" s="4077"/>
      <c r="AA8" s="3927" t="s">
        <v>65</v>
      </c>
      <c r="AB8" s="4077"/>
      <c r="AC8" s="3927" t="s">
        <v>65</v>
      </c>
      <c r="AD8" s="668"/>
      <c r="AE8" s="251"/>
      <c r="AF8" s="668"/>
      <c r="AG8" s="1176"/>
      <c r="AH8" s="4077"/>
      <c r="AI8" s="3927" t="s">
        <v>65</v>
      </c>
      <c r="AJ8" s="4077"/>
      <c r="AK8" s="3927" t="s">
        <v>65</v>
      </c>
      <c r="AL8" s="251"/>
      <c r="AM8" s="4069" t="s">
        <v>402</v>
      </c>
      <c r="AN8" s="437" t="e">
        <f ca="1">STRCHECKDATE(V9:AL9)</f>
        <v>#NAME?</v>
      </c>
      <c r="AO8" s="426"/>
      <c r="AP8" s="426" t="str">
        <f t="shared" si="0"/>
        <v/>
      </c>
      <c r="AQ8" s="426"/>
      <c r="AR8" s="426"/>
    </row>
    <row r="9" spans="1:44" ht="14.25" hidden="1" customHeight="1">
      <c r="A9" s="1279"/>
      <c r="B9" s="1279"/>
      <c r="C9" s="1279"/>
      <c r="D9" s="1279"/>
      <c r="E9" s="4075"/>
      <c r="F9" s="4075"/>
      <c r="G9" s="4075"/>
      <c r="H9" s="4075"/>
      <c r="I9" s="4095"/>
      <c r="J9" s="4095"/>
      <c r="K9" s="4072"/>
      <c r="L9" s="1280"/>
      <c r="M9" s="462"/>
      <c r="N9" s="1282"/>
      <c r="O9" s="1282"/>
      <c r="P9" s="4073"/>
      <c r="Q9" s="4073"/>
      <c r="R9" s="282"/>
      <c r="S9" s="1259"/>
      <c r="T9" s="219"/>
      <c r="U9" s="219"/>
      <c r="V9" s="251"/>
      <c r="W9" s="251"/>
      <c r="X9" s="251"/>
      <c r="Y9" s="255" t="str">
        <f>Z8&amp;"-"&amp;AB8</f>
        <v>-</v>
      </c>
      <c r="Z9" s="4078"/>
      <c r="AA9" s="3927"/>
      <c r="AB9" s="4078"/>
      <c r="AC9" s="3927"/>
      <c r="AD9" s="251"/>
      <c r="AE9" s="251"/>
      <c r="AF9" s="251"/>
      <c r="AG9" s="255" t="str">
        <f>AH8&amp;"-"&amp;AJ8</f>
        <v>-</v>
      </c>
      <c r="AH9" s="4078"/>
      <c r="AI9" s="3927"/>
      <c r="AJ9" s="4078"/>
      <c r="AK9" s="3927"/>
      <c r="AL9" s="251"/>
      <c r="AM9" s="4070"/>
      <c r="AO9" s="426"/>
      <c r="AP9" s="426" t="str">
        <f t="shared" si="0"/>
        <v/>
      </c>
      <c r="AQ9" s="426"/>
      <c r="AR9" s="426"/>
    </row>
    <row r="10" spans="1:44" ht="15" hidden="1" customHeight="1">
      <c r="A10" s="1279"/>
      <c r="B10" s="1279"/>
      <c r="C10" s="1279"/>
      <c r="D10" s="1279"/>
      <c r="E10" s="4075"/>
      <c r="F10" s="4075"/>
      <c r="G10" s="4075"/>
      <c r="H10" s="4075"/>
      <c r="I10" s="4095"/>
      <c r="J10" s="4072"/>
      <c r="K10" s="1279"/>
      <c r="L10" s="1280"/>
      <c r="M10" s="462"/>
      <c r="N10" s="1282"/>
      <c r="P10" s="4073"/>
      <c r="Q10" s="4073"/>
      <c r="R10" s="281"/>
      <c r="S10" s="1198"/>
      <c r="T10" s="206" t="s">
        <v>403</v>
      </c>
      <c r="U10" s="295"/>
      <c r="V10" s="295"/>
      <c r="W10" s="295"/>
      <c r="X10" s="295"/>
      <c r="Y10" s="295"/>
      <c r="Z10" s="295"/>
      <c r="AA10" s="295"/>
      <c r="AB10" s="295"/>
      <c r="AC10" s="295"/>
      <c r="AD10" s="295"/>
      <c r="AE10" s="295"/>
      <c r="AF10" s="295"/>
      <c r="AG10" s="295"/>
      <c r="AH10" s="295"/>
      <c r="AI10" s="295"/>
      <c r="AJ10" s="295"/>
      <c r="AK10" s="295"/>
      <c r="AL10" s="250"/>
      <c r="AM10" s="4071"/>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4075"/>
      <c r="F11" s="4075"/>
      <c r="G11" s="4075"/>
      <c r="H11" s="4075"/>
      <c r="I11" s="4072"/>
      <c r="J11" s="1279"/>
      <c r="K11" s="1279"/>
      <c r="L11" s="1280"/>
      <c r="M11" s="462"/>
      <c r="P11" s="4073"/>
      <c r="Q11" s="1248"/>
      <c r="R11" s="281"/>
      <c r="S11" s="1198"/>
      <c r="T11" s="292" t="s">
        <v>404</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4075"/>
      <c r="F12" s="4075"/>
      <c r="G12" s="4075"/>
      <c r="H12" s="4074"/>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2550" customFormat="1" ht="14.25" hidden="1" customHeight="1">
      <c r="A13" s="1232"/>
      <c r="B13" s="1232"/>
      <c r="C13" s="1232"/>
      <c r="D13" s="1232"/>
      <c r="E13" s="4075"/>
      <c r="F13" s="4075"/>
      <c r="G13" s="4074"/>
      <c r="H13" s="1232"/>
      <c r="I13" s="1232"/>
      <c r="J13" s="1232"/>
      <c r="K13" s="1232"/>
      <c r="L13" s="1256"/>
      <c r="M13" s="1233"/>
      <c r="N13" s="1233"/>
      <c r="P13" s="1234"/>
      <c r="Q13" s="1235"/>
      <c r="R13" s="1234"/>
      <c r="S13" s="1236"/>
      <c r="T13" s="1237" t="s">
        <v>166</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2550" customFormat="1" ht="14.25" hidden="1" customHeight="1">
      <c r="A14" s="1232"/>
      <c r="B14" s="1232"/>
      <c r="C14" s="1232"/>
      <c r="D14" s="1232"/>
      <c r="E14" s="4075"/>
      <c r="F14" s="4074"/>
      <c r="G14" s="1232"/>
      <c r="H14" s="1232"/>
      <c r="I14" s="1232"/>
      <c r="J14" s="1232"/>
      <c r="K14" s="1232"/>
      <c r="L14" s="1256"/>
      <c r="M14" s="1239"/>
      <c r="N14" s="1239"/>
      <c r="P14" s="1234"/>
      <c r="Q14" s="1235"/>
      <c r="R14" s="1234"/>
      <c r="S14" s="1240"/>
      <c r="T14" s="1241" t="s">
        <v>167</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2550" customFormat="1" ht="14.25" hidden="1" customHeight="1">
      <c r="A15" s="1232"/>
      <c r="B15" s="1232"/>
      <c r="C15" s="1232"/>
      <c r="D15" s="1232"/>
      <c r="E15" s="4074"/>
      <c r="F15" s="1232"/>
      <c r="G15" s="1232"/>
      <c r="H15" s="1232"/>
      <c r="I15" s="1232"/>
      <c r="J15" s="1232"/>
      <c r="K15" s="1232"/>
      <c r="L15" s="1256"/>
      <c r="M15" s="1239"/>
      <c r="N15" s="1239"/>
      <c r="P15" s="1234"/>
      <c r="Q15" s="1235"/>
      <c r="R15" s="1234"/>
      <c r="S15" s="1240"/>
      <c r="T15" s="1243" t="s">
        <v>168</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4079"/>
      <c r="AI17" s="4080" t="s">
        <v>65</v>
      </c>
      <c r="AJ17" s="4079"/>
      <c r="AK17" s="4080" t="s">
        <v>65</v>
      </c>
    </row>
    <row r="18" spans="1:44" ht="14.25" hidden="1" customHeight="1">
      <c r="AD18" s="1276"/>
      <c r="AE18" s="1276"/>
      <c r="AF18" s="1276"/>
      <c r="AG18" s="255" t="str">
        <f>AH17&amp;"-"&amp;AJ17</f>
        <v>-</v>
      </c>
      <c r="AH18" s="4080"/>
      <c r="AI18" s="4080"/>
      <c r="AJ18" s="4080"/>
      <c r="AK18" s="4080"/>
    </row>
    <row r="19" spans="1:44" ht="14.25" hidden="1" customHeight="1">
      <c r="AK19" s="254"/>
    </row>
    <row r="20" spans="1:44" s="2553" customFormat="1" ht="22.5" hidden="1" customHeight="1">
      <c r="L20" s="1246"/>
      <c r="M20" s="1278"/>
      <c r="N20" s="1278"/>
      <c r="O20" s="1283" t="s">
        <v>406</v>
      </c>
      <c r="P20" s="1278"/>
      <c r="Q20" s="1287"/>
      <c r="R20" s="1287"/>
      <c r="S20" s="648"/>
      <c r="Z20" s="1283"/>
      <c r="AB20" s="1283"/>
      <c r="AC20" s="1282"/>
      <c r="AH20" s="1283"/>
      <c r="AJ20" s="1283"/>
      <c r="AK20" s="1282"/>
      <c r="AN20" s="437"/>
      <c r="AO20" s="437"/>
      <c r="AP20" s="437"/>
      <c r="AQ20" s="437"/>
      <c r="AR20" s="437"/>
    </row>
    <row r="21" spans="1:44" s="2553" customFormat="1" ht="14.25" hidden="1" customHeight="1">
      <c r="L21" s="1246"/>
      <c r="M21" s="1278"/>
      <c r="N21" s="1278"/>
      <c r="O21" s="1278"/>
      <c r="P21" s="1278"/>
      <c r="Q21" s="1287"/>
      <c r="R21" s="1287"/>
      <c r="S21" s="648"/>
      <c r="AC21" s="1282"/>
      <c r="AK21" s="1282"/>
      <c r="AN21" s="437"/>
      <c r="AO21" s="437"/>
      <c r="AP21" s="437"/>
      <c r="AQ21" s="437"/>
      <c r="AR21" s="437"/>
    </row>
    <row r="22" spans="1:44" s="2553" customFormat="1" ht="14.25" hidden="1" customHeight="1">
      <c r="L22" s="1246"/>
      <c r="M22" s="1278"/>
      <c r="N22" s="1278"/>
      <c r="O22" s="1280" t="s">
        <v>407</v>
      </c>
      <c r="P22" s="1278"/>
      <c r="Q22" s="1287"/>
      <c r="R22" s="1287"/>
      <c r="S22" s="648"/>
      <c r="T22" s="1060" t="s">
        <v>408</v>
      </c>
      <c r="AA22" s="107" t="s">
        <v>409</v>
      </c>
      <c r="AC22" s="107" t="s">
        <v>410</v>
      </c>
      <c r="AD22" s="1060" t="s">
        <v>408</v>
      </c>
      <c r="AI22" s="107" t="s">
        <v>411</v>
      </c>
      <c r="AK22" s="107" t="s">
        <v>410</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75" customHeight="1">
      <c r="Q26" s="305"/>
      <c r="R26" s="305"/>
      <c r="S26" s="401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4017"/>
      <c r="U26" s="4017"/>
      <c r="V26" s="4017"/>
      <c r="W26" s="4017"/>
      <c r="X26" s="4017"/>
      <c r="Y26" s="4017"/>
      <c r="Z26" s="4017"/>
      <c r="AA26" s="4017"/>
      <c r="AB26" s="4017"/>
      <c r="AC26" s="4017"/>
      <c r="AD26" s="4017"/>
      <c r="AE26" s="4017"/>
      <c r="AF26" s="4017"/>
      <c r="AG26" s="4017"/>
      <c r="AH26" s="4017"/>
      <c r="AI26" s="4017"/>
      <c r="AJ26" s="4017"/>
      <c r="AK26" s="1152"/>
    </row>
    <row r="27" spans="1:44" ht="14.25" customHeight="1">
      <c r="Q27" s="305"/>
      <c r="R27" s="305"/>
      <c r="S27" s="4004" t="str">
        <f>IF(org=0,"Не определено",org)</f>
        <v>ООО «РИР-Сахалин»</v>
      </c>
      <c r="T27" s="4004"/>
      <c r="U27" s="4004"/>
      <c r="V27" s="4004"/>
      <c r="W27" s="4004"/>
      <c r="X27" s="4004"/>
      <c r="Y27" s="4004"/>
      <c r="Z27" s="4004"/>
      <c r="AA27" s="4004"/>
      <c r="AB27" s="4004"/>
      <c r="AC27" s="4004"/>
      <c r="AD27" s="4004"/>
      <c r="AE27" s="4004"/>
      <c r="AF27" s="4004"/>
      <c r="AG27" s="4004"/>
      <c r="AH27" s="4004"/>
      <c r="AI27" s="4004"/>
      <c r="AJ27" s="4004"/>
      <c r="AK27" s="1152"/>
    </row>
    <row r="28" spans="1:44" ht="14.25" hidden="1"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2564" customFormat="1" ht="25.5" hidden="1" customHeight="1">
      <c r="A29" s="1284"/>
      <c r="B29" s="1284"/>
      <c r="C29" s="1284"/>
      <c r="D29" s="1284"/>
      <c r="E29" s="1284"/>
      <c r="F29" s="1284"/>
      <c r="G29" s="1284"/>
      <c r="H29" s="1284"/>
      <c r="I29" s="1284"/>
      <c r="J29" s="1284"/>
      <c r="K29" s="1284"/>
      <c r="L29" s="1285"/>
      <c r="M29" s="1284"/>
      <c r="N29" s="1284"/>
      <c r="O29" s="1284"/>
      <c r="S29" s="4066" t="s">
        <v>38</v>
      </c>
      <c r="T29" s="4066"/>
      <c r="U29" s="1288"/>
      <c r="V29" s="4067" t="str">
        <f>IF(TITLE_NAME_OR_PR_CHANGE="",IF(TITLE_NAME_OR_PR="","",TITLE_NAME_OR_PR),TITLE_NAME_OR_PR_CHANGE)</f>
        <v/>
      </c>
      <c r="W29" s="4067"/>
      <c r="X29" s="4067"/>
      <c r="Y29" s="4067"/>
      <c r="Z29" s="4067"/>
      <c r="AA29" s="4067"/>
      <c r="AB29" s="4067"/>
      <c r="AC29" s="253"/>
      <c r="AD29" s="4067" t="str">
        <f>IF(TITLE_NAME_OR_PR_CHANGE="",IF(TITLE_NAME_OR_PR="","",TITLE_NAME_OR_PR),TITLE_NAME_OR_PR_CHANGE)</f>
        <v/>
      </c>
      <c r="AE29" s="4067"/>
      <c r="AF29" s="4067"/>
      <c r="AG29" s="4067"/>
      <c r="AH29" s="4067"/>
      <c r="AI29" s="4067"/>
      <c r="AJ29" s="4067"/>
      <c r="AK29" s="253"/>
      <c r="AL29" s="253"/>
      <c r="AM29" s="200"/>
      <c r="AN29" s="296"/>
      <c r="AO29" s="296"/>
      <c r="AP29" s="296"/>
      <c r="AQ29" s="296"/>
      <c r="AR29" s="296"/>
    </row>
    <row r="30" spans="1:44" s="2564" customFormat="1" ht="18.75" hidden="1" customHeight="1">
      <c r="A30" s="1284"/>
      <c r="B30" s="1284"/>
      <c r="C30" s="1284"/>
      <c r="D30" s="1284"/>
      <c r="E30" s="1284"/>
      <c r="F30" s="1284"/>
      <c r="G30" s="1284"/>
      <c r="H30" s="1284"/>
      <c r="I30" s="1284"/>
      <c r="J30" s="1284"/>
      <c r="K30" s="1284"/>
      <c r="L30" s="1285"/>
      <c r="M30" s="1284"/>
      <c r="N30" s="1284"/>
      <c r="O30" s="1284"/>
      <c r="S30" s="4066" t="s">
        <v>412</v>
      </c>
      <c r="T30" s="4066"/>
      <c r="U30" s="1288"/>
      <c r="V30" s="4076">
        <f>IF(TITLE_DATE_PR_CHANGE="",IF(TITLE_DATE_PR="","",TITLE_DATE_PR),TITLE_DATE_PR_CHANGE)</f>
        <v>45289.465104166666</v>
      </c>
      <c r="W30" s="4076"/>
      <c r="X30" s="4076"/>
      <c r="Y30" s="4076"/>
      <c r="Z30" s="4076"/>
      <c r="AA30" s="4076"/>
      <c r="AB30" s="4076"/>
      <c r="AC30" s="253"/>
      <c r="AD30" s="4076">
        <f>IF(TITLE_DATE_PR_CHANGE="",IF(TITLE_DATE_PR="","",TITLE_DATE_PR),TITLE_DATE_PR_CHANGE)</f>
        <v>45289.465104166666</v>
      </c>
      <c r="AE30" s="4076"/>
      <c r="AF30" s="4076"/>
      <c r="AG30" s="4076"/>
      <c r="AH30" s="4076"/>
      <c r="AI30" s="4076"/>
      <c r="AJ30" s="4076"/>
      <c r="AK30" s="253"/>
      <c r="AL30" s="253"/>
      <c r="AM30" s="200"/>
      <c r="AN30" s="296"/>
      <c r="AO30" s="296"/>
      <c r="AP30" s="296"/>
      <c r="AQ30" s="296"/>
      <c r="AR30" s="296"/>
    </row>
    <row r="31" spans="1:44" s="2564" customFormat="1" ht="18.75" hidden="1" customHeight="1">
      <c r="A31" s="1284"/>
      <c r="B31" s="1284"/>
      <c r="C31" s="1284"/>
      <c r="D31" s="1284"/>
      <c r="E31" s="1284"/>
      <c r="F31" s="1284"/>
      <c r="G31" s="1284"/>
      <c r="H31" s="1284"/>
      <c r="I31" s="1284"/>
      <c r="J31" s="1284"/>
      <c r="K31" s="1284"/>
      <c r="L31" s="1285"/>
      <c r="M31" s="1284"/>
      <c r="N31" s="1284"/>
      <c r="O31" s="1284"/>
      <c r="S31" s="4066" t="s">
        <v>413</v>
      </c>
      <c r="T31" s="4066"/>
      <c r="U31" s="1288"/>
      <c r="V31" s="4067" t="str">
        <f>IF(TITLE_NUMBER_PR_CHANGE="",IF(TITLE_NUMBER_PR="","",TITLE_NUMBER_PR),TITLE_NUMBER_PR_CHANGE)</f>
        <v>761-1/201-1</v>
      </c>
      <c r="W31" s="4067"/>
      <c r="X31" s="4067"/>
      <c r="Y31" s="4067"/>
      <c r="Z31" s="4067"/>
      <c r="AA31" s="4067"/>
      <c r="AB31" s="4067"/>
      <c r="AC31" s="253"/>
      <c r="AD31" s="4067" t="str">
        <f>IF(TITLE_NUMBER_PR_CHANGE="",IF(TITLE_NUMBER_PR="","",TITLE_NUMBER_PR),TITLE_NUMBER_PR_CHANGE)</f>
        <v>761-1/201-1</v>
      </c>
      <c r="AE31" s="4067"/>
      <c r="AF31" s="4067"/>
      <c r="AG31" s="4067"/>
      <c r="AH31" s="4067"/>
      <c r="AI31" s="4067"/>
      <c r="AJ31" s="4067"/>
      <c r="AK31" s="253"/>
      <c r="AL31" s="253"/>
      <c r="AM31" s="200"/>
      <c r="AN31" s="296"/>
      <c r="AO31" s="296"/>
      <c r="AP31" s="296"/>
      <c r="AQ31" s="296"/>
      <c r="AR31" s="296"/>
    </row>
    <row r="32" spans="1:44" s="2564" customFormat="1" ht="18.75" hidden="1" customHeight="1">
      <c r="A32" s="1284"/>
      <c r="B32" s="1284"/>
      <c r="C32" s="1284"/>
      <c r="D32" s="1284"/>
      <c r="E32" s="1284"/>
      <c r="F32" s="1284"/>
      <c r="G32" s="1284"/>
      <c r="H32" s="1284"/>
      <c r="I32" s="1284"/>
      <c r="J32" s="1284"/>
      <c r="K32" s="1284"/>
      <c r="L32" s="1285"/>
      <c r="M32" s="1284"/>
      <c r="N32" s="1284"/>
      <c r="O32" s="1284"/>
      <c r="S32" s="4066" t="s">
        <v>39</v>
      </c>
      <c r="T32" s="4066"/>
      <c r="U32" s="1288"/>
      <c r="V32" s="4067" t="str">
        <f>IF(TITLE_IST_PUB_CHANGE="",IF(TITLE_IST_PUB="","",TITLE_IST_PUB),TITLE_IST_PUB_CHANGE)</f>
        <v/>
      </c>
      <c r="W32" s="4067"/>
      <c r="X32" s="4067"/>
      <c r="Y32" s="4067"/>
      <c r="Z32" s="4067"/>
      <c r="AA32" s="4067"/>
      <c r="AB32" s="4067"/>
      <c r="AC32" s="253"/>
      <c r="AD32" s="4067" t="str">
        <f>IF(TITLE_IST_PUB_CHANGE="",IF(TITLE_IST_PUB="","",TITLE_IST_PUB),TITLE_IST_PUB_CHANGE)</f>
        <v/>
      </c>
      <c r="AE32" s="4067"/>
      <c r="AF32" s="4067"/>
      <c r="AG32" s="4067"/>
      <c r="AH32" s="4067"/>
      <c r="AI32" s="4067"/>
      <c r="AJ32" s="4067"/>
      <c r="AK32" s="253"/>
      <c r="AL32" s="253"/>
      <c r="AM32" s="200"/>
      <c r="AN32" s="296"/>
      <c r="AO32" s="296"/>
      <c r="AP32" s="296"/>
      <c r="AQ32" s="296"/>
      <c r="AR32" s="296"/>
    </row>
    <row r="33" spans="1:44" ht="14.25"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2564" customFormat="1" ht="18.75" customHeight="1">
      <c r="A34" s="1284"/>
      <c r="B34" s="1284"/>
      <c r="C34" s="1284"/>
      <c r="D34" s="1284"/>
      <c r="E34" s="1284"/>
      <c r="F34" s="1284"/>
      <c r="G34" s="1284"/>
      <c r="H34" s="1284"/>
      <c r="I34" s="1284"/>
      <c r="J34" s="1284"/>
      <c r="K34" s="1284"/>
      <c r="L34" s="1285"/>
      <c r="M34" s="1284"/>
      <c r="N34" s="1284"/>
      <c r="O34" s="1284"/>
      <c r="S34" s="4066" t="s">
        <v>414</v>
      </c>
      <c r="T34" s="4066"/>
      <c r="U34" s="1288"/>
      <c r="V34" s="4076">
        <f>IF(TITLE_DATE_PR_CHANGE="",IF(TITLE_DATE_PR="","",TITLE_DATE_PR),TITLE_DATE_PR_CHANGE)</f>
        <v>45289.465104166666</v>
      </c>
      <c r="W34" s="4076"/>
      <c r="X34" s="4076"/>
      <c r="Y34" s="4076"/>
      <c r="Z34" s="4076"/>
      <c r="AA34" s="4076"/>
      <c r="AB34" s="4076"/>
      <c r="AC34" s="253"/>
      <c r="AD34" s="4076">
        <f>IF(TITLE_DATE_PR_CHANGE="",IF(TITLE_DATE_PR="","",TITLE_DATE_PR),TITLE_DATE_PR_CHANGE)</f>
        <v>45289.465104166666</v>
      </c>
      <c r="AE34" s="4076"/>
      <c r="AF34" s="4076"/>
      <c r="AG34" s="4076"/>
      <c r="AH34" s="4076"/>
      <c r="AI34" s="4076"/>
      <c r="AJ34" s="4076"/>
      <c r="AK34" s="253"/>
      <c r="AL34" s="253"/>
      <c r="AM34" s="200"/>
      <c r="AN34" s="296"/>
      <c r="AO34" s="296"/>
      <c r="AP34" s="296"/>
      <c r="AQ34" s="296"/>
      <c r="AR34" s="296"/>
    </row>
    <row r="35" spans="1:44" s="2564" customFormat="1" ht="18.75" customHeight="1">
      <c r="A35" s="1284"/>
      <c r="B35" s="1284"/>
      <c r="C35" s="1284"/>
      <c r="D35" s="1284"/>
      <c r="E35" s="1284"/>
      <c r="F35" s="1284"/>
      <c r="G35" s="1284"/>
      <c r="H35" s="1284"/>
      <c r="I35" s="1284"/>
      <c r="J35" s="1284"/>
      <c r="K35" s="1284"/>
      <c r="L35" s="1285"/>
      <c r="M35" s="1284"/>
      <c r="N35" s="1284"/>
      <c r="O35" s="1284"/>
      <c r="S35" s="4066" t="s">
        <v>415</v>
      </c>
      <c r="T35" s="4066"/>
      <c r="U35" s="1288"/>
      <c r="V35" s="4067" t="str">
        <f>IF(TITLE_NUMBER_PR_CHANGE="",IF(TITLE_NUMBER_PR="","",TITLE_NUMBER_PR),TITLE_NUMBER_PR_CHANGE)</f>
        <v>761-1/201-1</v>
      </c>
      <c r="W35" s="4067"/>
      <c r="X35" s="4067"/>
      <c r="Y35" s="4067"/>
      <c r="Z35" s="4067"/>
      <c r="AA35" s="4067"/>
      <c r="AB35" s="4067"/>
      <c r="AC35" s="253"/>
      <c r="AD35" s="4067" t="str">
        <f>IF(TITLE_NUMBER_PR_CHANGE="",IF(TITLE_NUMBER_PR="","",TITLE_NUMBER_PR),TITLE_NUMBER_PR_CHANGE)</f>
        <v>761-1/201-1</v>
      </c>
      <c r="AE35" s="4067"/>
      <c r="AF35" s="4067"/>
      <c r="AG35" s="4067"/>
      <c r="AH35" s="4067"/>
      <c r="AI35" s="4067"/>
      <c r="AJ35" s="4067"/>
      <c r="AK35" s="253"/>
      <c r="AL35" s="253"/>
      <c r="AM35" s="200"/>
      <c r="AN35" s="296"/>
      <c r="AO35" s="296"/>
      <c r="AP35" s="296"/>
      <c r="AQ35" s="296"/>
      <c r="AR35" s="296"/>
    </row>
    <row r="36" spans="1:44" s="2564"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416</v>
      </c>
      <c r="AD36" s="253"/>
      <c r="AE36" s="253"/>
      <c r="AF36" s="253"/>
      <c r="AG36" s="253"/>
      <c r="AH36" s="253"/>
      <c r="AI36" s="253"/>
      <c r="AJ36" s="253"/>
      <c r="AK36" s="198" t="s">
        <v>416</v>
      </c>
      <c r="AN36" s="296"/>
      <c r="AO36" s="296"/>
      <c r="AP36" s="296"/>
      <c r="AQ36" s="296"/>
      <c r="AR36" s="296"/>
    </row>
    <row r="37" spans="1:44" ht="14.25" customHeight="1">
      <c r="Q37" s="305"/>
      <c r="R37" s="305"/>
      <c r="S37" s="1195"/>
      <c r="T37" s="290"/>
      <c r="U37" s="1153"/>
      <c r="V37" s="4068"/>
      <c r="W37" s="4068"/>
      <c r="X37" s="4068"/>
      <c r="Y37" s="4068"/>
      <c r="Z37" s="4068"/>
      <c r="AA37" s="4068"/>
      <c r="AB37" s="4068"/>
      <c r="AC37" s="4068"/>
      <c r="AD37" s="4068"/>
      <c r="AE37" s="4068"/>
      <c r="AF37" s="4068"/>
      <c r="AG37" s="4068"/>
      <c r="AH37" s="4068"/>
      <c r="AI37" s="4068"/>
      <c r="AJ37" s="4068"/>
      <c r="AK37" s="4068"/>
    </row>
    <row r="38" spans="1:44" ht="14.25" customHeight="1">
      <c r="Q38" s="305"/>
      <c r="R38" s="305"/>
      <c r="S38" s="3946" t="s">
        <v>290</v>
      </c>
      <c r="T38" s="3946"/>
      <c r="U38" s="3946"/>
      <c r="V38" s="3946"/>
      <c r="W38" s="3946"/>
      <c r="X38" s="3946"/>
      <c r="Y38" s="3946"/>
      <c r="Z38" s="3946"/>
      <c r="AA38" s="3946"/>
      <c r="AB38" s="3946"/>
      <c r="AC38" s="3946"/>
      <c r="AD38" s="3946"/>
      <c r="AE38" s="3946"/>
      <c r="AF38" s="3946"/>
      <c r="AG38" s="3946"/>
      <c r="AH38" s="3946"/>
      <c r="AI38" s="3946"/>
      <c r="AJ38" s="3946"/>
      <c r="AK38" s="3946"/>
      <c r="AL38" s="3946"/>
      <c r="AM38" s="3946" t="s">
        <v>291</v>
      </c>
    </row>
    <row r="39" spans="1:44" ht="14.25" customHeight="1">
      <c r="Q39" s="305"/>
      <c r="R39" s="305"/>
      <c r="S39" s="4082" t="s">
        <v>86</v>
      </c>
      <c r="T39" s="4033" t="s">
        <v>418</v>
      </c>
      <c r="U39" s="220"/>
      <c r="V39" s="4083" t="s">
        <v>419</v>
      </c>
      <c r="W39" s="4084"/>
      <c r="X39" s="4084"/>
      <c r="Y39" s="4084"/>
      <c r="Z39" s="4084"/>
      <c r="AA39" s="4084"/>
      <c r="AB39" s="4085"/>
      <c r="AC39" s="4086" t="s">
        <v>420</v>
      </c>
      <c r="AD39" s="4083" t="s">
        <v>419</v>
      </c>
      <c r="AE39" s="4084"/>
      <c r="AF39" s="4084"/>
      <c r="AG39" s="4084"/>
      <c r="AH39" s="4084"/>
      <c r="AI39" s="4084"/>
      <c r="AJ39" s="4085"/>
      <c r="AK39" s="4086" t="s">
        <v>421</v>
      </c>
      <c r="AL39" s="4089" t="s">
        <v>422</v>
      </c>
      <c r="AM39" s="3946"/>
    </row>
    <row r="40" spans="1:44" ht="33.75" customHeight="1">
      <c r="Q40" s="305"/>
      <c r="R40" s="305"/>
      <c r="S40" s="4082"/>
      <c r="T40" s="4033"/>
      <c r="U40" s="938"/>
      <c r="V40" s="4003" t="s">
        <v>423</v>
      </c>
      <c r="W40" s="4092"/>
      <c r="X40" s="3918" t="s">
        <v>425</v>
      </c>
      <c r="Y40" s="3917"/>
      <c r="Z40" s="3918" t="s">
        <v>426</v>
      </c>
      <c r="AA40" s="3923"/>
      <c r="AB40" s="3917"/>
      <c r="AC40" s="4087"/>
      <c r="AD40" s="4003" t="s">
        <v>423</v>
      </c>
      <c r="AE40" s="4092"/>
      <c r="AF40" s="3918" t="s">
        <v>425</v>
      </c>
      <c r="AG40" s="3917"/>
      <c r="AH40" s="3918" t="s">
        <v>426</v>
      </c>
      <c r="AI40" s="3923"/>
      <c r="AJ40" s="3917"/>
      <c r="AK40" s="4087"/>
      <c r="AL40" s="4090"/>
      <c r="AM40" s="3946"/>
    </row>
    <row r="41" spans="1:44" ht="33.75" customHeight="1">
      <c r="A41" s="1286"/>
      <c r="B41" s="1286" t="s">
        <v>133</v>
      </c>
      <c r="C41" s="1286" t="s">
        <v>134</v>
      </c>
      <c r="D41" s="1286" t="s">
        <v>135</v>
      </c>
      <c r="E41" s="1280" t="s">
        <v>427</v>
      </c>
      <c r="F41" s="1280" t="s">
        <v>428</v>
      </c>
      <c r="G41" s="1280" t="s">
        <v>429</v>
      </c>
      <c r="H41" s="1280" t="s">
        <v>430</v>
      </c>
      <c r="I41" s="1280" t="s">
        <v>431</v>
      </c>
      <c r="J41" s="1280" t="s">
        <v>432</v>
      </c>
      <c r="K41" s="1280" t="s">
        <v>433</v>
      </c>
      <c r="L41" s="1280" t="s">
        <v>407</v>
      </c>
      <c r="Q41" s="305"/>
      <c r="R41" s="305"/>
      <c r="S41" s="4082"/>
      <c r="T41" s="4033"/>
      <c r="U41" s="221"/>
      <c r="V41" s="4053"/>
      <c r="W41" s="4093"/>
      <c r="X41" s="1128" t="s">
        <v>434</v>
      </c>
      <c r="Y41" s="1128" t="s">
        <v>435</v>
      </c>
      <c r="Z41" s="1255" t="s">
        <v>436</v>
      </c>
      <c r="AA41" s="4042" t="s">
        <v>437</v>
      </c>
      <c r="AB41" s="4044"/>
      <c r="AC41" s="4088"/>
      <c r="AD41" s="4053"/>
      <c r="AE41" s="4093"/>
      <c r="AF41" s="1128" t="s">
        <v>434</v>
      </c>
      <c r="AG41" s="1128" t="s">
        <v>435</v>
      </c>
      <c r="AH41" s="1255" t="s">
        <v>436</v>
      </c>
      <c r="AI41" s="4042" t="s">
        <v>437</v>
      </c>
      <c r="AJ41" s="4044"/>
      <c r="AK41" s="4088"/>
      <c r="AL41" s="4091"/>
      <c r="AM41" s="3946"/>
    </row>
    <row r="42" spans="1:44" s="1820"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107</v>
      </c>
      <c r="T42" s="1172" t="s">
        <v>108</v>
      </c>
      <c r="U42" s="1154" t="str">
        <f ca="1">OFFSET(U42,0,-1)</f>
        <v>2</v>
      </c>
      <c r="V42" s="1252">
        <f ca="1">OFFSET(V42,0,-1)+1</f>
        <v>3</v>
      </c>
      <c r="W42" s="1252"/>
      <c r="X42" s="1252">
        <f ca="1">OFFSET(X42,0,-1)+1</f>
        <v>1</v>
      </c>
      <c r="Y42" s="1252">
        <f ca="1">OFFSET(Y42,0,-1)+1</f>
        <v>2</v>
      </c>
      <c r="Z42" s="1252">
        <f ca="1">OFFSET(Z42,0,-1)+1</f>
        <v>3</v>
      </c>
      <c r="AA42" s="4081">
        <f ca="1">OFFSET(AA42,0,-1)+1</f>
        <v>4</v>
      </c>
      <c r="AB42" s="4081"/>
      <c r="AC42" s="1252">
        <f ca="1">OFFSET(AC42,0,-2)+1</f>
        <v>5</v>
      </c>
      <c r="AD42" s="1252">
        <f ca="1">OFFSET(AD42,0,-1)+1</f>
        <v>6</v>
      </c>
      <c r="AE42" s="1252"/>
      <c r="AF42" s="1252">
        <f ca="1">OFFSET(AF42,0,-1)+1</f>
        <v>1</v>
      </c>
      <c r="AG42" s="1252">
        <f ca="1">OFFSET(AG42,0,-1)+1</f>
        <v>2</v>
      </c>
      <c r="AH42" s="1252">
        <f ca="1">OFFSET(AH42,0,-1)+1</f>
        <v>3</v>
      </c>
      <c r="AI42" s="4081">
        <f ca="1">OFFSET(AI42,0,-1)+1</f>
        <v>4</v>
      </c>
      <c r="AJ42" s="4081"/>
      <c r="AK42" s="1252">
        <f ca="1">OFFSET(AK42,0,-2)+1</f>
        <v>5</v>
      </c>
      <c r="AL42" s="1154">
        <f ca="1">OFFSET(AL42,0,-1)</f>
        <v>5</v>
      </c>
      <c r="AM42" s="1252">
        <f ca="1">OFFSET(AM42,0,-1)+1</f>
        <v>6</v>
      </c>
      <c r="AN42" s="437"/>
      <c r="AO42" s="437"/>
      <c r="AP42" s="437"/>
      <c r="AQ42" s="437"/>
      <c r="AR42" s="437"/>
    </row>
    <row r="43" spans="1:44" ht="21" customHeight="1">
      <c r="A43" s="1279" t="s">
        <v>184</v>
      </c>
      <c r="B43" s="1279"/>
      <c r="C43" s="1279"/>
      <c r="D43" s="1279"/>
      <c r="E43" s="4074">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121</v>
      </c>
      <c r="U43" s="219"/>
      <c r="V43" s="4060"/>
      <c r="W43" s="4061"/>
      <c r="X43" s="4061"/>
      <c r="Y43" s="4061"/>
      <c r="Z43" s="4061"/>
      <c r="AA43" s="4061"/>
      <c r="AB43" s="4061"/>
      <c r="AC43" s="4062"/>
      <c r="AD43" s="4060" t="str">
        <f>INDEX(PT_DIFFERENTIATION_NTAR,MATCH(A43,PT_DIFFERENTIATION_NTAR_ID,0))</f>
        <v/>
      </c>
      <c r="AE43" s="4061"/>
      <c r="AF43" s="4061"/>
      <c r="AG43" s="4061"/>
      <c r="AH43" s="4061"/>
      <c r="AI43" s="4061"/>
      <c r="AJ43" s="4061"/>
      <c r="AK43" s="4061"/>
      <c r="AL43" s="4062"/>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79" t="s">
        <v>184</v>
      </c>
      <c r="B44" s="1279" t="s">
        <v>185</v>
      </c>
      <c r="C44" s="1279"/>
      <c r="D44" s="1279"/>
      <c r="E44" s="4075"/>
      <c r="F44" s="4074">
        <v>1</v>
      </c>
      <c r="G44" s="1279"/>
      <c r="H44" s="1279"/>
      <c r="I44" s="1279"/>
      <c r="J44" s="1279"/>
      <c r="K44" s="1279"/>
      <c r="L44" s="1280"/>
      <c r="M44" s="1281"/>
      <c r="N44" s="1281"/>
      <c r="O44" s="1281"/>
      <c r="P44" s="1249"/>
      <c r="Q44" s="277"/>
      <c r="R44" s="278"/>
      <c r="S44" s="1253" t="str">
        <f>INDEX(PT_DIFFERENTIATION_NUM_TER,MATCH(B44,PT_DIFFERENTIATION_TER_ID,0))</f>
        <v>.</v>
      </c>
      <c r="T44" s="229" t="s">
        <v>389</v>
      </c>
      <c r="U44" s="219"/>
      <c r="V44" s="4060"/>
      <c r="W44" s="4061"/>
      <c r="X44" s="4061"/>
      <c r="Y44" s="4061"/>
      <c r="Z44" s="4061"/>
      <c r="AA44" s="4061"/>
      <c r="AB44" s="4061"/>
      <c r="AC44" s="4062"/>
      <c r="AD44" s="4060" t="str">
        <f>INDEX(PT_DIFFERENTIATION_TER,MATCH(B44,PT_DIFFERENTIATION_TER_ID,0))</f>
        <v/>
      </c>
      <c r="AE44" s="4061"/>
      <c r="AF44" s="4061"/>
      <c r="AG44" s="4061"/>
      <c r="AH44" s="4061"/>
      <c r="AI44" s="4061"/>
      <c r="AJ44" s="4061"/>
      <c r="AK44" s="4061"/>
      <c r="AL44" s="4062"/>
      <c r="AM44" s="1177" t="s">
        <v>390</v>
      </c>
      <c r="AO44" s="426"/>
      <c r="AP44" s="426" t="str">
        <f t="shared" si="1"/>
        <v>Территория действия тарифа</v>
      </c>
      <c r="AQ44" s="426"/>
      <c r="AR44" s="426"/>
    </row>
    <row r="45" spans="1:44" ht="23.25" customHeight="1">
      <c r="A45" s="1279" t="s">
        <v>184</v>
      </c>
      <c r="B45" s="1279" t="s">
        <v>185</v>
      </c>
      <c r="C45" s="1279" t="s">
        <v>186</v>
      </c>
      <c r="D45" s="1279"/>
      <c r="E45" s="4075"/>
      <c r="F45" s="4075"/>
      <c r="G45" s="4074">
        <v>1</v>
      </c>
      <c r="H45" s="1279"/>
      <c r="I45" s="1279"/>
      <c r="J45" s="1279"/>
      <c r="K45" s="1279"/>
      <c r="L45" s="1280"/>
      <c r="M45" s="1281"/>
      <c r="N45" s="1281"/>
      <c r="O45" s="1281"/>
      <c r="P45" s="279"/>
      <c r="Q45" s="277"/>
      <c r="R45" s="278"/>
      <c r="S45" s="1253" t="str">
        <f>INDEX(PT_DIFFERENTIATION_NUM_CS,MATCH(C45,PT_DIFFERENTIATION_CS_ID,0))</f>
        <v>..</v>
      </c>
      <c r="T45" s="230" t="s">
        <v>391</v>
      </c>
      <c r="U45" s="219"/>
      <c r="V45" s="4060"/>
      <c r="W45" s="4061"/>
      <c r="X45" s="4061"/>
      <c r="Y45" s="4061"/>
      <c r="Z45" s="4061"/>
      <c r="AA45" s="4061"/>
      <c r="AB45" s="4061"/>
      <c r="AC45" s="4062"/>
      <c r="AD45" s="4060" t="str">
        <f>INDEX(PT_DIFFERENTIATION_CS,MATCH(C45,PT_DIFFERENTIATION_CS_ID,0))</f>
        <v/>
      </c>
      <c r="AE45" s="4061"/>
      <c r="AF45" s="4061"/>
      <c r="AG45" s="4061"/>
      <c r="AH45" s="4061"/>
      <c r="AI45" s="4061"/>
      <c r="AJ45" s="4061"/>
      <c r="AK45" s="4061"/>
      <c r="AL45" s="4062"/>
      <c r="AM45" s="1177" t="s">
        <v>392</v>
      </c>
      <c r="AO45" s="426"/>
      <c r="AP45" s="426" t="str">
        <f t="shared" si="1"/>
        <v xml:space="preserve">Наименование системы теплоснабжения </v>
      </c>
      <c r="AQ45" s="426"/>
      <c r="AR45" s="426"/>
    </row>
    <row r="46" spans="1:44" ht="21" customHeight="1">
      <c r="A46" s="1279" t="s">
        <v>184</v>
      </c>
      <c r="B46" s="1279" t="s">
        <v>185</v>
      </c>
      <c r="C46" s="1279" t="s">
        <v>186</v>
      </c>
      <c r="D46" s="1279" t="s">
        <v>187</v>
      </c>
      <c r="E46" s="4075"/>
      <c r="F46" s="4075"/>
      <c r="G46" s="4075"/>
      <c r="H46" s="4074">
        <v>1</v>
      </c>
      <c r="I46" s="1279"/>
      <c r="J46" s="1279"/>
      <c r="K46" s="1279"/>
      <c r="L46" s="1280"/>
      <c r="M46" s="1281"/>
      <c r="N46" s="1281"/>
      <c r="O46" s="1281"/>
      <c r="P46" s="279"/>
      <c r="Q46" s="277"/>
      <c r="R46" s="278"/>
      <c r="S46" s="1253" t="str">
        <f>INDEX(PT_DIFFERENTIATION_NUM_IST_TE,MATCH(D46,PT_DIFFERENTIATION_IST_TE_ID,0))</f>
        <v>...</v>
      </c>
      <c r="T46" s="231" t="s">
        <v>393</v>
      </c>
      <c r="U46" s="219"/>
      <c r="V46" s="4060"/>
      <c r="W46" s="4061"/>
      <c r="X46" s="4061"/>
      <c r="Y46" s="4061"/>
      <c r="Z46" s="4061"/>
      <c r="AA46" s="4061"/>
      <c r="AB46" s="4061"/>
      <c r="AC46" s="4062"/>
      <c r="AD46" s="4060" t="str">
        <f>INDEX(PT_DIFFERENTIATION_IST_TE,MATCH(D46,PT_DIFFERENTIATION_IST_TE_ID,0))</f>
        <v/>
      </c>
      <c r="AE46" s="4061"/>
      <c r="AF46" s="4061"/>
      <c r="AG46" s="4061"/>
      <c r="AH46" s="4061"/>
      <c r="AI46" s="4061"/>
      <c r="AJ46" s="4061"/>
      <c r="AK46" s="4061"/>
      <c r="AL46" s="4062"/>
      <c r="AM46" s="1177" t="s">
        <v>394</v>
      </c>
      <c r="AO46" s="426"/>
      <c r="AP46" s="426" t="str">
        <f t="shared" si="1"/>
        <v xml:space="preserve">Источник тепловой энергии  </v>
      </c>
      <c r="AQ46" s="426"/>
      <c r="AR46" s="426"/>
    </row>
    <row r="47" spans="1:44" s="1821" customFormat="1" ht="0" hidden="1" customHeight="1">
      <c r="A47" s="1260" t="s">
        <v>184</v>
      </c>
      <c r="B47" s="1260" t="s">
        <v>185</v>
      </c>
      <c r="C47" s="1260" t="s">
        <v>186</v>
      </c>
      <c r="D47" s="1260" t="s">
        <v>187</v>
      </c>
      <c r="E47" s="4075"/>
      <c r="F47" s="4075"/>
      <c r="G47" s="4075"/>
      <c r="H47" s="4075"/>
      <c r="I47" s="4072" t="str">
        <f>S46&amp;".1"</f>
        <v>....1</v>
      </c>
      <c r="J47" s="1260"/>
      <c r="K47" s="1260"/>
      <c r="L47" s="1263" t="s">
        <v>395</v>
      </c>
      <c r="M47" s="436"/>
      <c r="N47" s="436"/>
      <c r="O47" s="436"/>
      <c r="P47" s="4073">
        <v>1</v>
      </c>
      <c r="Q47" s="1248"/>
      <c r="R47" s="281"/>
      <c r="S47" s="949"/>
      <c r="T47" s="1299"/>
      <c r="U47" s="1300"/>
      <c r="V47" s="4101"/>
      <c r="W47" s="4102"/>
      <c r="X47" s="4102"/>
      <c r="Y47" s="4102"/>
      <c r="Z47" s="4102"/>
      <c r="AA47" s="4102"/>
      <c r="AB47" s="4102"/>
      <c r="AC47" s="4103"/>
      <c r="AD47" s="4101"/>
      <c r="AE47" s="4102"/>
      <c r="AF47" s="4102"/>
      <c r="AG47" s="4102"/>
      <c r="AH47" s="4102"/>
      <c r="AI47" s="4102"/>
      <c r="AJ47" s="4102"/>
      <c r="AK47" s="4102"/>
      <c r="AL47" s="4103"/>
      <c r="AM47" s="1301"/>
      <c r="AO47" s="426"/>
      <c r="AP47" s="426" t="str">
        <f t="shared" si="1"/>
        <v/>
      </c>
      <c r="AQ47" s="426"/>
      <c r="AR47" s="426"/>
    </row>
    <row r="48" spans="1:44" ht="21" customHeight="1">
      <c r="A48" s="1279" t="s">
        <v>184</v>
      </c>
      <c r="B48" s="1279" t="s">
        <v>185</v>
      </c>
      <c r="C48" s="1279" t="s">
        <v>186</v>
      </c>
      <c r="D48" s="1279" t="s">
        <v>187</v>
      </c>
      <c r="E48" s="4075"/>
      <c r="F48" s="4075"/>
      <c r="G48" s="4075"/>
      <c r="H48" s="4075"/>
      <c r="I48" s="4095"/>
      <c r="J48" s="4072" t="str">
        <f>S46&amp;".1"</f>
        <v>....1</v>
      </c>
      <c r="K48" s="1279"/>
      <c r="L48" s="1280" t="s">
        <v>398</v>
      </c>
      <c r="P48" s="4073"/>
      <c r="Q48" s="4073">
        <v>1</v>
      </c>
      <c r="R48" s="282"/>
      <c r="S48" s="1253" t="str">
        <f>$J48</f>
        <v>....1</v>
      </c>
      <c r="T48" s="205" t="s">
        <v>399</v>
      </c>
      <c r="U48" s="219"/>
      <c r="V48" s="4063"/>
      <c r="W48" s="4064"/>
      <c r="X48" s="4064"/>
      <c r="Y48" s="4064"/>
      <c r="Z48" s="4064"/>
      <c r="AA48" s="4064"/>
      <c r="AB48" s="4064"/>
      <c r="AC48" s="4065"/>
      <c r="AD48" s="4063"/>
      <c r="AE48" s="4064"/>
      <c r="AF48" s="4064"/>
      <c r="AG48" s="4064"/>
      <c r="AH48" s="4064"/>
      <c r="AI48" s="4064"/>
      <c r="AJ48" s="4064"/>
      <c r="AK48" s="4064"/>
      <c r="AL48" s="4065"/>
      <c r="AM48" s="1177" t="s">
        <v>400</v>
      </c>
      <c r="AO48" s="426"/>
      <c r="AP48" s="426" t="str">
        <f t="shared" si="1"/>
        <v>Группа потребителей</v>
      </c>
      <c r="AQ48" s="426"/>
      <c r="AR48" s="426"/>
    </row>
    <row r="49" spans="1:44" ht="21" customHeight="1">
      <c r="A49" s="1279" t="s">
        <v>184</v>
      </c>
      <c r="B49" s="1279" t="s">
        <v>185</v>
      </c>
      <c r="C49" s="1279" t="s">
        <v>186</v>
      </c>
      <c r="D49" s="1279" t="s">
        <v>187</v>
      </c>
      <c r="E49" s="4075"/>
      <c r="F49" s="4075"/>
      <c r="G49" s="4075"/>
      <c r="H49" s="4075"/>
      <c r="I49" s="4095"/>
      <c r="J49" s="4095"/>
      <c r="K49" s="4072" t="str">
        <f>J48&amp;".1"</f>
        <v>....1.1</v>
      </c>
      <c r="L49" s="1280" t="s">
        <v>401</v>
      </c>
      <c r="P49" s="4073"/>
      <c r="Q49" s="4073"/>
      <c r="R49" s="282">
        <v>1</v>
      </c>
      <c r="S49" s="1253" t="str">
        <f>$K49</f>
        <v>....1.1</v>
      </c>
      <c r="T49" s="1264"/>
      <c r="U49" s="219"/>
      <c r="V49" s="668"/>
      <c r="W49" s="251"/>
      <c r="X49" s="668"/>
      <c r="Y49" s="1176"/>
      <c r="Z49" s="4077"/>
      <c r="AA49" s="3927" t="s">
        <v>65</v>
      </c>
      <c r="AB49" s="4077"/>
      <c r="AC49" s="3927" t="s">
        <v>65</v>
      </c>
      <c r="AD49" s="668"/>
      <c r="AE49" s="251"/>
      <c r="AF49" s="668"/>
      <c r="AG49" s="1176"/>
      <c r="AH49" s="4077"/>
      <c r="AI49" s="3927" t="s">
        <v>65</v>
      </c>
      <c r="AJ49" s="4096"/>
      <c r="AK49" s="3927" t="s">
        <v>65</v>
      </c>
      <c r="AL49" s="1265"/>
      <c r="AM49" s="4069" t="s">
        <v>441</v>
      </c>
      <c r="AN49" s="437" t="e">
        <f ca="1">STRCHECKDATE(V50:AL50)</f>
        <v>#NAME?</v>
      </c>
      <c r="AO49" s="426"/>
      <c r="AP49" s="426" t="str">
        <f t="shared" si="1"/>
        <v/>
      </c>
      <c r="AQ49" s="426"/>
      <c r="AR49" s="426"/>
    </row>
    <row r="50" spans="1:44" ht="0.75" customHeight="1">
      <c r="A50" s="1279" t="s">
        <v>184</v>
      </c>
      <c r="B50" s="1279" t="s">
        <v>185</v>
      </c>
      <c r="C50" s="1279" t="s">
        <v>186</v>
      </c>
      <c r="D50" s="1279" t="s">
        <v>187</v>
      </c>
      <c r="E50" s="4075"/>
      <c r="F50" s="4075"/>
      <c r="G50" s="4075"/>
      <c r="H50" s="4075"/>
      <c r="I50" s="4095"/>
      <c r="J50" s="4095"/>
      <c r="K50" s="4072"/>
      <c r="L50" s="1280"/>
      <c r="P50" s="4073"/>
      <c r="Q50" s="4073"/>
      <c r="R50" s="282"/>
      <c r="S50" s="1259"/>
      <c r="T50" s="219"/>
      <c r="U50" s="219"/>
      <c r="V50" s="251"/>
      <c r="W50" s="251"/>
      <c r="X50" s="251"/>
      <c r="Y50" s="255" t="str">
        <f>Z49&amp;"-"&amp;AB49</f>
        <v>-</v>
      </c>
      <c r="Z50" s="4078"/>
      <c r="AA50" s="3927"/>
      <c r="AB50" s="4078"/>
      <c r="AC50" s="3927"/>
      <c r="AD50" s="251"/>
      <c r="AE50" s="251"/>
      <c r="AF50" s="251"/>
      <c r="AG50" s="255" t="str">
        <f>AH49&amp;"-"&amp;AJ49</f>
        <v>-</v>
      </c>
      <c r="AH50" s="4078"/>
      <c r="AI50" s="3927"/>
      <c r="AJ50" s="4097"/>
      <c r="AK50" s="3927"/>
      <c r="AL50" s="1266"/>
      <c r="AM50" s="4070"/>
      <c r="AO50" s="426"/>
      <c r="AP50" s="426" t="str">
        <f t="shared" si="1"/>
        <v/>
      </c>
      <c r="AQ50" s="426"/>
      <c r="AR50" s="426"/>
    </row>
    <row r="51" spans="1:44" ht="11.25" customHeight="1">
      <c r="A51" s="1279" t="s">
        <v>184</v>
      </c>
      <c r="B51" s="1279" t="s">
        <v>185</v>
      </c>
      <c r="C51" s="1279" t="s">
        <v>186</v>
      </c>
      <c r="D51" s="1279" t="s">
        <v>187</v>
      </c>
      <c r="E51" s="4075"/>
      <c r="F51" s="4075"/>
      <c r="G51" s="4075"/>
      <c r="H51" s="4075"/>
      <c r="I51" s="4095"/>
      <c r="J51" s="4072"/>
      <c r="K51" s="1279"/>
      <c r="L51" s="1280"/>
      <c r="P51" s="4073"/>
      <c r="Q51" s="4073"/>
      <c r="R51" s="281"/>
      <c r="S51" s="1198"/>
      <c r="T51" s="206" t="s">
        <v>403</v>
      </c>
      <c r="U51" s="295"/>
      <c r="V51" s="295"/>
      <c r="W51" s="295"/>
      <c r="X51" s="295"/>
      <c r="Y51" s="295"/>
      <c r="Z51" s="295"/>
      <c r="AA51" s="295"/>
      <c r="AB51" s="295"/>
      <c r="AC51" s="295"/>
      <c r="AD51" s="295"/>
      <c r="AE51" s="295"/>
      <c r="AF51" s="295"/>
      <c r="AG51" s="295"/>
      <c r="AH51" s="295"/>
      <c r="AI51" s="295"/>
      <c r="AJ51" s="295"/>
      <c r="AK51" s="295"/>
      <c r="AL51" s="250"/>
      <c r="AM51" s="4071"/>
      <c r="AO51" s="426"/>
      <c r="AP51" s="426" t="str">
        <f t="shared" si="1"/>
        <v>Добавить вид теплоносителя (параметры теплоносителя)</v>
      </c>
      <c r="AQ51" s="426"/>
      <c r="AR51" s="426"/>
    </row>
    <row r="52" spans="1:44" ht="11.25" customHeight="1">
      <c r="A52" s="1279" t="s">
        <v>184</v>
      </c>
      <c r="B52" s="1279" t="s">
        <v>185</v>
      </c>
      <c r="C52" s="1279" t="s">
        <v>186</v>
      </c>
      <c r="D52" s="1279" t="s">
        <v>187</v>
      </c>
      <c r="E52" s="4075"/>
      <c r="F52" s="4075"/>
      <c r="G52" s="4075"/>
      <c r="H52" s="4075"/>
      <c r="I52" s="4072"/>
      <c r="J52" s="1279"/>
      <c r="K52" s="1279"/>
      <c r="L52" s="1280"/>
      <c r="P52" s="4073"/>
      <c r="Q52" s="1248"/>
      <c r="R52" s="281"/>
      <c r="S52" s="1198"/>
      <c r="T52" s="292" t="s">
        <v>404</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184</v>
      </c>
      <c r="B53" s="1279" t="s">
        <v>185</v>
      </c>
      <c r="C53" s="1279" t="s">
        <v>186</v>
      </c>
      <c r="D53" s="1279" t="s">
        <v>187</v>
      </c>
      <c r="E53" s="4075"/>
      <c r="F53" s="4075"/>
      <c r="G53" s="4075"/>
      <c r="H53" s="4074"/>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2550" customFormat="1" ht="0.75" customHeight="1">
      <c r="A54" s="1260" t="s">
        <v>184</v>
      </c>
      <c r="B54" s="1260" t="s">
        <v>185</v>
      </c>
      <c r="C54" s="1260" t="s">
        <v>186</v>
      </c>
      <c r="D54" s="1232"/>
      <c r="E54" s="4075"/>
      <c r="F54" s="4075"/>
      <c r="G54" s="4074"/>
      <c r="H54" s="1232"/>
      <c r="I54" s="1232"/>
      <c r="J54" s="1232"/>
      <c r="K54" s="1232"/>
      <c r="L54" s="1256"/>
      <c r="M54" s="1233"/>
      <c r="N54" s="1233"/>
      <c r="P54" s="1234"/>
      <c r="Q54" s="1235"/>
      <c r="R54" s="1234"/>
      <c r="S54" s="1240"/>
      <c r="T54" s="1243" t="s">
        <v>166</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2550" customFormat="1" ht="0.75" customHeight="1">
      <c r="A55" s="1260" t="s">
        <v>184</v>
      </c>
      <c r="B55" s="1260" t="s">
        <v>185</v>
      </c>
      <c r="C55" s="1232"/>
      <c r="D55" s="1232"/>
      <c r="E55" s="4075"/>
      <c r="F55" s="4074"/>
      <c r="G55" s="1232"/>
      <c r="H55" s="1232"/>
      <c r="I55" s="1232"/>
      <c r="J55" s="1232"/>
      <c r="K55" s="1232"/>
      <c r="L55" s="1256"/>
      <c r="M55" s="1239"/>
      <c r="N55" s="1239"/>
      <c r="P55" s="1234"/>
      <c r="Q55" s="1235"/>
      <c r="R55" s="1234"/>
      <c r="S55" s="1240"/>
      <c r="T55" s="1243" t="s">
        <v>167</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21" customFormat="1" ht="0.75" customHeight="1">
      <c r="A56" s="1260" t="s">
        <v>184</v>
      </c>
      <c r="B56" s="1260"/>
      <c r="C56" s="1260"/>
      <c r="D56" s="1260"/>
      <c r="E56" s="4074"/>
      <c r="F56" s="1260"/>
      <c r="G56" s="1260"/>
      <c r="H56" s="1260"/>
      <c r="I56" s="1260"/>
      <c r="J56" s="1260"/>
      <c r="K56" s="1260"/>
      <c r="L56" s="1263"/>
      <c r="M56" s="1239"/>
      <c r="N56" s="1239"/>
      <c r="O56" s="444"/>
      <c r="P56" s="313"/>
      <c r="Q56" s="1261"/>
      <c r="R56" s="313"/>
      <c r="S56" s="1240"/>
      <c r="T56" s="1243" t="s">
        <v>168</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2550"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169</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1.75" customHeight="1">
      <c r="O59" s="462"/>
      <c r="S59" s="1164"/>
      <c r="T59" s="4094"/>
      <c r="U59" s="4094"/>
      <c r="V59" s="4094"/>
      <c r="W59" s="4094"/>
      <c r="X59" s="4094"/>
      <c r="Y59" s="4094"/>
      <c r="Z59" s="4094"/>
      <c r="AA59" s="4094"/>
      <c r="AB59" s="4094"/>
      <c r="AC59" s="4094"/>
      <c r="AD59" s="4094"/>
      <c r="AE59" s="4094"/>
      <c r="AF59" s="4094"/>
      <c r="AG59" s="4094"/>
      <c r="AH59" s="4094"/>
      <c r="AI59" s="4094"/>
      <c r="AJ59" s="4094"/>
      <c r="AK59" s="4094"/>
      <c r="AL59" s="4094"/>
      <c r="AM59" s="4094"/>
    </row>
    <row r="60" spans="1:44" ht="29.25" customHeight="1">
      <c r="O60" s="462"/>
      <c r="T60" s="4094"/>
      <c r="U60" s="4094"/>
      <c r="V60" s="4094"/>
      <c r="W60" s="4094"/>
      <c r="X60" s="4094"/>
      <c r="Y60" s="4094"/>
      <c r="Z60" s="4094"/>
      <c r="AA60" s="4094"/>
      <c r="AB60" s="4094"/>
      <c r="AC60" s="4094"/>
      <c r="AD60" s="4094"/>
      <c r="AE60" s="4094"/>
      <c r="AF60" s="4094"/>
      <c r="AG60" s="4094"/>
      <c r="AH60" s="4094"/>
      <c r="AI60" s="4094"/>
      <c r="AJ60" s="4094"/>
      <c r="AK60" s="4094"/>
      <c r="AL60" s="4094"/>
      <c r="AM60" s="4094"/>
    </row>
    <row r="61" spans="1:44" ht="39.75" customHeight="1">
      <c r="O61" s="462"/>
      <c r="T61" s="4094"/>
      <c r="U61" s="4094"/>
      <c r="V61" s="4094"/>
      <c r="W61" s="4094"/>
      <c r="X61" s="4094"/>
      <c r="Y61" s="4094"/>
      <c r="Z61" s="4094"/>
      <c r="AA61" s="4094"/>
      <c r="AB61" s="4094"/>
      <c r="AC61" s="4094"/>
      <c r="AD61" s="4094"/>
      <c r="AE61" s="4094"/>
      <c r="AF61" s="4094"/>
      <c r="AG61" s="4094"/>
      <c r="AH61" s="4094"/>
      <c r="AI61" s="4094"/>
      <c r="AJ61" s="4094"/>
      <c r="AK61" s="4094"/>
      <c r="AL61" s="4094"/>
      <c r="AM61" s="4094"/>
    </row>
    <row r="62" spans="1:44" ht="14.25" customHeight="1">
      <c r="O62" s="462"/>
    </row>
    <row r="63" spans="1:44" ht="19.5" customHeight="1">
      <c r="O63" s="462"/>
      <c r="S63" s="1164"/>
      <c r="T63" s="3995"/>
      <c r="U63" s="4094"/>
      <c r="V63" s="4094"/>
      <c r="W63" s="4094"/>
      <c r="X63" s="4094"/>
      <c r="Y63" s="4094"/>
      <c r="Z63" s="4094"/>
      <c r="AA63" s="4094"/>
      <c r="AB63" s="4094"/>
      <c r="AC63" s="4094"/>
      <c r="AD63" s="4094"/>
      <c r="AE63" s="4094"/>
      <c r="AF63" s="4094"/>
      <c r="AG63" s="4094"/>
      <c r="AH63" s="4094"/>
      <c r="AI63" s="4094"/>
      <c r="AJ63" s="4094"/>
      <c r="AK63" s="4094"/>
      <c r="AL63" s="4094"/>
      <c r="AM63" s="4094"/>
    </row>
    <row r="64" spans="1:44" ht="27.75" customHeight="1">
      <c r="O64" s="462"/>
      <c r="T64" s="4094"/>
      <c r="U64" s="4094"/>
      <c r="V64" s="4094"/>
      <c r="W64" s="4094"/>
      <c r="X64" s="4094"/>
      <c r="Y64" s="4094"/>
      <c r="Z64" s="4094"/>
      <c r="AA64" s="4094"/>
      <c r="AB64" s="4094"/>
      <c r="AC64" s="4094"/>
      <c r="AD64" s="4094"/>
      <c r="AE64" s="4094"/>
      <c r="AF64" s="4094"/>
      <c r="AG64" s="4094"/>
      <c r="AH64" s="4094"/>
      <c r="AI64" s="4094"/>
      <c r="AJ64" s="4094"/>
      <c r="AK64" s="4094"/>
      <c r="AL64" s="4094"/>
      <c r="AM64" s="4094"/>
    </row>
    <row r="65" spans="20:39" ht="33.75" customHeight="1">
      <c r="T65" s="4094"/>
      <c r="U65" s="4094"/>
      <c r="V65" s="4094"/>
      <c r="W65" s="4094"/>
      <c r="X65" s="4094"/>
      <c r="Y65" s="4094"/>
      <c r="Z65" s="4094"/>
      <c r="AA65" s="4094"/>
      <c r="AB65" s="4094"/>
      <c r="AC65" s="4094"/>
      <c r="AD65" s="4094"/>
      <c r="AE65" s="4094"/>
      <c r="AF65" s="4094"/>
      <c r="AG65" s="4094"/>
      <c r="AH65" s="4094"/>
      <c r="AI65" s="4094"/>
      <c r="AJ65" s="4094"/>
      <c r="AK65" s="4094"/>
      <c r="AL65" s="4094"/>
      <c r="AM65" s="4094"/>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2553" hidden="1"/>
    <col min="2" max="2" width="11" style="2553" hidden="1" customWidth="1"/>
    <col min="3" max="3" width="10.5703125" style="2553" hidden="1"/>
    <col min="4" max="4" width="11.85546875" style="2553" hidden="1" customWidth="1"/>
    <col min="5" max="5" width="10" style="2553" hidden="1" customWidth="1"/>
    <col min="6" max="6" width="8.7109375" style="2553" hidden="1" customWidth="1"/>
    <col min="7" max="7" width="7.5703125" style="2553" hidden="1" customWidth="1"/>
    <col min="8" max="8" width="11.42578125" style="2553" hidden="1" customWidth="1"/>
    <col min="9" max="9" width="12" style="2553" hidden="1" customWidth="1"/>
    <col min="10" max="10" width="9.85546875" style="2553" hidden="1" customWidth="1"/>
    <col min="11" max="11" width="11.42578125" style="2553" hidden="1" customWidth="1"/>
    <col min="12" max="12" width="19.140625" style="2554" hidden="1" customWidth="1"/>
    <col min="13" max="14" width="12.28515625" style="2555" hidden="1" customWidth="1"/>
    <col min="15" max="15" width="23.42578125" style="2555" hidden="1" customWidth="1"/>
    <col min="16" max="16" width="3.7109375" style="2565" hidden="1" customWidth="1"/>
    <col min="17" max="18" width="3.7109375" style="3173" customWidth="1"/>
    <col min="19" max="19" width="12.7109375" style="3174" customWidth="1"/>
    <col min="20" max="20" width="32" style="1920" customWidth="1"/>
    <col min="21" max="21" width="0.140625" style="1920" customWidth="1"/>
    <col min="22" max="22" width="24.7109375" style="1920" hidden="1" customWidth="1"/>
    <col min="23" max="23" width="0.140625" style="1920" hidden="1" customWidth="1"/>
    <col min="24" max="25" width="24.7109375" style="1920" hidden="1" customWidth="1"/>
    <col min="26" max="26" width="11.7109375" style="1920" hidden="1" customWidth="1"/>
    <col min="27" max="27" width="3.7109375" style="1920" hidden="1" customWidth="1"/>
    <col min="28" max="28" width="11.7109375" style="1920" hidden="1" customWidth="1"/>
    <col min="29" max="29" width="8.5703125" style="1920" hidden="1" customWidth="1"/>
    <col min="30" max="30" width="24.7109375" style="1920" customWidth="1"/>
    <col min="31" max="31" width="0.140625" style="1920" customWidth="1"/>
    <col min="32" max="33" width="24.7109375" style="1920" customWidth="1"/>
    <col min="34" max="34" width="11.7109375" style="1920" customWidth="1"/>
    <col min="35" max="35" width="3.7109375" style="1920" customWidth="1"/>
    <col min="36" max="36" width="11.7109375" style="1920" customWidth="1"/>
    <col min="37" max="37" width="8.5703125" style="1920" hidden="1" customWidth="1"/>
    <col min="38" max="38" width="4.7109375" style="1920" customWidth="1"/>
    <col min="39" max="39" width="115.7109375" style="1920" customWidth="1"/>
    <col min="40" max="41" width="10.5703125" style="1821"/>
    <col min="42" max="42" width="11.140625" style="1821" customWidth="1"/>
    <col min="43" max="44" width="10.5703125" style="1821"/>
  </cols>
  <sheetData>
    <row r="1" spans="1:44" ht="14.25" hidden="1" customHeight="1">
      <c r="Y1" s="254"/>
      <c r="Z1" s="254"/>
      <c r="AG1" s="254"/>
      <c r="AH1" s="254"/>
    </row>
    <row r="2" spans="1:44" ht="21" hidden="1" customHeight="1">
      <c r="A2" s="1279"/>
      <c r="B2" s="1279"/>
      <c r="C2" s="1279"/>
      <c r="D2" s="1279"/>
      <c r="E2" s="4074">
        <v>1</v>
      </c>
      <c r="F2" s="1279"/>
      <c r="G2" s="1279"/>
      <c r="H2" s="1279"/>
      <c r="I2" s="1279"/>
      <c r="J2" s="1279"/>
      <c r="K2" s="1279"/>
      <c r="L2" s="1280"/>
      <c r="M2" s="1281"/>
      <c r="N2" s="1281"/>
      <c r="O2" s="1281"/>
      <c r="P2" s="286"/>
      <c r="Q2" s="285"/>
      <c r="R2" s="280"/>
      <c r="S2" s="1253" t="e">
        <f>INDEX(PT_DIFFERENTIATION_NUM_NTAR,MATCH(A2,PT_DIFFERENTIATION_NTAR_ID,0))</f>
        <v>#N/A</v>
      </c>
      <c r="T2" s="217" t="s">
        <v>121</v>
      </c>
      <c r="U2" s="219"/>
      <c r="V2" s="4060"/>
      <c r="W2" s="4061"/>
      <c r="X2" s="4061"/>
      <c r="Y2" s="4061"/>
      <c r="Z2" s="4061"/>
      <c r="AA2" s="4061"/>
      <c r="AB2" s="4061"/>
      <c r="AC2" s="4062"/>
      <c r="AD2" s="4060" t="e">
        <f>INDEX(PT_DIFFERENTIATION_NTAR,MATCH(A2,PT_DIFFERENTIATION_NTAR_ID,0))</f>
        <v>#N/A</v>
      </c>
      <c r="AE2" s="4061"/>
      <c r="AF2" s="4061"/>
      <c r="AG2" s="4061"/>
      <c r="AH2" s="4061"/>
      <c r="AI2" s="4061"/>
      <c r="AJ2" s="4061"/>
      <c r="AK2" s="4061"/>
      <c r="AL2" s="4062"/>
      <c r="AM2" s="1177" t="s">
        <v>388</v>
      </c>
      <c r="AO2" s="426"/>
      <c r="AP2" s="426" t="str">
        <f t="shared" ref="AP2:AP15" si="0">IF(T2="","",T2)</f>
        <v>Наименование тарифа</v>
      </c>
      <c r="AQ2" s="426"/>
      <c r="AR2" s="426"/>
    </row>
    <row r="3" spans="1:44" ht="21" hidden="1" customHeight="1">
      <c r="A3" s="1279"/>
      <c r="B3" s="1279"/>
      <c r="C3" s="1279"/>
      <c r="D3" s="1279"/>
      <c r="E3" s="4075"/>
      <c r="F3" s="4074">
        <v>1</v>
      </c>
      <c r="G3" s="1279"/>
      <c r="H3" s="1279"/>
      <c r="I3" s="1279"/>
      <c r="J3" s="1279"/>
      <c r="K3" s="1279"/>
      <c r="L3" s="1280"/>
      <c r="M3" s="1281"/>
      <c r="N3" s="1281"/>
      <c r="O3" s="1281"/>
      <c r="P3" s="1249"/>
      <c r="Q3" s="277"/>
      <c r="R3" s="278"/>
      <c r="S3" s="1253" t="e">
        <f>INDEX(PT_DIFFERENTIATION_NUM_TER,MATCH(B3,PT_DIFFERENTIATION_TER_ID,0))</f>
        <v>#N/A</v>
      </c>
      <c r="T3" s="229" t="s">
        <v>389</v>
      </c>
      <c r="U3" s="219"/>
      <c r="V3" s="4060"/>
      <c r="W3" s="4061"/>
      <c r="X3" s="4061"/>
      <c r="Y3" s="4061"/>
      <c r="Z3" s="4061"/>
      <c r="AA3" s="4061"/>
      <c r="AB3" s="4061"/>
      <c r="AC3" s="4062"/>
      <c r="AD3" s="4060" t="e">
        <f>INDEX(PT_DIFFERENTIATION_TER,MATCH(B3,PT_DIFFERENTIATION_TER_ID,0))</f>
        <v>#N/A</v>
      </c>
      <c r="AE3" s="4061"/>
      <c r="AF3" s="4061"/>
      <c r="AG3" s="4061"/>
      <c r="AH3" s="4061"/>
      <c r="AI3" s="4061"/>
      <c r="AJ3" s="4061"/>
      <c r="AK3" s="4061"/>
      <c r="AL3" s="4062"/>
      <c r="AM3" s="1177" t="s">
        <v>390</v>
      </c>
      <c r="AO3" s="426"/>
      <c r="AP3" s="426" t="str">
        <f t="shared" si="0"/>
        <v>Территория действия тарифа</v>
      </c>
      <c r="AQ3" s="426"/>
      <c r="AR3" s="426"/>
    </row>
    <row r="4" spans="1:44" ht="23.25" hidden="1" customHeight="1">
      <c r="A4" s="1279"/>
      <c r="B4" s="1279"/>
      <c r="C4" s="1279"/>
      <c r="D4" s="1279"/>
      <c r="E4" s="4075"/>
      <c r="F4" s="4075"/>
      <c r="G4" s="4074">
        <v>1</v>
      </c>
      <c r="H4" s="1279"/>
      <c r="I4" s="1279"/>
      <c r="J4" s="1279"/>
      <c r="K4" s="1279"/>
      <c r="L4" s="1280"/>
      <c r="M4" s="1281"/>
      <c r="N4" s="1281"/>
      <c r="O4" s="1281"/>
      <c r="P4" s="279"/>
      <c r="Q4" s="277"/>
      <c r="R4" s="278"/>
      <c r="S4" s="1253" t="e">
        <f>INDEX(PT_DIFFERENTIATION_NUM_CS,MATCH(C4,PT_DIFFERENTIATION_CS_ID,0))</f>
        <v>#N/A</v>
      </c>
      <c r="T4" s="230" t="s">
        <v>391</v>
      </c>
      <c r="U4" s="219"/>
      <c r="V4" s="4060"/>
      <c r="W4" s="4061"/>
      <c r="X4" s="4061"/>
      <c r="Y4" s="4061"/>
      <c r="Z4" s="4061"/>
      <c r="AA4" s="4061"/>
      <c r="AB4" s="4061"/>
      <c r="AC4" s="4062"/>
      <c r="AD4" s="4060" t="e">
        <f>INDEX(PT_DIFFERENTIATION_CS,MATCH(C4,PT_DIFFERENTIATION_CS_ID,0))</f>
        <v>#N/A</v>
      </c>
      <c r="AE4" s="4061"/>
      <c r="AF4" s="4061"/>
      <c r="AG4" s="4061"/>
      <c r="AH4" s="4061"/>
      <c r="AI4" s="4061"/>
      <c r="AJ4" s="4061"/>
      <c r="AK4" s="4061"/>
      <c r="AL4" s="4062"/>
      <c r="AM4" s="1177" t="s">
        <v>392</v>
      </c>
      <c r="AO4" s="426"/>
      <c r="AP4" s="426" t="str">
        <f t="shared" si="0"/>
        <v xml:space="preserve">Наименование системы теплоснабжения </v>
      </c>
      <c r="AQ4" s="426"/>
      <c r="AR4" s="426"/>
    </row>
    <row r="5" spans="1:44" ht="21" hidden="1" customHeight="1">
      <c r="A5" s="1279"/>
      <c r="B5" s="1279"/>
      <c r="C5" s="1279"/>
      <c r="D5" s="1279"/>
      <c r="E5" s="4075"/>
      <c r="F5" s="4075"/>
      <c r="G5" s="4075"/>
      <c r="H5" s="4074">
        <v>1</v>
      </c>
      <c r="I5" s="1279"/>
      <c r="J5" s="1279"/>
      <c r="K5" s="1279"/>
      <c r="L5" s="1280"/>
      <c r="M5" s="1281"/>
      <c r="N5" s="1281"/>
      <c r="O5" s="1281"/>
      <c r="P5" s="279"/>
      <c r="Q5" s="277"/>
      <c r="R5" s="278"/>
      <c r="S5" s="1253" t="e">
        <f>INDEX(PT_DIFFERENTIATION_NUM_IST_TE,MATCH(D5,PT_DIFFERENTIATION_IST_TE_ID,0))</f>
        <v>#N/A</v>
      </c>
      <c r="T5" s="231" t="s">
        <v>393</v>
      </c>
      <c r="U5" s="219"/>
      <c r="V5" s="4060"/>
      <c r="W5" s="4061"/>
      <c r="X5" s="4061"/>
      <c r="Y5" s="4061"/>
      <c r="Z5" s="4061"/>
      <c r="AA5" s="4061"/>
      <c r="AB5" s="4061"/>
      <c r="AC5" s="4062"/>
      <c r="AD5" s="4060" t="e">
        <f>INDEX(PT_DIFFERENTIATION_IST_TE,MATCH(D5,PT_DIFFERENTIATION_IST_TE_ID,0))</f>
        <v>#N/A</v>
      </c>
      <c r="AE5" s="4061"/>
      <c r="AF5" s="4061"/>
      <c r="AG5" s="4061"/>
      <c r="AH5" s="4061"/>
      <c r="AI5" s="4061"/>
      <c r="AJ5" s="4061"/>
      <c r="AK5" s="4061"/>
      <c r="AL5" s="4062"/>
      <c r="AM5" s="1177" t="s">
        <v>394</v>
      </c>
      <c r="AO5" s="426"/>
      <c r="AP5" s="426" t="str">
        <f t="shared" si="0"/>
        <v xml:space="preserve">Источник тепловой энергии  </v>
      </c>
      <c r="AQ5" s="426"/>
      <c r="AR5" s="426"/>
    </row>
    <row r="6" spans="1:44" ht="14.25" hidden="1" customHeight="1">
      <c r="A6" s="1279"/>
      <c r="B6" s="1279"/>
      <c r="C6" s="1279"/>
      <c r="D6" s="1279"/>
      <c r="E6" s="4075"/>
      <c r="F6" s="4075"/>
      <c r="G6" s="4075"/>
      <c r="H6" s="4075"/>
      <c r="I6" s="4072" t="e">
        <f>S5&amp;".1"</f>
        <v>#N/A</v>
      </c>
      <c r="J6" s="1279"/>
      <c r="K6" s="1279"/>
      <c r="L6" s="1280" t="s">
        <v>395</v>
      </c>
      <c r="M6" s="462"/>
      <c r="P6" s="4073">
        <v>1</v>
      </c>
      <c r="Q6" s="1248"/>
      <c r="R6" s="281"/>
      <c r="S6" s="949"/>
      <c r="T6" s="1299"/>
      <c r="U6" s="1300"/>
      <c r="V6" s="4101"/>
      <c r="W6" s="4102"/>
      <c r="X6" s="4102"/>
      <c r="Y6" s="4102"/>
      <c r="Z6" s="4102"/>
      <c r="AA6" s="4102"/>
      <c r="AB6" s="4102"/>
      <c r="AC6" s="4103"/>
      <c r="AD6" s="4101"/>
      <c r="AE6" s="4102"/>
      <c r="AF6" s="4102"/>
      <c r="AG6" s="4102"/>
      <c r="AH6" s="4102"/>
      <c r="AI6" s="4102"/>
      <c r="AJ6" s="4102"/>
      <c r="AK6" s="4102"/>
      <c r="AL6" s="4103"/>
      <c r="AM6" s="1301"/>
      <c r="AO6" s="426"/>
      <c r="AP6" s="426" t="str">
        <f t="shared" si="0"/>
        <v/>
      </c>
      <c r="AQ6" s="426"/>
      <c r="AR6" s="426"/>
    </row>
    <row r="7" spans="1:44" ht="21" hidden="1" customHeight="1">
      <c r="A7" s="1279"/>
      <c r="B7" s="1279"/>
      <c r="C7" s="1279"/>
      <c r="D7" s="1279"/>
      <c r="E7" s="4075"/>
      <c r="F7" s="4075"/>
      <c r="G7" s="4075"/>
      <c r="H7" s="4075"/>
      <c r="I7" s="4095"/>
      <c r="J7" s="4072" t="e">
        <f>I6&amp;".1"</f>
        <v>#N/A</v>
      </c>
      <c r="K7" s="1279"/>
      <c r="L7" s="1280" t="s">
        <v>398</v>
      </c>
      <c r="M7" s="462"/>
      <c r="N7" s="1282"/>
      <c r="P7" s="4073"/>
      <c r="Q7" s="4073">
        <v>1</v>
      </c>
      <c r="R7" s="282"/>
      <c r="S7" s="1253" t="e">
        <f>$J7</f>
        <v>#N/A</v>
      </c>
      <c r="T7" s="205" t="s">
        <v>399</v>
      </c>
      <c r="U7" s="219"/>
      <c r="V7" s="4063"/>
      <c r="W7" s="4064"/>
      <c r="X7" s="4064"/>
      <c r="Y7" s="4064"/>
      <c r="Z7" s="4064"/>
      <c r="AA7" s="4064"/>
      <c r="AB7" s="4064"/>
      <c r="AC7" s="4065"/>
      <c r="AD7" s="4063"/>
      <c r="AE7" s="4064"/>
      <c r="AF7" s="4064"/>
      <c r="AG7" s="4064"/>
      <c r="AH7" s="4064"/>
      <c r="AI7" s="4064"/>
      <c r="AJ7" s="4064"/>
      <c r="AK7" s="4064"/>
      <c r="AL7" s="4065"/>
      <c r="AM7" s="1177" t="s">
        <v>400</v>
      </c>
      <c r="AO7" s="426"/>
      <c r="AP7" s="426" t="str">
        <f t="shared" si="0"/>
        <v>Группа потребителей</v>
      </c>
      <c r="AQ7" s="426"/>
      <c r="AR7" s="426"/>
    </row>
    <row r="8" spans="1:44" ht="21" hidden="1" customHeight="1">
      <c r="A8" s="1279"/>
      <c r="B8" s="1279"/>
      <c r="C8" s="1279"/>
      <c r="D8" s="1279"/>
      <c r="E8" s="4075"/>
      <c r="F8" s="4075"/>
      <c r="G8" s="4075"/>
      <c r="H8" s="4075"/>
      <c r="I8" s="4095"/>
      <c r="J8" s="4095"/>
      <c r="K8" s="4072" t="e">
        <f>J7&amp;".1"</f>
        <v>#N/A</v>
      </c>
      <c r="L8" s="1280" t="s">
        <v>401</v>
      </c>
      <c r="M8" s="462"/>
      <c r="N8" s="1282"/>
      <c r="O8" s="1282"/>
      <c r="P8" s="4073"/>
      <c r="Q8" s="4073"/>
      <c r="R8" s="282">
        <v>1</v>
      </c>
      <c r="S8" s="1253" t="e">
        <f>$K8</f>
        <v>#N/A</v>
      </c>
      <c r="T8" s="1264"/>
      <c r="U8" s="219"/>
      <c r="V8" s="668"/>
      <c r="W8" s="251"/>
      <c r="X8" s="668"/>
      <c r="Y8" s="1176"/>
      <c r="Z8" s="4077"/>
      <c r="AA8" s="3927" t="s">
        <v>65</v>
      </c>
      <c r="AB8" s="4077"/>
      <c r="AC8" s="3927" t="s">
        <v>65</v>
      </c>
      <c r="AD8" s="668"/>
      <c r="AE8" s="251"/>
      <c r="AF8" s="668"/>
      <c r="AG8" s="1176"/>
      <c r="AH8" s="4077"/>
      <c r="AI8" s="3927" t="s">
        <v>65</v>
      </c>
      <c r="AJ8" s="4077"/>
      <c r="AK8" s="3927" t="s">
        <v>65</v>
      </c>
      <c r="AL8" s="251"/>
      <c r="AM8" s="4069" t="s">
        <v>402</v>
      </c>
      <c r="AN8" s="437" t="e">
        <f ca="1">STRCHECKDATE(V9:AL9)</f>
        <v>#NAME?</v>
      </c>
      <c r="AO8" s="426"/>
      <c r="AP8" s="426" t="str">
        <f t="shared" si="0"/>
        <v/>
      </c>
      <c r="AQ8" s="426"/>
      <c r="AR8" s="426"/>
    </row>
    <row r="9" spans="1:44" ht="14.25" hidden="1" customHeight="1">
      <c r="A9" s="1279"/>
      <c r="B9" s="1279"/>
      <c r="C9" s="1279"/>
      <c r="D9" s="1279"/>
      <c r="E9" s="4075"/>
      <c r="F9" s="4075"/>
      <c r="G9" s="4075"/>
      <c r="H9" s="4075"/>
      <c r="I9" s="4095"/>
      <c r="J9" s="4095"/>
      <c r="K9" s="4072"/>
      <c r="L9" s="1280"/>
      <c r="M9" s="462"/>
      <c r="N9" s="1282"/>
      <c r="O9" s="1282"/>
      <c r="P9" s="4073"/>
      <c r="Q9" s="4073"/>
      <c r="R9" s="282"/>
      <c r="S9" s="1259"/>
      <c r="T9" s="219"/>
      <c r="U9" s="219"/>
      <c r="V9" s="251"/>
      <c r="W9" s="251"/>
      <c r="X9" s="251"/>
      <c r="Y9" s="255" t="str">
        <f>Z8&amp;"-"&amp;AB8</f>
        <v>-</v>
      </c>
      <c r="Z9" s="4078"/>
      <c r="AA9" s="3927"/>
      <c r="AB9" s="4078"/>
      <c r="AC9" s="3927"/>
      <c r="AD9" s="251"/>
      <c r="AE9" s="251"/>
      <c r="AF9" s="251"/>
      <c r="AG9" s="255" t="str">
        <f>AH8&amp;"-"&amp;AJ8</f>
        <v>-</v>
      </c>
      <c r="AH9" s="4078"/>
      <c r="AI9" s="3927"/>
      <c r="AJ9" s="4078"/>
      <c r="AK9" s="3927"/>
      <c r="AL9" s="251"/>
      <c r="AM9" s="4070"/>
      <c r="AO9" s="426"/>
      <c r="AP9" s="426" t="str">
        <f t="shared" si="0"/>
        <v/>
      </c>
      <c r="AQ9" s="426"/>
      <c r="AR9" s="426"/>
    </row>
    <row r="10" spans="1:44" ht="15" hidden="1" customHeight="1">
      <c r="A10" s="1279"/>
      <c r="B10" s="1279"/>
      <c r="C10" s="1279"/>
      <c r="D10" s="1279"/>
      <c r="E10" s="4075"/>
      <c r="F10" s="4075"/>
      <c r="G10" s="4075"/>
      <c r="H10" s="4075"/>
      <c r="I10" s="4095"/>
      <c r="J10" s="4072"/>
      <c r="K10" s="1279"/>
      <c r="L10" s="1280"/>
      <c r="M10" s="462"/>
      <c r="N10" s="1282"/>
      <c r="P10" s="4073"/>
      <c r="Q10" s="4073"/>
      <c r="R10" s="281"/>
      <c r="S10" s="1198"/>
      <c r="T10" s="206" t="s">
        <v>403</v>
      </c>
      <c r="U10" s="295"/>
      <c r="V10" s="295"/>
      <c r="W10" s="295"/>
      <c r="X10" s="295"/>
      <c r="Y10" s="295"/>
      <c r="Z10" s="295"/>
      <c r="AA10" s="295"/>
      <c r="AB10" s="295"/>
      <c r="AC10" s="295"/>
      <c r="AD10" s="295"/>
      <c r="AE10" s="295"/>
      <c r="AF10" s="295"/>
      <c r="AG10" s="295"/>
      <c r="AH10" s="295"/>
      <c r="AI10" s="295"/>
      <c r="AJ10" s="295"/>
      <c r="AK10" s="295"/>
      <c r="AL10" s="250"/>
      <c r="AM10" s="4071"/>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4075"/>
      <c r="F11" s="4075"/>
      <c r="G11" s="4075"/>
      <c r="H11" s="4075"/>
      <c r="I11" s="4072"/>
      <c r="J11" s="1279"/>
      <c r="K11" s="1279"/>
      <c r="L11" s="1280"/>
      <c r="M11" s="462"/>
      <c r="P11" s="4073"/>
      <c r="Q11" s="1248"/>
      <c r="R11" s="281"/>
      <c r="S11" s="1198"/>
      <c r="T11" s="292" t="s">
        <v>404</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4075"/>
      <c r="F12" s="4075"/>
      <c r="G12" s="4075"/>
      <c r="H12" s="4074"/>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2550" customFormat="1" ht="14.25" hidden="1" customHeight="1">
      <c r="A13" s="1232"/>
      <c r="B13" s="1232"/>
      <c r="C13" s="1232"/>
      <c r="D13" s="1232"/>
      <c r="E13" s="4075"/>
      <c r="F13" s="4075"/>
      <c r="G13" s="4074"/>
      <c r="H13" s="1232"/>
      <c r="I13" s="1232"/>
      <c r="J13" s="1232"/>
      <c r="K13" s="1232"/>
      <c r="L13" s="1256"/>
      <c r="M13" s="1233"/>
      <c r="N13" s="1233"/>
      <c r="P13" s="1234"/>
      <c r="Q13" s="1235"/>
      <c r="R13" s="1234"/>
      <c r="S13" s="1236"/>
      <c r="T13" s="1237" t="s">
        <v>166</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2550" customFormat="1" ht="14.25" hidden="1" customHeight="1">
      <c r="A14" s="1232"/>
      <c r="B14" s="1232"/>
      <c r="C14" s="1232"/>
      <c r="D14" s="1232"/>
      <c r="E14" s="4075"/>
      <c r="F14" s="4074"/>
      <c r="G14" s="1232"/>
      <c r="H14" s="1232"/>
      <c r="I14" s="1232"/>
      <c r="J14" s="1232"/>
      <c r="K14" s="1232"/>
      <c r="L14" s="1256"/>
      <c r="M14" s="1239"/>
      <c r="N14" s="1239"/>
      <c r="P14" s="1234"/>
      <c r="Q14" s="1235"/>
      <c r="R14" s="1234"/>
      <c r="S14" s="1240"/>
      <c r="T14" s="1241" t="s">
        <v>167</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2550" customFormat="1" ht="14.25" hidden="1" customHeight="1">
      <c r="A15" s="1232"/>
      <c r="B15" s="1232"/>
      <c r="C15" s="1232"/>
      <c r="D15" s="1232"/>
      <c r="E15" s="4074"/>
      <c r="F15" s="1232"/>
      <c r="G15" s="1232"/>
      <c r="H15" s="1232"/>
      <c r="I15" s="1232"/>
      <c r="J15" s="1232"/>
      <c r="K15" s="1232"/>
      <c r="L15" s="1256"/>
      <c r="M15" s="1239"/>
      <c r="N15" s="1239"/>
      <c r="P15" s="1234"/>
      <c r="Q15" s="1235"/>
      <c r="R15" s="1234"/>
      <c r="S15" s="1240"/>
      <c r="T15" s="1243" t="s">
        <v>168</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4079"/>
      <c r="AI17" s="4080" t="s">
        <v>65</v>
      </c>
      <c r="AJ17" s="4079"/>
      <c r="AK17" s="4080" t="s">
        <v>65</v>
      </c>
    </row>
    <row r="18" spans="1:44" ht="14.25" hidden="1" customHeight="1">
      <c r="AD18" s="1276"/>
      <c r="AE18" s="1276"/>
      <c r="AF18" s="1276"/>
      <c r="AG18" s="255" t="str">
        <f>AH17&amp;"-"&amp;AJ17</f>
        <v>-</v>
      </c>
      <c r="AH18" s="4080"/>
      <c r="AI18" s="4080"/>
      <c r="AJ18" s="4080"/>
      <c r="AK18" s="4080"/>
    </row>
    <row r="19" spans="1:44" ht="14.25" hidden="1" customHeight="1">
      <c r="AK19" s="254"/>
    </row>
    <row r="20" spans="1:44" s="2553" customFormat="1" ht="22.5" hidden="1" customHeight="1">
      <c r="L20" s="1246"/>
      <c r="M20" s="1278"/>
      <c r="N20" s="1278"/>
      <c r="O20" s="1283" t="s">
        <v>406</v>
      </c>
      <c r="P20" s="1278"/>
      <c r="Q20" s="1287"/>
      <c r="R20" s="1287"/>
      <c r="S20" s="648"/>
      <c r="Z20" s="1283"/>
      <c r="AB20" s="1283"/>
      <c r="AC20" s="1282"/>
      <c r="AH20" s="1283"/>
      <c r="AJ20" s="1283"/>
      <c r="AK20" s="1282"/>
      <c r="AN20" s="437"/>
      <c r="AO20" s="437"/>
      <c r="AP20" s="437"/>
      <c r="AQ20" s="437"/>
      <c r="AR20" s="437"/>
    </row>
    <row r="21" spans="1:44" s="2553" customFormat="1" ht="14.25" hidden="1" customHeight="1">
      <c r="L21" s="1246"/>
      <c r="M21" s="1278"/>
      <c r="N21" s="1278"/>
      <c r="O21" s="1278"/>
      <c r="P21" s="1278"/>
      <c r="Q21" s="1287"/>
      <c r="R21" s="1287"/>
      <c r="S21" s="648"/>
      <c r="AC21" s="1282"/>
      <c r="AK21" s="1282"/>
      <c r="AN21" s="437"/>
      <c r="AO21" s="437"/>
      <c r="AP21" s="437"/>
      <c r="AQ21" s="437"/>
      <c r="AR21" s="437"/>
    </row>
    <row r="22" spans="1:44" s="2553" customFormat="1" ht="14.25" hidden="1" customHeight="1">
      <c r="L22" s="1246"/>
      <c r="M22" s="1278"/>
      <c r="N22" s="1278"/>
      <c r="O22" s="1280" t="s">
        <v>407</v>
      </c>
      <c r="P22" s="1278"/>
      <c r="Q22" s="1287"/>
      <c r="R22" s="1287"/>
      <c r="S22" s="648"/>
      <c r="T22" s="1060" t="s">
        <v>408</v>
      </c>
      <c r="AA22" s="107" t="s">
        <v>409</v>
      </c>
      <c r="AC22" s="107" t="s">
        <v>410</v>
      </c>
      <c r="AD22" s="1060" t="s">
        <v>408</v>
      </c>
      <c r="AI22" s="107" t="s">
        <v>411</v>
      </c>
      <c r="AK22" s="107" t="s">
        <v>410</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405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4058"/>
      <c r="U26" s="4058"/>
      <c r="V26" s="4058"/>
      <c r="W26" s="4058"/>
      <c r="X26" s="4058"/>
      <c r="Y26" s="4058"/>
      <c r="Z26" s="4058"/>
      <c r="AA26" s="4058"/>
      <c r="AB26" s="4058"/>
      <c r="AC26" s="4058"/>
      <c r="AD26" s="4058"/>
      <c r="AE26" s="4058"/>
      <c r="AF26" s="4058"/>
      <c r="AG26" s="4058"/>
      <c r="AH26" s="4058"/>
      <c r="AI26" s="4058"/>
      <c r="AJ26" s="4058"/>
      <c r="AK26" s="1152"/>
    </row>
    <row r="27" spans="1:44" ht="14.25" customHeight="1">
      <c r="Q27" s="305"/>
      <c r="R27" s="305"/>
      <c r="S27" s="4004" t="str">
        <f>IF(org=0,"Не определено",org)</f>
        <v>ООО «РИР-Сахалин»</v>
      </c>
      <c r="T27" s="4004"/>
      <c r="U27" s="4004"/>
      <c r="V27" s="4004"/>
      <c r="W27" s="4004"/>
      <c r="X27" s="4004"/>
      <c r="Y27" s="4004"/>
      <c r="Z27" s="4004"/>
      <c r="AA27" s="4004"/>
      <c r="AB27" s="4004"/>
      <c r="AC27" s="4004"/>
      <c r="AD27" s="4004"/>
      <c r="AE27" s="4004"/>
      <c r="AF27" s="4004"/>
      <c r="AG27" s="4004"/>
      <c r="AH27" s="4004"/>
      <c r="AI27" s="4004"/>
      <c r="AJ27" s="4004"/>
      <c r="AK27" s="1152"/>
    </row>
    <row r="28" spans="1:44" ht="14.25" hidden="1"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2564" customFormat="1" ht="25.5" hidden="1" customHeight="1">
      <c r="A29" s="1284"/>
      <c r="B29" s="1284"/>
      <c r="C29" s="1284"/>
      <c r="D29" s="1284"/>
      <c r="E29" s="1284"/>
      <c r="F29" s="1284"/>
      <c r="G29" s="1284"/>
      <c r="H29" s="1284"/>
      <c r="I29" s="1284"/>
      <c r="J29" s="1284"/>
      <c r="K29" s="1284"/>
      <c r="L29" s="1285"/>
      <c r="M29" s="1284"/>
      <c r="N29" s="1284"/>
      <c r="O29" s="1284"/>
      <c r="S29" s="4066" t="s">
        <v>38</v>
      </c>
      <c r="T29" s="4066"/>
      <c r="U29" s="1288"/>
      <c r="V29" s="4067" t="str">
        <f>IF(TITLE_NAME_OR_PR_CHANGE="",IF(TITLE_NAME_OR_PR="","",TITLE_NAME_OR_PR),TITLE_NAME_OR_PR_CHANGE)</f>
        <v/>
      </c>
      <c r="W29" s="4067"/>
      <c r="X29" s="4067"/>
      <c r="Y29" s="4067"/>
      <c r="Z29" s="4067"/>
      <c r="AA29" s="4067"/>
      <c r="AB29" s="4067"/>
      <c r="AC29" s="253"/>
      <c r="AD29" s="4067" t="str">
        <f>IF(TITLE_NAME_OR_PR_CHANGE="",IF(TITLE_NAME_OR_PR="","",TITLE_NAME_OR_PR),TITLE_NAME_OR_PR_CHANGE)</f>
        <v/>
      </c>
      <c r="AE29" s="4067"/>
      <c r="AF29" s="4067"/>
      <c r="AG29" s="4067"/>
      <c r="AH29" s="4067"/>
      <c r="AI29" s="4067"/>
      <c r="AJ29" s="4067"/>
      <c r="AK29" s="253"/>
      <c r="AL29" s="253"/>
      <c r="AM29" s="200"/>
      <c r="AN29" s="296"/>
      <c r="AO29" s="296"/>
      <c r="AP29" s="296"/>
      <c r="AQ29" s="296"/>
      <c r="AR29" s="296"/>
    </row>
    <row r="30" spans="1:44" s="2564" customFormat="1" ht="18.75" hidden="1" customHeight="1">
      <c r="A30" s="1284"/>
      <c r="B30" s="1284"/>
      <c r="C30" s="1284"/>
      <c r="D30" s="1284"/>
      <c r="E30" s="1284"/>
      <c r="F30" s="1284"/>
      <c r="G30" s="1284"/>
      <c r="H30" s="1284"/>
      <c r="I30" s="1284"/>
      <c r="J30" s="1284"/>
      <c r="K30" s="1284"/>
      <c r="L30" s="1285"/>
      <c r="M30" s="1284"/>
      <c r="N30" s="1284"/>
      <c r="O30" s="1284"/>
      <c r="S30" s="4066" t="s">
        <v>412</v>
      </c>
      <c r="T30" s="4066"/>
      <c r="U30" s="1288"/>
      <c r="V30" s="4076">
        <f>IF(TITLE_DATE_PR_CHANGE="",IF(TITLE_DATE_PR="","",TITLE_DATE_PR),TITLE_DATE_PR_CHANGE)</f>
        <v>45289.465104166666</v>
      </c>
      <c r="W30" s="4076"/>
      <c r="X30" s="4076"/>
      <c r="Y30" s="4076"/>
      <c r="Z30" s="4076"/>
      <c r="AA30" s="4076"/>
      <c r="AB30" s="4076"/>
      <c r="AC30" s="253"/>
      <c r="AD30" s="4076">
        <f>IF(TITLE_DATE_PR_CHANGE="",IF(TITLE_DATE_PR="","",TITLE_DATE_PR),TITLE_DATE_PR_CHANGE)</f>
        <v>45289.465104166666</v>
      </c>
      <c r="AE30" s="4076"/>
      <c r="AF30" s="4076"/>
      <c r="AG30" s="4076"/>
      <c r="AH30" s="4076"/>
      <c r="AI30" s="4076"/>
      <c r="AJ30" s="4076"/>
      <c r="AK30" s="253"/>
      <c r="AL30" s="253"/>
      <c r="AM30" s="200"/>
      <c r="AN30" s="296"/>
      <c r="AO30" s="296"/>
      <c r="AP30" s="296"/>
      <c r="AQ30" s="296"/>
      <c r="AR30" s="296"/>
    </row>
    <row r="31" spans="1:44" s="2564" customFormat="1" ht="18.75" hidden="1" customHeight="1">
      <c r="A31" s="1284"/>
      <c r="B31" s="1284"/>
      <c r="C31" s="1284"/>
      <c r="D31" s="1284"/>
      <c r="E31" s="1284"/>
      <c r="F31" s="1284"/>
      <c r="G31" s="1284"/>
      <c r="H31" s="1284"/>
      <c r="I31" s="1284"/>
      <c r="J31" s="1284"/>
      <c r="K31" s="1284"/>
      <c r="L31" s="1285"/>
      <c r="M31" s="1284"/>
      <c r="N31" s="1284"/>
      <c r="O31" s="1284"/>
      <c r="S31" s="4066" t="s">
        <v>413</v>
      </c>
      <c r="T31" s="4066"/>
      <c r="U31" s="1288"/>
      <c r="V31" s="4067" t="str">
        <f>IF(TITLE_NUMBER_PR_CHANGE="",IF(TITLE_NUMBER_PR="","",TITLE_NUMBER_PR),TITLE_NUMBER_PR_CHANGE)</f>
        <v>761-1/201-1</v>
      </c>
      <c r="W31" s="4067"/>
      <c r="X31" s="4067"/>
      <c r="Y31" s="4067"/>
      <c r="Z31" s="4067"/>
      <c r="AA31" s="4067"/>
      <c r="AB31" s="4067"/>
      <c r="AC31" s="253"/>
      <c r="AD31" s="4067" t="str">
        <f>IF(TITLE_NUMBER_PR_CHANGE="",IF(TITLE_NUMBER_PR="","",TITLE_NUMBER_PR),TITLE_NUMBER_PR_CHANGE)</f>
        <v>761-1/201-1</v>
      </c>
      <c r="AE31" s="4067"/>
      <c r="AF31" s="4067"/>
      <c r="AG31" s="4067"/>
      <c r="AH31" s="4067"/>
      <c r="AI31" s="4067"/>
      <c r="AJ31" s="4067"/>
      <c r="AK31" s="253"/>
      <c r="AL31" s="253"/>
      <c r="AM31" s="200"/>
      <c r="AN31" s="296"/>
      <c r="AO31" s="296"/>
      <c r="AP31" s="296"/>
      <c r="AQ31" s="296"/>
      <c r="AR31" s="296"/>
    </row>
    <row r="32" spans="1:44" s="2564" customFormat="1" ht="18.75" hidden="1" customHeight="1">
      <c r="A32" s="1284"/>
      <c r="B32" s="1284"/>
      <c r="C32" s="1284"/>
      <c r="D32" s="1284"/>
      <c r="E32" s="1284"/>
      <c r="F32" s="1284"/>
      <c r="G32" s="1284"/>
      <c r="H32" s="1284"/>
      <c r="I32" s="1284"/>
      <c r="J32" s="1284"/>
      <c r="K32" s="1284"/>
      <c r="L32" s="1285"/>
      <c r="M32" s="1284"/>
      <c r="N32" s="1284"/>
      <c r="O32" s="1284"/>
      <c r="S32" s="4066" t="s">
        <v>39</v>
      </c>
      <c r="T32" s="4066"/>
      <c r="U32" s="1288"/>
      <c r="V32" s="4067" t="str">
        <f>IF(TITLE_IST_PUB_CHANGE="",IF(TITLE_IST_PUB="","",TITLE_IST_PUB),TITLE_IST_PUB_CHANGE)</f>
        <v/>
      </c>
      <c r="W32" s="4067"/>
      <c r="X32" s="4067"/>
      <c r="Y32" s="4067"/>
      <c r="Z32" s="4067"/>
      <c r="AA32" s="4067"/>
      <c r="AB32" s="4067"/>
      <c r="AC32" s="253"/>
      <c r="AD32" s="4067" t="str">
        <f>IF(TITLE_IST_PUB_CHANGE="",IF(TITLE_IST_PUB="","",TITLE_IST_PUB),TITLE_IST_PUB_CHANGE)</f>
        <v/>
      </c>
      <c r="AE32" s="4067"/>
      <c r="AF32" s="4067"/>
      <c r="AG32" s="4067"/>
      <c r="AH32" s="4067"/>
      <c r="AI32" s="4067"/>
      <c r="AJ32" s="4067"/>
      <c r="AK32" s="253"/>
      <c r="AL32" s="253"/>
      <c r="AM32" s="200"/>
      <c r="AN32" s="296"/>
      <c r="AO32" s="296"/>
      <c r="AP32" s="296"/>
      <c r="AQ32" s="296"/>
      <c r="AR32" s="296"/>
    </row>
    <row r="33" spans="1:44" ht="14.25"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2564" customFormat="1" ht="18.75" customHeight="1">
      <c r="A34" s="1284"/>
      <c r="B34" s="1284"/>
      <c r="C34" s="1284"/>
      <c r="D34" s="1284"/>
      <c r="E34" s="1284"/>
      <c r="F34" s="1284"/>
      <c r="G34" s="1284"/>
      <c r="H34" s="1284"/>
      <c r="I34" s="1284"/>
      <c r="J34" s="1284"/>
      <c r="K34" s="1284"/>
      <c r="L34" s="1285"/>
      <c r="M34" s="1284"/>
      <c r="N34" s="1284"/>
      <c r="O34" s="1284"/>
      <c r="S34" s="4066" t="s">
        <v>414</v>
      </c>
      <c r="T34" s="4066"/>
      <c r="U34" s="1288"/>
      <c r="V34" s="4076">
        <f>IF(TITLE_DATE_PR_CHANGE="",IF(TITLE_DATE_PR="","",TITLE_DATE_PR),TITLE_DATE_PR_CHANGE)</f>
        <v>45289.465104166666</v>
      </c>
      <c r="W34" s="4076"/>
      <c r="X34" s="4076"/>
      <c r="Y34" s="4076"/>
      <c r="Z34" s="4076"/>
      <c r="AA34" s="4076"/>
      <c r="AB34" s="4076"/>
      <c r="AC34" s="253"/>
      <c r="AD34" s="4076">
        <f>IF(TITLE_DATE_PR_CHANGE="",IF(TITLE_DATE_PR="","",TITLE_DATE_PR),TITLE_DATE_PR_CHANGE)</f>
        <v>45289.465104166666</v>
      </c>
      <c r="AE34" s="4076"/>
      <c r="AF34" s="4076"/>
      <c r="AG34" s="4076"/>
      <c r="AH34" s="4076"/>
      <c r="AI34" s="4076"/>
      <c r="AJ34" s="4076"/>
      <c r="AK34" s="253"/>
      <c r="AL34" s="253"/>
      <c r="AM34" s="200"/>
      <c r="AN34" s="296"/>
      <c r="AO34" s="296"/>
      <c r="AP34" s="296"/>
      <c r="AQ34" s="296"/>
      <c r="AR34" s="296"/>
    </row>
    <row r="35" spans="1:44" s="2564" customFormat="1" ht="25.5" customHeight="1">
      <c r="A35" s="1284"/>
      <c r="B35" s="1284"/>
      <c r="C35" s="1284"/>
      <c r="D35" s="1284"/>
      <c r="E35" s="1284"/>
      <c r="F35" s="1284"/>
      <c r="G35" s="1284"/>
      <c r="H35" s="1284"/>
      <c r="I35" s="1284"/>
      <c r="J35" s="1284"/>
      <c r="K35" s="1284"/>
      <c r="L35" s="1285"/>
      <c r="M35" s="1284"/>
      <c r="N35" s="1284"/>
      <c r="O35" s="1284"/>
      <c r="S35" s="4066" t="s">
        <v>415</v>
      </c>
      <c r="T35" s="4066"/>
      <c r="U35" s="1288"/>
      <c r="V35" s="4067" t="str">
        <f>IF(TITLE_NUMBER_PR_CHANGE="",IF(TITLE_NUMBER_PR="","",TITLE_NUMBER_PR),TITLE_NUMBER_PR_CHANGE)</f>
        <v>761-1/201-1</v>
      </c>
      <c r="W35" s="4067"/>
      <c r="X35" s="4067"/>
      <c r="Y35" s="4067"/>
      <c r="Z35" s="4067"/>
      <c r="AA35" s="4067"/>
      <c r="AB35" s="4067"/>
      <c r="AC35" s="253"/>
      <c r="AD35" s="4067" t="str">
        <f>IF(TITLE_NUMBER_PR_CHANGE="",IF(TITLE_NUMBER_PR="","",TITLE_NUMBER_PR),TITLE_NUMBER_PR_CHANGE)</f>
        <v>761-1/201-1</v>
      </c>
      <c r="AE35" s="4067"/>
      <c r="AF35" s="4067"/>
      <c r="AG35" s="4067"/>
      <c r="AH35" s="4067"/>
      <c r="AI35" s="4067"/>
      <c r="AJ35" s="4067"/>
      <c r="AK35" s="253"/>
      <c r="AL35" s="253"/>
      <c r="AM35" s="200"/>
      <c r="AN35" s="296"/>
      <c r="AO35" s="296"/>
      <c r="AP35" s="296"/>
      <c r="AQ35" s="296"/>
      <c r="AR35" s="296"/>
    </row>
    <row r="36" spans="1:44" s="2564"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416</v>
      </c>
      <c r="AD36" s="253"/>
      <c r="AE36" s="253"/>
      <c r="AF36" s="253"/>
      <c r="AG36" s="253"/>
      <c r="AH36" s="253"/>
      <c r="AI36" s="253"/>
      <c r="AJ36" s="253"/>
      <c r="AK36" s="198" t="s">
        <v>416</v>
      </c>
      <c r="AN36" s="296"/>
      <c r="AO36" s="296"/>
      <c r="AP36" s="296"/>
      <c r="AQ36" s="296"/>
      <c r="AR36" s="296"/>
    </row>
    <row r="37" spans="1:44" ht="14.25" customHeight="1">
      <c r="Q37" s="305"/>
      <c r="R37" s="305"/>
      <c r="S37" s="1195"/>
      <c r="T37" s="290"/>
      <c r="U37" s="1153"/>
      <c r="V37" s="4068"/>
      <c r="W37" s="4068"/>
      <c r="X37" s="4068"/>
      <c r="Y37" s="4068"/>
      <c r="Z37" s="4068"/>
      <c r="AA37" s="4068"/>
      <c r="AB37" s="4068"/>
      <c r="AC37" s="4068"/>
      <c r="AD37" s="4068"/>
      <c r="AE37" s="4068"/>
      <c r="AF37" s="4068"/>
      <c r="AG37" s="4068"/>
      <c r="AH37" s="4068"/>
      <c r="AI37" s="4068"/>
      <c r="AJ37" s="4068"/>
      <c r="AK37" s="4068"/>
    </row>
    <row r="38" spans="1:44" ht="14.25" customHeight="1">
      <c r="Q38" s="305"/>
      <c r="R38" s="305"/>
      <c r="S38" s="3946" t="s">
        <v>290</v>
      </c>
      <c r="T38" s="3946"/>
      <c r="U38" s="3946"/>
      <c r="V38" s="3946"/>
      <c r="W38" s="3946"/>
      <c r="X38" s="3946"/>
      <c r="Y38" s="3946"/>
      <c r="Z38" s="3946"/>
      <c r="AA38" s="3946"/>
      <c r="AB38" s="3946"/>
      <c r="AC38" s="3946"/>
      <c r="AD38" s="3946"/>
      <c r="AE38" s="3946"/>
      <c r="AF38" s="3946"/>
      <c r="AG38" s="3946"/>
      <c r="AH38" s="3946"/>
      <c r="AI38" s="3946"/>
      <c r="AJ38" s="3946"/>
      <c r="AK38" s="3946"/>
      <c r="AL38" s="3946"/>
      <c r="AM38" s="3946" t="s">
        <v>291</v>
      </c>
    </row>
    <row r="39" spans="1:44" ht="14.25" customHeight="1">
      <c r="Q39" s="305"/>
      <c r="R39" s="305"/>
      <c r="S39" s="4082" t="s">
        <v>86</v>
      </c>
      <c r="T39" s="4033" t="s">
        <v>418</v>
      </c>
      <c r="U39" s="220"/>
      <c r="V39" s="4083" t="s">
        <v>419</v>
      </c>
      <c r="W39" s="4084"/>
      <c r="X39" s="4084"/>
      <c r="Y39" s="4084"/>
      <c r="Z39" s="4084"/>
      <c r="AA39" s="4084"/>
      <c r="AB39" s="4085"/>
      <c r="AC39" s="4086" t="s">
        <v>420</v>
      </c>
      <c r="AD39" s="4083" t="s">
        <v>419</v>
      </c>
      <c r="AE39" s="4084"/>
      <c r="AF39" s="4084"/>
      <c r="AG39" s="4084"/>
      <c r="AH39" s="4084"/>
      <c r="AI39" s="4084"/>
      <c r="AJ39" s="4085"/>
      <c r="AK39" s="4086" t="s">
        <v>421</v>
      </c>
      <c r="AL39" s="4089" t="s">
        <v>422</v>
      </c>
      <c r="AM39" s="3946"/>
    </row>
    <row r="40" spans="1:44" ht="33.75" customHeight="1">
      <c r="Q40" s="305"/>
      <c r="R40" s="305"/>
      <c r="S40" s="4082"/>
      <c r="T40" s="4033"/>
      <c r="U40" s="938"/>
      <c r="V40" s="4003" t="s">
        <v>423</v>
      </c>
      <c r="W40" s="4092"/>
      <c r="X40" s="3918" t="s">
        <v>425</v>
      </c>
      <c r="Y40" s="3917"/>
      <c r="Z40" s="3918" t="s">
        <v>426</v>
      </c>
      <c r="AA40" s="3923"/>
      <c r="AB40" s="3917"/>
      <c r="AC40" s="4087"/>
      <c r="AD40" s="4003" t="s">
        <v>423</v>
      </c>
      <c r="AE40" s="4092"/>
      <c r="AF40" s="3918" t="s">
        <v>425</v>
      </c>
      <c r="AG40" s="3917"/>
      <c r="AH40" s="3918" t="s">
        <v>426</v>
      </c>
      <c r="AI40" s="3923"/>
      <c r="AJ40" s="3917"/>
      <c r="AK40" s="4087"/>
      <c r="AL40" s="4090"/>
      <c r="AM40" s="3946"/>
    </row>
    <row r="41" spans="1:44" ht="33.75" customHeight="1">
      <c r="A41" s="1286"/>
      <c r="B41" s="1286" t="s">
        <v>133</v>
      </c>
      <c r="C41" s="1286" t="s">
        <v>134</v>
      </c>
      <c r="D41" s="1286" t="s">
        <v>135</v>
      </c>
      <c r="E41" s="1280" t="s">
        <v>427</v>
      </c>
      <c r="F41" s="1280" t="s">
        <v>428</v>
      </c>
      <c r="G41" s="1280" t="s">
        <v>429</v>
      </c>
      <c r="H41" s="1280" t="s">
        <v>430</v>
      </c>
      <c r="I41" s="1280" t="s">
        <v>431</v>
      </c>
      <c r="J41" s="1280" t="s">
        <v>432</v>
      </c>
      <c r="K41" s="1280" t="s">
        <v>433</v>
      </c>
      <c r="L41" s="1280" t="s">
        <v>407</v>
      </c>
      <c r="Q41" s="305"/>
      <c r="R41" s="305"/>
      <c r="S41" s="4082"/>
      <c r="T41" s="4033"/>
      <c r="U41" s="221"/>
      <c r="V41" s="4053"/>
      <c r="W41" s="4093"/>
      <c r="X41" s="1128" t="s">
        <v>434</v>
      </c>
      <c r="Y41" s="1128" t="s">
        <v>435</v>
      </c>
      <c r="Z41" s="1255" t="s">
        <v>436</v>
      </c>
      <c r="AA41" s="4042" t="s">
        <v>437</v>
      </c>
      <c r="AB41" s="4044"/>
      <c r="AC41" s="4088"/>
      <c r="AD41" s="4053"/>
      <c r="AE41" s="4093"/>
      <c r="AF41" s="1128" t="s">
        <v>434</v>
      </c>
      <c r="AG41" s="1128" t="s">
        <v>435</v>
      </c>
      <c r="AH41" s="1255" t="s">
        <v>436</v>
      </c>
      <c r="AI41" s="4042" t="s">
        <v>437</v>
      </c>
      <c r="AJ41" s="4044"/>
      <c r="AK41" s="4088"/>
      <c r="AL41" s="4091"/>
      <c r="AM41" s="3946"/>
    </row>
    <row r="42" spans="1:44" s="1820"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107</v>
      </c>
      <c r="T42" s="1172" t="s">
        <v>108</v>
      </c>
      <c r="U42" s="1154" t="str">
        <f ca="1">OFFSET(U42,0,-1)</f>
        <v>2</v>
      </c>
      <c r="V42" s="1252">
        <f ca="1">OFFSET(V42,0,-1)+1</f>
        <v>3</v>
      </c>
      <c r="W42" s="1252"/>
      <c r="X42" s="1252">
        <f ca="1">OFFSET(X42,0,-1)+1</f>
        <v>1</v>
      </c>
      <c r="Y42" s="1252">
        <f ca="1">OFFSET(Y42,0,-1)+1</f>
        <v>2</v>
      </c>
      <c r="Z42" s="1252">
        <f ca="1">OFFSET(Z42,0,-1)+1</f>
        <v>3</v>
      </c>
      <c r="AA42" s="4081">
        <f ca="1">OFFSET(AA42,0,-1)+1</f>
        <v>4</v>
      </c>
      <c r="AB42" s="4081"/>
      <c r="AC42" s="1252">
        <f ca="1">OFFSET(AC42,0,-2)+1</f>
        <v>5</v>
      </c>
      <c r="AD42" s="1252">
        <f ca="1">OFFSET(AD42,0,-1)+1</f>
        <v>6</v>
      </c>
      <c r="AE42" s="1252"/>
      <c r="AF42" s="1252">
        <f ca="1">OFFSET(AF42,0,-1)+1</f>
        <v>1</v>
      </c>
      <c r="AG42" s="1252">
        <f ca="1">OFFSET(AG42,0,-1)+1</f>
        <v>2</v>
      </c>
      <c r="AH42" s="1252">
        <f ca="1">OFFSET(AH42,0,-1)+1</f>
        <v>3</v>
      </c>
      <c r="AI42" s="4081">
        <f ca="1">OFFSET(AI42,0,-1)+1</f>
        <v>4</v>
      </c>
      <c r="AJ42" s="4081"/>
      <c r="AK42" s="1252">
        <f ca="1">OFFSET(AK42,0,-2)+1</f>
        <v>5</v>
      </c>
      <c r="AL42" s="1154">
        <f ca="1">OFFSET(AL42,0,-1)</f>
        <v>5</v>
      </c>
      <c r="AM42" s="1252">
        <f ca="1">OFFSET(AM42,0,-1)+1</f>
        <v>6</v>
      </c>
      <c r="AN42" s="437"/>
      <c r="AO42" s="437"/>
      <c r="AP42" s="437"/>
      <c r="AQ42" s="437"/>
      <c r="AR42" s="437"/>
    </row>
    <row r="43" spans="1:44" ht="21" customHeight="1">
      <c r="A43" s="1279" t="s">
        <v>190</v>
      </c>
      <c r="B43" s="1279"/>
      <c r="C43" s="1279"/>
      <c r="D43" s="1279"/>
      <c r="E43" s="4074">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121</v>
      </c>
      <c r="U43" s="219"/>
      <c r="V43" s="4060"/>
      <c r="W43" s="4061"/>
      <c r="X43" s="4061"/>
      <c r="Y43" s="4061"/>
      <c r="Z43" s="4061"/>
      <c r="AA43" s="4061"/>
      <c r="AB43" s="4061"/>
      <c r="AC43" s="4062"/>
      <c r="AD43" s="4060" t="str">
        <f>INDEX(PT_DIFFERENTIATION_NTAR,MATCH(A43,PT_DIFFERENTIATION_NTAR_ID,0))</f>
        <v/>
      </c>
      <c r="AE43" s="4061"/>
      <c r="AF43" s="4061"/>
      <c r="AG43" s="4061"/>
      <c r="AH43" s="4061"/>
      <c r="AI43" s="4061"/>
      <c r="AJ43" s="4061"/>
      <c r="AK43" s="4061"/>
      <c r="AL43" s="4062"/>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79" t="s">
        <v>190</v>
      </c>
      <c r="B44" s="1279" t="s">
        <v>191</v>
      </c>
      <c r="C44" s="1279"/>
      <c r="D44" s="1279"/>
      <c r="E44" s="4075"/>
      <c r="F44" s="4074">
        <v>1</v>
      </c>
      <c r="G44" s="1279"/>
      <c r="H44" s="1279"/>
      <c r="I44" s="1279"/>
      <c r="J44" s="1279"/>
      <c r="K44" s="1279"/>
      <c r="L44" s="1280"/>
      <c r="M44" s="1281"/>
      <c r="N44" s="1281"/>
      <c r="O44" s="1281"/>
      <c r="P44" s="1249"/>
      <c r="Q44" s="277"/>
      <c r="R44" s="278"/>
      <c r="S44" s="1253" t="str">
        <f>INDEX(PT_DIFFERENTIATION_NUM_TER,MATCH(B44,PT_DIFFERENTIATION_TER_ID,0))</f>
        <v>.</v>
      </c>
      <c r="T44" s="229" t="s">
        <v>389</v>
      </c>
      <c r="U44" s="219"/>
      <c r="V44" s="4060"/>
      <c r="W44" s="4061"/>
      <c r="X44" s="4061"/>
      <c r="Y44" s="4061"/>
      <c r="Z44" s="4061"/>
      <c r="AA44" s="4061"/>
      <c r="AB44" s="4061"/>
      <c r="AC44" s="4062"/>
      <c r="AD44" s="4060" t="str">
        <f>INDEX(PT_DIFFERENTIATION_TER,MATCH(B44,PT_DIFFERENTIATION_TER_ID,0))</f>
        <v/>
      </c>
      <c r="AE44" s="4061"/>
      <c r="AF44" s="4061"/>
      <c r="AG44" s="4061"/>
      <c r="AH44" s="4061"/>
      <c r="AI44" s="4061"/>
      <c r="AJ44" s="4061"/>
      <c r="AK44" s="4061"/>
      <c r="AL44" s="4062"/>
      <c r="AM44" s="1177" t="s">
        <v>390</v>
      </c>
      <c r="AO44" s="426"/>
      <c r="AP44" s="426" t="str">
        <f t="shared" si="1"/>
        <v>Территория действия тарифа</v>
      </c>
      <c r="AQ44" s="426"/>
      <c r="AR44" s="426"/>
    </row>
    <row r="45" spans="1:44" ht="23.25" customHeight="1">
      <c r="A45" s="1279" t="s">
        <v>190</v>
      </c>
      <c r="B45" s="1279" t="s">
        <v>191</v>
      </c>
      <c r="C45" s="1279" t="s">
        <v>192</v>
      </c>
      <c r="D45" s="1279"/>
      <c r="E45" s="4075"/>
      <c r="F45" s="4075"/>
      <c r="G45" s="4074">
        <v>1</v>
      </c>
      <c r="H45" s="1279"/>
      <c r="I45" s="1279"/>
      <c r="J45" s="1279"/>
      <c r="K45" s="1279"/>
      <c r="L45" s="1280"/>
      <c r="M45" s="1281"/>
      <c r="N45" s="1281"/>
      <c r="O45" s="1281"/>
      <c r="P45" s="279"/>
      <c r="Q45" s="277"/>
      <c r="R45" s="278"/>
      <c r="S45" s="1253" t="str">
        <f>INDEX(PT_DIFFERENTIATION_NUM_CS,MATCH(C45,PT_DIFFERENTIATION_CS_ID,0))</f>
        <v>..</v>
      </c>
      <c r="T45" s="230" t="s">
        <v>391</v>
      </c>
      <c r="U45" s="219"/>
      <c r="V45" s="4060"/>
      <c r="W45" s="4061"/>
      <c r="X45" s="4061"/>
      <c r="Y45" s="4061"/>
      <c r="Z45" s="4061"/>
      <c r="AA45" s="4061"/>
      <c r="AB45" s="4061"/>
      <c r="AC45" s="4062"/>
      <c r="AD45" s="4060" t="str">
        <f>INDEX(PT_DIFFERENTIATION_CS,MATCH(C45,PT_DIFFERENTIATION_CS_ID,0))</f>
        <v/>
      </c>
      <c r="AE45" s="4061"/>
      <c r="AF45" s="4061"/>
      <c r="AG45" s="4061"/>
      <c r="AH45" s="4061"/>
      <c r="AI45" s="4061"/>
      <c r="AJ45" s="4061"/>
      <c r="AK45" s="4061"/>
      <c r="AL45" s="4062"/>
      <c r="AM45" s="1177" t="s">
        <v>392</v>
      </c>
      <c r="AO45" s="426"/>
      <c r="AP45" s="426" t="str">
        <f t="shared" si="1"/>
        <v xml:space="preserve">Наименование системы теплоснабжения </v>
      </c>
      <c r="AQ45" s="426"/>
      <c r="AR45" s="426"/>
    </row>
    <row r="46" spans="1:44" ht="21" customHeight="1">
      <c r="A46" s="1279" t="s">
        <v>190</v>
      </c>
      <c r="B46" s="1279" t="s">
        <v>191</v>
      </c>
      <c r="C46" s="1279" t="s">
        <v>192</v>
      </c>
      <c r="D46" s="1279" t="s">
        <v>193</v>
      </c>
      <c r="E46" s="4075"/>
      <c r="F46" s="4075"/>
      <c r="G46" s="4075"/>
      <c r="H46" s="4074">
        <v>1</v>
      </c>
      <c r="I46" s="1279"/>
      <c r="J46" s="1279"/>
      <c r="K46" s="1279"/>
      <c r="L46" s="1280"/>
      <c r="M46" s="1281"/>
      <c r="N46" s="1281"/>
      <c r="O46" s="1281"/>
      <c r="P46" s="279"/>
      <c r="Q46" s="277"/>
      <c r="R46" s="278"/>
      <c r="S46" s="1253" t="str">
        <f>INDEX(PT_DIFFERENTIATION_NUM_IST_TE,MATCH(D46,PT_DIFFERENTIATION_IST_TE_ID,0))</f>
        <v>...</v>
      </c>
      <c r="T46" s="231" t="s">
        <v>393</v>
      </c>
      <c r="U46" s="219"/>
      <c r="V46" s="4060"/>
      <c r="W46" s="4061"/>
      <c r="X46" s="4061"/>
      <c r="Y46" s="4061"/>
      <c r="Z46" s="4061"/>
      <c r="AA46" s="4061"/>
      <c r="AB46" s="4061"/>
      <c r="AC46" s="4062"/>
      <c r="AD46" s="4060" t="str">
        <f>INDEX(PT_DIFFERENTIATION_IST_TE,MATCH(D46,PT_DIFFERENTIATION_IST_TE_ID,0))</f>
        <v/>
      </c>
      <c r="AE46" s="4061"/>
      <c r="AF46" s="4061"/>
      <c r="AG46" s="4061"/>
      <c r="AH46" s="4061"/>
      <c r="AI46" s="4061"/>
      <c r="AJ46" s="4061"/>
      <c r="AK46" s="4061"/>
      <c r="AL46" s="4062"/>
      <c r="AM46" s="1177" t="s">
        <v>394</v>
      </c>
      <c r="AO46" s="426"/>
      <c r="AP46" s="426" t="str">
        <f t="shared" si="1"/>
        <v xml:space="preserve">Источник тепловой энергии  </v>
      </c>
      <c r="AQ46" s="426"/>
      <c r="AR46" s="426"/>
    </row>
    <row r="47" spans="1:44" s="1821" customFormat="1" ht="0" hidden="1" customHeight="1">
      <c r="A47" s="1260" t="s">
        <v>190</v>
      </c>
      <c r="B47" s="1260" t="s">
        <v>191</v>
      </c>
      <c r="C47" s="1260" t="s">
        <v>192</v>
      </c>
      <c r="D47" s="1260" t="s">
        <v>193</v>
      </c>
      <c r="E47" s="4075"/>
      <c r="F47" s="4075"/>
      <c r="G47" s="4075"/>
      <c r="H47" s="4075"/>
      <c r="I47" s="4072" t="str">
        <f>S46&amp;".1"</f>
        <v>....1</v>
      </c>
      <c r="J47" s="1260"/>
      <c r="K47" s="1260"/>
      <c r="L47" s="1263" t="s">
        <v>395</v>
      </c>
      <c r="M47" s="436"/>
      <c r="N47" s="436"/>
      <c r="O47" s="436"/>
      <c r="P47" s="4073">
        <v>1</v>
      </c>
      <c r="Q47" s="1248"/>
      <c r="R47" s="281"/>
      <c r="S47" s="949"/>
      <c r="T47" s="1299"/>
      <c r="U47" s="1300"/>
      <c r="V47" s="4101"/>
      <c r="W47" s="4102"/>
      <c r="X47" s="4102"/>
      <c r="Y47" s="4102"/>
      <c r="Z47" s="4102"/>
      <c r="AA47" s="4102"/>
      <c r="AB47" s="4102"/>
      <c r="AC47" s="4103"/>
      <c r="AD47" s="4101"/>
      <c r="AE47" s="4102"/>
      <c r="AF47" s="4102"/>
      <c r="AG47" s="4102"/>
      <c r="AH47" s="4102"/>
      <c r="AI47" s="4102"/>
      <c r="AJ47" s="4102"/>
      <c r="AK47" s="4102"/>
      <c r="AL47" s="4103"/>
      <c r="AM47" s="1301"/>
      <c r="AO47" s="426"/>
      <c r="AP47" s="426" t="str">
        <f t="shared" si="1"/>
        <v/>
      </c>
      <c r="AQ47" s="426"/>
      <c r="AR47" s="426"/>
    </row>
    <row r="48" spans="1:44" ht="21" customHeight="1">
      <c r="A48" s="1279" t="s">
        <v>190</v>
      </c>
      <c r="B48" s="1279" t="s">
        <v>191</v>
      </c>
      <c r="C48" s="1279" t="s">
        <v>192</v>
      </c>
      <c r="D48" s="1279" t="s">
        <v>193</v>
      </c>
      <c r="E48" s="4075"/>
      <c r="F48" s="4075"/>
      <c r="G48" s="4075"/>
      <c r="H48" s="4075"/>
      <c r="I48" s="4095"/>
      <c r="J48" s="4072" t="str">
        <f>S46&amp;".1"</f>
        <v>....1</v>
      </c>
      <c r="K48" s="1279"/>
      <c r="L48" s="1280" t="s">
        <v>398</v>
      </c>
      <c r="P48" s="4073"/>
      <c r="Q48" s="4073">
        <v>1</v>
      </c>
      <c r="R48" s="282"/>
      <c r="S48" s="1253" t="str">
        <f>$J48</f>
        <v>....1</v>
      </c>
      <c r="T48" s="205" t="s">
        <v>399</v>
      </c>
      <c r="U48" s="219"/>
      <c r="V48" s="4063"/>
      <c r="W48" s="4064"/>
      <c r="X48" s="4064"/>
      <c r="Y48" s="4064"/>
      <c r="Z48" s="4064"/>
      <c r="AA48" s="4064"/>
      <c r="AB48" s="4064"/>
      <c r="AC48" s="4065"/>
      <c r="AD48" s="4063"/>
      <c r="AE48" s="4064"/>
      <c r="AF48" s="4064"/>
      <c r="AG48" s="4064"/>
      <c r="AH48" s="4064"/>
      <c r="AI48" s="4064"/>
      <c r="AJ48" s="4064"/>
      <c r="AK48" s="4064"/>
      <c r="AL48" s="4065"/>
      <c r="AM48" s="1177" t="s">
        <v>400</v>
      </c>
      <c r="AO48" s="426"/>
      <c r="AP48" s="426" t="str">
        <f t="shared" si="1"/>
        <v>Группа потребителей</v>
      </c>
      <c r="AQ48" s="426"/>
      <c r="AR48" s="426"/>
    </row>
    <row r="49" spans="1:44" ht="21" customHeight="1">
      <c r="A49" s="1279" t="s">
        <v>190</v>
      </c>
      <c r="B49" s="1279" t="s">
        <v>191</v>
      </c>
      <c r="C49" s="1279" t="s">
        <v>192</v>
      </c>
      <c r="D49" s="1279" t="s">
        <v>193</v>
      </c>
      <c r="E49" s="4075"/>
      <c r="F49" s="4075"/>
      <c r="G49" s="4075"/>
      <c r="H49" s="4075"/>
      <c r="I49" s="4095"/>
      <c r="J49" s="4095"/>
      <c r="K49" s="4072" t="str">
        <f>J48&amp;".1"</f>
        <v>....1.1</v>
      </c>
      <c r="L49" s="1280" t="s">
        <v>401</v>
      </c>
      <c r="P49" s="4073"/>
      <c r="Q49" s="4073"/>
      <c r="R49" s="282">
        <v>1</v>
      </c>
      <c r="S49" s="1253" t="str">
        <f>$K49</f>
        <v>....1.1</v>
      </c>
      <c r="T49" s="1264"/>
      <c r="U49" s="219"/>
      <c r="V49" s="668"/>
      <c r="W49" s="251"/>
      <c r="X49" s="668"/>
      <c r="Y49" s="1176"/>
      <c r="Z49" s="4077"/>
      <c r="AA49" s="3927" t="s">
        <v>65</v>
      </c>
      <c r="AB49" s="4077"/>
      <c r="AC49" s="3927" t="s">
        <v>65</v>
      </c>
      <c r="AD49" s="668"/>
      <c r="AE49" s="251"/>
      <c r="AF49" s="668"/>
      <c r="AG49" s="1176"/>
      <c r="AH49" s="4077"/>
      <c r="AI49" s="3927" t="s">
        <v>65</v>
      </c>
      <c r="AJ49" s="4096"/>
      <c r="AK49" s="3927" t="s">
        <v>65</v>
      </c>
      <c r="AL49" s="1265"/>
      <c r="AM49" s="4069" t="s">
        <v>441</v>
      </c>
      <c r="AN49" s="437" t="e">
        <f ca="1">STRCHECKDATE(V50:AL50)</f>
        <v>#NAME?</v>
      </c>
      <c r="AO49" s="426"/>
      <c r="AP49" s="426" t="str">
        <f t="shared" si="1"/>
        <v/>
      </c>
      <c r="AQ49" s="426"/>
      <c r="AR49" s="426"/>
    </row>
    <row r="50" spans="1:44" ht="0" hidden="1" customHeight="1">
      <c r="A50" s="1279" t="s">
        <v>190</v>
      </c>
      <c r="B50" s="1279" t="s">
        <v>191</v>
      </c>
      <c r="C50" s="1279" t="s">
        <v>192</v>
      </c>
      <c r="D50" s="1279" t="s">
        <v>193</v>
      </c>
      <c r="E50" s="4075"/>
      <c r="F50" s="4075"/>
      <c r="G50" s="4075"/>
      <c r="H50" s="4075"/>
      <c r="I50" s="4095"/>
      <c r="J50" s="4095"/>
      <c r="K50" s="4072"/>
      <c r="L50" s="1280"/>
      <c r="P50" s="4073"/>
      <c r="Q50" s="4073"/>
      <c r="R50" s="282"/>
      <c r="S50" s="1259"/>
      <c r="T50" s="219"/>
      <c r="U50" s="219"/>
      <c r="V50" s="251"/>
      <c r="W50" s="251"/>
      <c r="X50" s="251"/>
      <c r="Y50" s="255" t="str">
        <f>Z49&amp;"-"&amp;AB49</f>
        <v>-</v>
      </c>
      <c r="Z50" s="4078"/>
      <c r="AA50" s="3927"/>
      <c r="AB50" s="4078"/>
      <c r="AC50" s="3927"/>
      <c r="AD50" s="251"/>
      <c r="AE50" s="251"/>
      <c r="AF50" s="251"/>
      <c r="AG50" s="255" t="str">
        <f>AH49&amp;"-"&amp;AJ49</f>
        <v>-</v>
      </c>
      <c r="AH50" s="4078"/>
      <c r="AI50" s="3927"/>
      <c r="AJ50" s="4097"/>
      <c r="AK50" s="3927"/>
      <c r="AL50" s="1266"/>
      <c r="AM50" s="4070"/>
      <c r="AO50" s="426"/>
      <c r="AP50" s="426" t="str">
        <f t="shared" si="1"/>
        <v/>
      </c>
      <c r="AQ50" s="426"/>
      <c r="AR50" s="426"/>
    </row>
    <row r="51" spans="1:44" ht="11.25" customHeight="1">
      <c r="A51" s="1279" t="s">
        <v>190</v>
      </c>
      <c r="B51" s="1279" t="s">
        <v>191</v>
      </c>
      <c r="C51" s="1279" t="s">
        <v>192</v>
      </c>
      <c r="D51" s="1279" t="s">
        <v>193</v>
      </c>
      <c r="E51" s="4075"/>
      <c r="F51" s="4075"/>
      <c r="G51" s="4075"/>
      <c r="H51" s="4075"/>
      <c r="I51" s="4095"/>
      <c r="J51" s="4072"/>
      <c r="K51" s="1279"/>
      <c r="L51" s="1280"/>
      <c r="P51" s="4073"/>
      <c r="Q51" s="4073"/>
      <c r="R51" s="281"/>
      <c r="S51" s="1198"/>
      <c r="T51" s="206" t="s">
        <v>403</v>
      </c>
      <c r="U51" s="295"/>
      <c r="V51" s="295"/>
      <c r="W51" s="295"/>
      <c r="X51" s="295"/>
      <c r="Y51" s="295"/>
      <c r="Z51" s="295"/>
      <c r="AA51" s="295"/>
      <c r="AB51" s="295"/>
      <c r="AC51" s="295"/>
      <c r="AD51" s="295"/>
      <c r="AE51" s="295"/>
      <c r="AF51" s="295"/>
      <c r="AG51" s="295"/>
      <c r="AH51" s="295"/>
      <c r="AI51" s="295"/>
      <c r="AJ51" s="295"/>
      <c r="AK51" s="295"/>
      <c r="AL51" s="250"/>
      <c r="AM51" s="4071"/>
      <c r="AO51" s="426"/>
      <c r="AP51" s="426" t="str">
        <f t="shared" si="1"/>
        <v>Добавить вид теплоносителя (параметры теплоносителя)</v>
      </c>
      <c r="AQ51" s="426"/>
      <c r="AR51" s="426"/>
    </row>
    <row r="52" spans="1:44" ht="11.25" customHeight="1">
      <c r="A52" s="1279" t="s">
        <v>190</v>
      </c>
      <c r="B52" s="1279" t="s">
        <v>191</v>
      </c>
      <c r="C52" s="1279" t="s">
        <v>192</v>
      </c>
      <c r="D52" s="1279" t="s">
        <v>193</v>
      </c>
      <c r="E52" s="4075"/>
      <c r="F52" s="4075"/>
      <c r="G52" s="4075"/>
      <c r="H52" s="4075"/>
      <c r="I52" s="4072"/>
      <c r="J52" s="1279"/>
      <c r="K52" s="1279"/>
      <c r="L52" s="1280"/>
      <c r="P52" s="4073"/>
      <c r="Q52" s="1248"/>
      <c r="R52" s="281"/>
      <c r="S52" s="1198"/>
      <c r="T52" s="292" t="s">
        <v>404</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190</v>
      </c>
      <c r="B53" s="1279" t="s">
        <v>191</v>
      </c>
      <c r="C53" s="1279" t="s">
        <v>192</v>
      </c>
      <c r="D53" s="1279" t="s">
        <v>193</v>
      </c>
      <c r="E53" s="4075"/>
      <c r="F53" s="4075"/>
      <c r="G53" s="4075"/>
      <c r="H53" s="4074"/>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2550" customFormat="1" ht="0" hidden="1" customHeight="1">
      <c r="A54" s="1260" t="s">
        <v>190</v>
      </c>
      <c r="B54" s="1260" t="s">
        <v>191</v>
      </c>
      <c r="C54" s="1260" t="s">
        <v>192</v>
      </c>
      <c r="D54" s="1232"/>
      <c r="E54" s="4075"/>
      <c r="F54" s="4075"/>
      <c r="G54" s="4074"/>
      <c r="H54" s="1232"/>
      <c r="I54" s="1232"/>
      <c r="J54" s="1232"/>
      <c r="K54" s="1232"/>
      <c r="L54" s="1256"/>
      <c r="M54" s="1233"/>
      <c r="N54" s="1233"/>
      <c r="P54" s="1234"/>
      <c r="Q54" s="1235"/>
      <c r="R54" s="1234"/>
      <c r="S54" s="1240"/>
      <c r="T54" s="1243" t="s">
        <v>166</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2550" customFormat="1" ht="0" hidden="1" customHeight="1">
      <c r="A55" s="1260" t="s">
        <v>190</v>
      </c>
      <c r="B55" s="1260" t="s">
        <v>191</v>
      </c>
      <c r="C55" s="1232"/>
      <c r="D55" s="1232"/>
      <c r="E55" s="4075"/>
      <c r="F55" s="4074"/>
      <c r="G55" s="1232"/>
      <c r="H55" s="1232"/>
      <c r="I55" s="1232"/>
      <c r="J55" s="1232"/>
      <c r="K55" s="1232"/>
      <c r="L55" s="1256"/>
      <c r="M55" s="1239"/>
      <c r="N55" s="1239"/>
      <c r="P55" s="1234"/>
      <c r="Q55" s="1235"/>
      <c r="R55" s="1234"/>
      <c r="S55" s="1240"/>
      <c r="T55" s="1243" t="s">
        <v>167</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21" customFormat="1" ht="0" hidden="1" customHeight="1">
      <c r="A56" s="1260" t="s">
        <v>190</v>
      </c>
      <c r="B56" s="1260"/>
      <c r="C56" s="1260"/>
      <c r="D56" s="1260"/>
      <c r="E56" s="4074"/>
      <c r="F56" s="1260"/>
      <c r="G56" s="1260"/>
      <c r="H56" s="1260"/>
      <c r="I56" s="1260"/>
      <c r="J56" s="1260"/>
      <c r="K56" s="1260"/>
      <c r="L56" s="1263"/>
      <c r="M56" s="1239"/>
      <c r="N56" s="1239"/>
      <c r="O56" s="444"/>
      <c r="P56" s="313"/>
      <c r="Q56" s="1261"/>
      <c r="R56" s="313"/>
      <c r="S56" s="1240"/>
      <c r="T56" s="1243" t="s">
        <v>168</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2550" customFormat="1" ht="5.25" customHeight="1">
      <c r="A57" s="1232"/>
      <c r="B57" s="1232"/>
      <c r="C57" s="1232"/>
      <c r="D57" s="1232"/>
      <c r="E57" s="1260"/>
      <c r="F57" s="1232"/>
      <c r="G57" s="1232"/>
      <c r="H57" s="1232"/>
      <c r="I57" s="1232"/>
      <c r="J57" s="1232"/>
      <c r="K57" s="1232"/>
      <c r="L57" s="1256"/>
      <c r="M57" s="1239"/>
      <c r="N57" s="1239"/>
      <c r="P57" s="1234"/>
      <c r="Q57" s="1235"/>
      <c r="R57" s="1234"/>
      <c r="S57" s="1240"/>
      <c r="T57" s="1243" t="s">
        <v>169</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14.25" customHeight="1">
      <c r="O59" s="462"/>
      <c r="S59" s="1164"/>
      <c r="T59" s="4094"/>
      <c r="U59" s="4094"/>
      <c r="V59" s="4094"/>
      <c r="W59" s="4094"/>
      <c r="X59" s="4094"/>
      <c r="Y59" s="4094"/>
      <c r="Z59" s="4094"/>
      <c r="AA59" s="4094"/>
      <c r="AB59" s="4094"/>
      <c r="AC59" s="4094"/>
      <c r="AD59" s="4094"/>
      <c r="AE59" s="4094"/>
      <c r="AF59" s="4094"/>
      <c r="AG59" s="4094"/>
      <c r="AH59" s="4094"/>
      <c r="AI59" s="4094"/>
      <c r="AJ59" s="4094"/>
      <c r="AK59" s="4094"/>
      <c r="AL59" s="4094"/>
      <c r="AM59" s="4094"/>
    </row>
    <row r="60" spans="1:44" ht="14.25" customHeight="1">
      <c r="O60" s="462"/>
      <c r="T60" s="4094"/>
      <c r="U60" s="4094"/>
      <c r="V60" s="4094"/>
      <c r="W60" s="4094"/>
      <c r="X60" s="4094"/>
      <c r="Y60" s="4094"/>
      <c r="Z60" s="4094"/>
      <c r="AA60" s="4094"/>
      <c r="AB60" s="4094"/>
      <c r="AC60" s="4094"/>
      <c r="AD60" s="4094"/>
      <c r="AE60" s="4094"/>
      <c r="AF60" s="4094"/>
      <c r="AG60" s="4094"/>
      <c r="AH60" s="4094"/>
      <c r="AI60" s="4094"/>
      <c r="AJ60" s="4094"/>
      <c r="AK60" s="4094"/>
      <c r="AL60" s="4094"/>
      <c r="AM60" s="4094"/>
    </row>
    <row r="61" spans="1:44" ht="14.25" customHeight="1">
      <c r="O61" s="462"/>
      <c r="T61" s="4094"/>
      <c r="U61" s="4094"/>
      <c r="V61" s="4094"/>
      <c r="W61" s="4094"/>
      <c r="X61" s="4094"/>
      <c r="Y61" s="4094"/>
      <c r="Z61" s="4094"/>
      <c r="AA61" s="4094"/>
      <c r="AB61" s="4094"/>
      <c r="AC61" s="4094"/>
      <c r="AD61" s="4094"/>
      <c r="AE61" s="4094"/>
      <c r="AF61" s="4094"/>
      <c r="AG61" s="4094"/>
      <c r="AH61" s="4094"/>
      <c r="AI61" s="4094"/>
      <c r="AJ61" s="4094"/>
      <c r="AK61" s="4094"/>
      <c r="AL61" s="4094"/>
      <c r="AM61" s="4094"/>
    </row>
    <row r="62" spans="1:44" ht="14.25" customHeight="1">
      <c r="O62" s="462"/>
    </row>
    <row r="63" spans="1:44" ht="14.25" customHeight="1">
      <c r="O63" s="462"/>
      <c r="S63" s="1164"/>
      <c r="T63" s="3995"/>
      <c r="U63" s="4094"/>
      <c r="V63" s="4094"/>
      <c r="W63" s="4094"/>
      <c r="X63" s="4094"/>
      <c r="Y63" s="4094"/>
      <c r="Z63" s="4094"/>
      <c r="AA63" s="4094"/>
      <c r="AB63" s="4094"/>
      <c r="AC63" s="4094"/>
      <c r="AD63" s="4094"/>
      <c r="AE63" s="4094"/>
      <c r="AF63" s="4094"/>
      <c r="AG63" s="4094"/>
      <c r="AH63" s="4094"/>
      <c r="AI63" s="4094"/>
      <c r="AJ63" s="4094"/>
      <c r="AK63" s="4094"/>
      <c r="AL63" s="4094"/>
      <c r="AM63" s="4094"/>
    </row>
    <row r="64" spans="1:44" ht="14.25" customHeight="1">
      <c r="O64" s="462"/>
      <c r="T64" s="4094"/>
      <c r="U64" s="4094"/>
      <c r="V64" s="4094"/>
      <c r="W64" s="4094"/>
      <c r="X64" s="4094"/>
      <c r="Y64" s="4094"/>
      <c r="Z64" s="4094"/>
      <c r="AA64" s="4094"/>
      <c r="AB64" s="4094"/>
      <c r="AC64" s="4094"/>
      <c r="AD64" s="4094"/>
      <c r="AE64" s="4094"/>
      <c r="AF64" s="4094"/>
      <c r="AG64" s="4094"/>
      <c r="AH64" s="4094"/>
      <c r="AI64" s="4094"/>
      <c r="AJ64" s="4094"/>
      <c r="AK64" s="4094"/>
      <c r="AL64" s="4094"/>
      <c r="AM64" s="4094"/>
    </row>
    <row r="65" spans="20:39" ht="14.25" customHeight="1">
      <c r="T65" s="4094"/>
      <c r="U65" s="4094"/>
      <c r="V65" s="4094"/>
      <c r="W65" s="4094"/>
      <c r="X65" s="4094"/>
      <c r="Y65" s="4094"/>
      <c r="Z65" s="4094"/>
      <c r="AA65" s="4094"/>
      <c r="AB65" s="4094"/>
      <c r="AC65" s="4094"/>
      <c r="AD65" s="4094"/>
      <c r="AE65" s="4094"/>
      <c r="AF65" s="4094"/>
      <c r="AG65" s="4094"/>
      <c r="AH65" s="4094"/>
      <c r="AI65" s="4094"/>
      <c r="AJ65" s="4094"/>
      <c r="AK65" s="4094"/>
      <c r="AL65" s="4094"/>
      <c r="AM65" s="4094"/>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20" hidden="1"/>
    <col min="2" max="2" width="11" style="1920" hidden="1" customWidth="1"/>
    <col min="3" max="3" width="10.5703125" style="1920" hidden="1"/>
    <col min="4" max="4" width="11.85546875" style="1920" hidden="1" customWidth="1"/>
    <col min="5" max="5" width="10" style="1920" hidden="1" customWidth="1"/>
    <col min="6" max="6" width="8.7109375" style="1920" hidden="1" customWidth="1"/>
    <col min="7" max="7" width="7.5703125" style="1920" hidden="1" customWidth="1"/>
    <col min="8" max="8" width="11.42578125" style="1920" hidden="1" customWidth="1"/>
    <col min="9" max="9" width="12" style="1920" hidden="1" customWidth="1"/>
    <col min="10" max="10" width="9.85546875" style="1920" hidden="1" customWidth="1"/>
    <col min="11" max="12" width="11.42578125" style="1920" hidden="1" customWidth="1"/>
    <col min="13" max="13" width="19.140625" style="3801" hidden="1" customWidth="1"/>
    <col min="14" max="15" width="12.28515625" style="2565" hidden="1" customWidth="1"/>
    <col min="16" max="16" width="23.42578125" style="2565" hidden="1" customWidth="1"/>
    <col min="17" max="17" width="3.7109375" style="2565" hidden="1" customWidth="1"/>
    <col min="18" max="20" width="3.7109375" style="3173" customWidth="1"/>
    <col min="21" max="21" width="12.7109375" style="3174" customWidth="1"/>
    <col min="22" max="22" width="32" style="1920" customWidth="1"/>
    <col min="23" max="23" width="0.140625" style="1920" customWidth="1"/>
    <col min="24" max="28" width="21.7109375" style="1920" hidden="1" customWidth="1"/>
    <col min="29" max="29" width="11.7109375" style="1920" hidden="1" customWidth="1"/>
    <col min="30" max="30" width="3.7109375" style="1920" hidden="1" customWidth="1"/>
    <col min="31" max="31" width="11.7109375" style="1920" hidden="1" customWidth="1"/>
    <col min="32" max="32" width="8.5703125" style="1920" hidden="1" customWidth="1"/>
    <col min="33" max="37" width="21.7109375" style="1920" customWidth="1"/>
    <col min="38" max="38" width="11.7109375" style="1920" customWidth="1"/>
    <col min="39" max="39" width="3.7109375" style="1920" customWidth="1"/>
    <col min="40" max="40" width="11.7109375" style="1920" customWidth="1"/>
    <col min="41" max="41" width="8.5703125" style="1920" customWidth="1"/>
    <col min="42" max="42" width="4.7109375" style="1920" customWidth="1"/>
    <col min="43" max="43" width="115.7109375" style="1920" customWidth="1"/>
    <col min="44" max="45" width="10.5703125" style="1821"/>
    <col min="46" max="46" width="11.140625" style="1821" customWidth="1"/>
    <col min="47" max="48" width="10.5703125" style="1821"/>
  </cols>
  <sheetData>
    <row r="1" spans="1:48" ht="14.25" hidden="1" customHeight="1">
      <c r="AB1" s="254"/>
      <c r="AC1" s="254"/>
      <c r="AK1" s="254"/>
      <c r="AL1" s="254"/>
    </row>
    <row r="2" spans="1:48" ht="21" hidden="1" customHeight="1">
      <c r="A2" s="1186"/>
      <c r="B2" s="1186"/>
      <c r="C2" s="1186"/>
      <c r="D2" s="1186"/>
      <c r="E2" s="4104">
        <v>1</v>
      </c>
      <c r="F2" s="1186"/>
      <c r="G2" s="1186"/>
      <c r="H2" s="1186"/>
      <c r="I2" s="1186"/>
      <c r="J2" s="1186"/>
      <c r="K2" s="1186"/>
      <c r="L2" s="1186"/>
      <c r="M2" s="1228"/>
      <c r="N2" s="608"/>
      <c r="O2" s="608"/>
      <c r="P2" s="608"/>
      <c r="Q2" s="286"/>
      <c r="R2" s="285"/>
      <c r="S2" s="285"/>
      <c r="T2" s="280"/>
      <c r="U2" s="1253" t="e">
        <f>INDEX(PT_DIFFERENTIATION_NUM_NTAR,MATCH(A2,PT_DIFFERENTIATION_NTAR_ID,0))</f>
        <v>#N/A</v>
      </c>
      <c r="V2" s="217" t="s">
        <v>121</v>
      </c>
      <c r="W2" s="219"/>
      <c r="X2" s="4060"/>
      <c r="Y2" s="4061"/>
      <c r="Z2" s="4061"/>
      <c r="AA2" s="4061"/>
      <c r="AB2" s="4061"/>
      <c r="AC2" s="4061"/>
      <c r="AD2" s="4061"/>
      <c r="AE2" s="4061"/>
      <c r="AF2" s="4062"/>
      <c r="AG2" s="4060" t="e">
        <f>INDEX(PT_DIFFERENTIATION_NTAR,MATCH(A2,PT_DIFFERENTIATION_NTAR_ID,0))</f>
        <v>#N/A</v>
      </c>
      <c r="AH2" s="4061"/>
      <c r="AI2" s="4061"/>
      <c r="AJ2" s="4061"/>
      <c r="AK2" s="4061"/>
      <c r="AL2" s="4061"/>
      <c r="AM2" s="4061"/>
      <c r="AN2" s="4061"/>
      <c r="AO2" s="4061"/>
      <c r="AP2" s="4062"/>
      <c r="AQ2" s="1177" t="s">
        <v>388</v>
      </c>
      <c r="AS2" s="426"/>
      <c r="AT2" s="426" t="str">
        <f t="shared" ref="AT2:AT8" si="0">IF(V2="","",V2)</f>
        <v>Наименование тарифа</v>
      </c>
      <c r="AU2" s="426"/>
      <c r="AV2" s="426"/>
    </row>
    <row r="3" spans="1:48" ht="21" hidden="1" customHeight="1">
      <c r="A3" s="1186"/>
      <c r="B3" s="1186"/>
      <c r="C3" s="1186"/>
      <c r="D3" s="1186"/>
      <c r="E3" s="4105"/>
      <c r="F3" s="4104">
        <v>1</v>
      </c>
      <c r="G3" s="1186"/>
      <c r="H3" s="1186"/>
      <c r="I3" s="1186"/>
      <c r="J3" s="1186"/>
      <c r="K3" s="1186"/>
      <c r="L3" s="1186"/>
      <c r="M3" s="1228"/>
      <c r="N3" s="608"/>
      <c r="O3" s="608"/>
      <c r="P3" s="608"/>
      <c r="Q3" s="1249"/>
      <c r="R3" s="277"/>
      <c r="S3" s="435"/>
      <c r="T3" s="278"/>
      <c r="U3" s="1253" t="e">
        <f>INDEX(PT_DIFFERENTIATION_NUM_TER,MATCH(B3,PT_DIFFERENTIATION_TER_ID,0))</f>
        <v>#N/A</v>
      </c>
      <c r="V3" s="229" t="s">
        <v>389</v>
      </c>
      <c r="W3" s="219"/>
      <c r="X3" s="4060"/>
      <c r="Y3" s="4061"/>
      <c r="Z3" s="4061"/>
      <c r="AA3" s="4061"/>
      <c r="AB3" s="4061"/>
      <c r="AC3" s="4061"/>
      <c r="AD3" s="4061"/>
      <c r="AE3" s="4061"/>
      <c r="AF3" s="4062"/>
      <c r="AG3" s="4060" t="e">
        <f>INDEX(PT_DIFFERENTIATION_TER,MATCH(B3,PT_DIFFERENTIATION_TER_ID,0))</f>
        <v>#N/A</v>
      </c>
      <c r="AH3" s="4061"/>
      <c r="AI3" s="4061"/>
      <c r="AJ3" s="4061"/>
      <c r="AK3" s="4061"/>
      <c r="AL3" s="4061"/>
      <c r="AM3" s="4061"/>
      <c r="AN3" s="4061"/>
      <c r="AO3" s="4061"/>
      <c r="AP3" s="4062"/>
      <c r="AQ3" s="1177" t="s">
        <v>390</v>
      </c>
      <c r="AS3" s="426"/>
      <c r="AT3" s="426" t="str">
        <f t="shared" si="0"/>
        <v>Территория действия тарифа</v>
      </c>
      <c r="AU3" s="426"/>
      <c r="AV3" s="426"/>
    </row>
    <row r="4" spans="1:48" ht="22.5" hidden="1" customHeight="1">
      <c r="A4" s="1186"/>
      <c r="B4" s="1186"/>
      <c r="C4" s="1186"/>
      <c r="D4" s="1186"/>
      <c r="E4" s="4105"/>
      <c r="F4" s="4105"/>
      <c r="G4" s="4104">
        <v>1</v>
      </c>
      <c r="H4" s="1186"/>
      <c r="I4" s="1186"/>
      <c r="J4" s="1186"/>
      <c r="K4" s="1186"/>
      <c r="L4" s="1186"/>
      <c r="M4" s="1228"/>
      <c r="N4" s="608"/>
      <c r="O4" s="608"/>
      <c r="P4" s="608"/>
      <c r="Q4" s="279"/>
      <c r="R4" s="277"/>
      <c r="S4" s="435"/>
      <c r="T4" s="278"/>
      <c r="U4" s="1253" t="e">
        <f>INDEX(PT_DIFFERENTIATION_NUM_CS,MATCH(C4,PT_DIFFERENTIATION_CS_ID,0))</f>
        <v>#N/A</v>
      </c>
      <c r="V4" s="230" t="s">
        <v>391</v>
      </c>
      <c r="W4" s="219"/>
      <c r="X4" s="4060"/>
      <c r="Y4" s="4061"/>
      <c r="Z4" s="4061"/>
      <c r="AA4" s="4061"/>
      <c r="AB4" s="4061"/>
      <c r="AC4" s="4061"/>
      <c r="AD4" s="4061"/>
      <c r="AE4" s="4061"/>
      <c r="AF4" s="4062"/>
      <c r="AG4" s="4060" t="e">
        <f>INDEX(PT_DIFFERENTIATION_CS,MATCH(C4,PT_DIFFERENTIATION_CS_ID,0))</f>
        <v>#N/A</v>
      </c>
      <c r="AH4" s="4061"/>
      <c r="AI4" s="4061"/>
      <c r="AJ4" s="4061"/>
      <c r="AK4" s="4061"/>
      <c r="AL4" s="4061"/>
      <c r="AM4" s="4061"/>
      <c r="AN4" s="4061"/>
      <c r="AO4" s="4061"/>
      <c r="AP4" s="4062"/>
      <c r="AQ4" s="1177" t="s">
        <v>392</v>
      </c>
      <c r="AS4" s="426"/>
      <c r="AT4" s="426" t="str">
        <f t="shared" si="0"/>
        <v xml:space="preserve">Наименование системы теплоснабжения </v>
      </c>
      <c r="AU4" s="426"/>
      <c r="AV4" s="426"/>
    </row>
    <row r="5" spans="1:48" ht="21" hidden="1" customHeight="1">
      <c r="A5" s="1186"/>
      <c r="B5" s="1186"/>
      <c r="C5" s="1186"/>
      <c r="D5" s="1186"/>
      <c r="E5" s="4105"/>
      <c r="F5" s="4105"/>
      <c r="G5" s="4105"/>
      <c r="H5" s="4104">
        <v>1</v>
      </c>
      <c r="I5" s="1186"/>
      <c r="J5" s="1186"/>
      <c r="K5" s="1186"/>
      <c r="L5" s="1186"/>
      <c r="M5" s="1228"/>
      <c r="N5" s="608"/>
      <c r="O5" s="608"/>
      <c r="P5" s="608"/>
      <c r="Q5" s="279"/>
      <c r="R5" s="277"/>
      <c r="S5" s="435"/>
      <c r="T5" s="278"/>
      <c r="U5" s="1253" t="e">
        <f>INDEX(PT_DIFFERENTIATION_NUM_IST_TE,MATCH(D5,PT_DIFFERENTIATION_IST_TE_ID,0))</f>
        <v>#N/A</v>
      </c>
      <c r="V5" s="231" t="s">
        <v>393</v>
      </c>
      <c r="W5" s="219"/>
      <c r="X5" s="4060"/>
      <c r="Y5" s="4061"/>
      <c r="Z5" s="4061"/>
      <c r="AA5" s="4061"/>
      <c r="AB5" s="4061"/>
      <c r="AC5" s="4061"/>
      <c r="AD5" s="4061"/>
      <c r="AE5" s="4061"/>
      <c r="AF5" s="4062"/>
      <c r="AG5" s="4060" t="e">
        <f>INDEX(PT_DIFFERENTIATION_IST_TE,MATCH(D5,PT_DIFFERENTIATION_IST_TE_ID,0))</f>
        <v>#N/A</v>
      </c>
      <c r="AH5" s="4061"/>
      <c r="AI5" s="4061"/>
      <c r="AJ5" s="4061"/>
      <c r="AK5" s="4061"/>
      <c r="AL5" s="4061"/>
      <c r="AM5" s="4061"/>
      <c r="AN5" s="4061"/>
      <c r="AO5" s="4061"/>
      <c r="AP5" s="4062"/>
      <c r="AQ5" s="1177" t="s">
        <v>394</v>
      </c>
      <c r="AS5" s="426"/>
      <c r="AT5" s="426" t="str">
        <f t="shared" si="0"/>
        <v xml:space="preserve">Источник тепловой энергии  </v>
      </c>
      <c r="AU5" s="426"/>
      <c r="AV5" s="426"/>
    </row>
    <row r="6" spans="1:48" ht="14.25" hidden="1" customHeight="1">
      <c r="A6" s="1186"/>
      <c r="B6" s="1186"/>
      <c r="C6" s="1186"/>
      <c r="D6" s="1186"/>
      <c r="E6" s="4105"/>
      <c r="F6" s="4105"/>
      <c r="G6" s="4105"/>
      <c r="H6" s="4105"/>
      <c r="I6" s="3946" t="e">
        <f>U5&amp;".1"</f>
        <v>#N/A</v>
      </c>
      <c r="J6" s="1186"/>
      <c r="K6" s="1186"/>
      <c r="L6" s="1186"/>
      <c r="M6" s="1228" t="s">
        <v>395</v>
      </c>
      <c r="N6" s="435"/>
      <c r="Q6" s="4073">
        <v>1</v>
      </c>
      <c r="R6" s="1248"/>
      <c r="S6" s="1248"/>
      <c r="T6" s="281"/>
      <c r="U6" s="949"/>
      <c r="V6" s="1299"/>
      <c r="W6" s="1300"/>
      <c r="X6" s="4101"/>
      <c r="Y6" s="4102"/>
      <c r="Z6" s="4102"/>
      <c r="AA6" s="4102"/>
      <c r="AB6" s="4102"/>
      <c r="AC6" s="4102"/>
      <c r="AD6" s="4102"/>
      <c r="AE6" s="4102"/>
      <c r="AF6" s="4103"/>
      <c r="AG6" s="4101"/>
      <c r="AH6" s="4102"/>
      <c r="AI6" s="4102"/>
      <c r="AJ6" s="4102"/>
      <c r="AK6" s="4102"/>
      <c r="AL6" s="4102"/>
      <c r="AM6" s="4102"/>
      <c r="AN6" s="4102"/>
      <c r="AO6" s="4102"/>
      <c r="AP6" s="4103"/>
      <c r="AQ6" s="1301"/>
      <c r="AS6" s="426"/>
      <c r="AT6" s="426" t="str">
        <f t="shared" si="0"/>
        <v/>
      </c>
      <c r="AU6" s="426"/>
      <c r="AV6" s="426"/>
    </row>
    <row r="7" spans="1:48" ht="21" hidden="1" customHeight="1">
      <c r="A7" s="1186"/>
      <c r="B7" s="1186"/>
      <c r="C7" s="1186"/>
      <c r="D7" s="1186"/>
      <c r="E7" s="4105"/>
      <c r="F7" s="4105"/>
      <c r="G7" s="4105"/>
      <c r="H7" s="4105"/>
      <c r="I7" s="3918"/>
      <c r="J7" s="3946" t="e">
        <f>I6&amp;".1"</f>
        <v>#N/A</v>
      </c>
      <c r="K7" s="1186"/>
      <c r="L7" s="1186"/>
      <c r="M7" s="1228" t="s">
        <v>398</v>
      </c>
      <c r="N7" s="435"/>
      <c r="O7" s="254"/>
      <c r="Q7" s="4073"/>
      <c r="R7" s="4073">
        <v>1</v>
      </c>
      <c r="S7" s="444"/>
      <c r="T7" s="282"/>
      <c r="U7" s="1253" t="e">
        <f>$J7</f>
        <v>#N/A</v>
      </c>
      <c r="V7" s="205" t="s">
        <v>399</v>
      </c>
      <c r="W7" s="219"/>
      <c r="X7" s="4063"/>
      <c r="Y7" s="4064"/>
      <c r="Z7" s="4064"/>
      <c r="AA7" s="4064"/>
      <c r="AB7" s="4064"/>
      <c r="AC7" s="4056"/>
      <c r="AD7" s="4056"/>
      <c r="AE7" s="4056"/>
      <c r="AF7" s="4106"/>
      <c r="AG7" s="4063"/>
      <c r="AH7" s="4064"/>
      <c r="AI7" s="4064"/>
      <c r="AJ7" s="4064"/>
      <c r="AK7" s="4064"/>
      <c r="AL7" s="4064"/>
      <c r="AM7" s="4064"/>
      <c r="AN7" s="4064"/>
      <c r="AO7" s="4064"/>
      <c r="AP7" s="4065"/>
      <c r="AQ7" s="1177" t="s">
        <v>400</v>
      </c>
      <c r="AS7" s="426"/>
      <c r="AT7" s="426" t="str">
        <f t="shared" si="0"/>
        <v>Группа потребителей</v>
      </c>
      <c r="AU7" s="426"/>
      <c r="AV7" s="426"/>
    </row>
    <row r="8" spans="1:48" ht="21" hidden="1" customHeight="1">
      <c r="A8" s="1186"/>
      <c r="B8" s="1186"/>
      <c r="C8" s="1186"/>
      <c r="D8" s="1186"/>
      <c r="E8" s="4105"/>
      <c r="F8" s="4105"/>
      <c r="G8" s="4105"/>
      <c r="H8" s="4105"/>
      <c r="I8" s="3918"/>
      <c r="J8" s="3918"/>
      <c r="K8" s="3946" t="e">
        <f>J7&amp;".1"</f>
        <v>#N/A</v>
      </c>
      <c r="L8" s="65"/>
      <c r="M8" s="1228" t="s">
        <v>401</v>
      </c>
      <c r="N8" s="435"/>
      <c r="O8" s="254"/>
      <c r="P8" s="254"/>
      <c r="Q8" s="4073"/>
      <c r="R8" s="4073"/>
      <c r="S8" s="4073">
        <v>1</v>
      </c>
      <c r="T8" s="282"/>
      <c r="U8" s="1253" t="e">
        <f>$K8</f>
        <v>#N/A</v>
      </c>
      <c r="V8" s="1264"/>
      <c r="W8" s="219"/>
      <c r="X8" s="668"/>
      <c r="Y8" s="668"/>
      <c r="Z8" s="668"/>
      <c r="AA8" s="668"/>
      <c r="AB8" s="1321"/>
      <c r="AC8" s="4077"/>
      <c r="AD8" s="3927" t="s">
        <v>65</v>
      </c>
      <c r="AE8" s="4077"/>
      <c r="AF8" s="3927" t="s">
        <v>65</v>
      </c>
      <c r="AG8" s="1323"/>
      <c r="AH8" s="668"/>
      <c r="AI8" s="668"/>
      <c r="AJ8" s="668"/>
      <c r="AK8" s="1176"/>
      <c r="AL8" s="4077"/>
      <c r="AM8" s="3927" t="s">
        <v>65</v>
      </c>
      <c r="AN8" s="4077"/>
      <c r="AO8" s="3927" t="s">
        <v>65</v>
      </c>
      <c r="AP8" s="251"/>
      <c r="AQ8" s="1226" t="s">
        <v>442</v>
      </c>
      <c r="AR8" s="437" t="e">
        <f ca="1">STRCHECKDATE(X10:AP10)</f>
        <v>#NAME?</v>
      </c>
      <c r="AS8" s="426"/>
      <c r="AT8" s="426" t="str">
        <f t="shared" si="0"/>
        <v/>
      </c>
      <c r="AU8" s="426"/>
      <c r="AV8" s="426"/>
    </row>
    <row r="9" spans="1:48" ht="21" hidden="1" customHeight="1">
      <c r="A9" s="1186"/>
      <c r="B9" s="1186"/>
      <c r="C9" s="1186"/>
      <c r="D9" s="1186"/>
      <c r="E9" s="4105"/>
      <c r="F9" s="4105"/>
      <c r="G9" s="4105"/>
      <c r="H9" s="4105"/>
      <c r="I9" s="3918"/>
      <c r="J9" s="3918"/>
      <c r="K9" s="3918"/>
      <c r="L9" s="3946" t="e">
        <f>K8&amp;".1"</f>
        <v>#N/A</v>
      </c>
      <c r="M9" s="1228"/>
      <c r="N9" s="435"/>
      <c r="O9" s="254"/>
      <c r="P9" s="254"/>
      <c r="Q9" s="4073"/>
      <c r="R9" s="4073"/>
      <c r="S9" s="4073"/>
      <c r="T9" s="282"/>
      <c r="U9" s="1253" t="e">
        <f>$L9</f>
        <v>#N/A</v>
      </c>
      <c r="V9" s="1307"/>
      <c r="W9" s="219"/>
      <c r="X9" s="251"/>
      <c r="Y9" s="668"/>
      <c r="Z9" s="668"/>
      <c r="AA9" s="668"/>
      <c r="AB9" s="1321"/>
      <c r="AC9" s="4078"/>
      <c r="AD9" s="3927"/>
      <c r="AE9" s="4078"/>
      <c r="AF9" s="3927"/>
      <c r="AG9" s="1323"/>
      <c r="AH9" s="668"/>
      <c r="AI9" s="668"/>
      <c r="AJ9" s="668"/>
      <c r="AK9" s="1176"/>
      <c r="AL9" s="4078"/>
      <c r="AM9" s="3927"/>
      <c r="AN9" s="4078"/>
      <c r="AO9" s="3927"/>
      <c r="AP9" s="251"/>
      <c r="AQ9" s="4069" t="s">
        <v>443</v>
      </c>
      <c r="AS9" s="426"/>
      <c r="AT9" s="426"/>
      <c r="AU9" s="426"/>
      <c r="AV9" s="426"/>
    </row>
    <row r="10" spans="1:48" ht="14.25" hidden="1" customHeight="1">
      <c r="A10" s="1186"/>
      <c r="B10" s="1186"/>
      <c r="C10" s="1186"/>
      <c r="D10" s="1186"/>
      <c r="E10" s="4105"/>
      <c r="F10" s="4105"/>
      <c r="G10" s="4105"/>
      <c r="H10" s="4105"/>
      <c r="I10" s="3918"/>
      <c r="J10" s="3918"/>
      <c r="K10" s="3918"/>
      <c r="L10" s="3946"/>
      <c r="M10" s="1228"/>
      <c r="N10" s="435"/>
      <c r="O10" s="254"/>
      <c r="P10" s="254"/>
      <c r="Q10" s="4073"/>
      <c r="R10" s="4073"/>
      <c r="S10" s="4073"/>
      <c r="T10" s="282"/>
      <c r="U10" s="1259"/>
      <c r="V10" s="219"/>
      <c r="W10" s="219"/>
      <c r="X10" s="251"/>
      <c r="Y10" s="251"/>
      <c r="Z10" s="251"/>
      <c r="AA10" s="251"/>
      <c r="AB10" s="1322" t="str">
        <f>AC8&amp;"-"&amp;AE8</f>
        <v>-</v>
      </c>
      <c r="AC10" s="4078"/>
      <c r="AD10" s="3927"/>
      <c r="AE10" s="4078"/>
      <c r="AF10" s="3927"/>
      <c r="AG10" s="1298"/>
      <c r="AH10" s="251"/>
      <c r="AI10" s="251"/>
      <c r="AJ10" s="251"/>
      <c r="AK10" s="255" t="str">
        <f>AL8&amp;"-"&amp;AN8</f>
        <v>-</v>
      </c>
      <c r="AL10" s="4078"/>
      <c r="AM10" s="3927"/>
      <c r="AN10" s="4078"/>
      <c r="AO10" s="3927"/>
      <c r="AP10" s="251"/>
      <c r="AQ10" s="4070"/>
      <c r="AS10" s="426"/>
      <c r="AT10" s="426" t="str">
        <f>IF(V10="","",V10)</f>
        <v/>
      </c>
      <c r="AU10" s="426"/>
      <c r="AV10" s="426"/>
    </row>
    <row r="11" spans="1:48" ht="11.25" hidden="1" customHeight="1">
      <c r="A11" s="1186"/>
      <c r="B11" s="1186"/>
      <c r="C11" s="1186"/>
      <c r="D11" s="1186"/>
      <c r="E11" s="4105"/>
      <c r="F11" s="4105"/>
      <c r="G11" s="4105"/>
      <c r="H11" s="4105"/>
      <c r="I11" s="3918"/>
      <c r="J11" s="3918"/>
      <c r="K11" s="3946"/>
      <c r="L11" s="1186"/>
      <c r="M11" s="1228"/>
      <c r="N11" s="435"/>
      <c r="O11" s="254"/>
      <c r="P11" s="254"/>
      <c r="Q11" s="4073"/>
      <c r="R11" s="4073"/>
      <c r="S11" s="4073"/>
      <c r="T11" s="282"/>
      <c r="U11" s="1198"/>
      <c r="V11" s="207" t="s">
        <v>444</v>
      </c>
      <c r="W11" s="1308"/>
      <c r="X11" s="1309"/>
      <c r="Y11" s="1309"/>
      <c r="Z11" s="1309"/>
      <c r="AA11" s="1309"/>
      <c r="AB11" s="1310"/>
      <c r="AC11" s="4078"/>
      <c r="AD11" s="3927"/>
      <c r="AE11" s="4078"/>
      <c r="AF11" s="3927"/>
      <c r="AG11" s="1309"/>
      <c r="AH11" s="1309"/>
      <c r="AI11" s="1309"/>
      <c r="AJ11" s="1309"/>
      <c r="AK11" s="1310"/>
      <c r="AL11" s="4078"/>
      <c r="AM11" s="3927"/>
      <c r="AN11" s="4078"/>
      <c r="AO11" s="3927"/>
      <c r="AP11" s="1311"/>
      <c r="AQ11" s="4070"/>
      <c r="AS11" s="426"/>
      <c r="AT11" s="426"/>
      <c r="AU11" s="426"/>
      <c r="AV11" s="426"/>
    </row>
    <row r="12" spans="1:48" ht="15" hidden="1" customHeight="1">
      <c r="A12" s="1186"/>
      <c r="B12" s="1186"/>
      <c r="C12" s="1186"/>
      <c r="D12" s="1186"/>
      <c r="E12" s="4105"/>
      <c r="F12" s="4105"/>
      <c r="G12" s="4105"/>
      <c r="H12" s="4105"/>
      <c r="I12" s="3918"/>
      <c r="J12" s="3946"/>
      <c r="K12" s="1186"/>
      <c r="L12" s="1186"/>
      <c r="M12" s="1228"/>
      <c r="N12" s="435"/>
      <c r="O12" s="254"/>
      <c r="Q12" s="4073"/>
      <c r="R12" s="4073"/>
      <c r="S12" s="1248"/>
      <c r="T12" s="281"/>
      <c r="U12" s="1198"/>
      <c r="V12" s="206" t="s">
        <v>403</v>
      </c>
      <c r="W12" s="295"/>
      <c r="X12" s="295"/>
      <c r="Y12" s="295"/>
      <c r="Z12" s="295"/>
      <c r="AA12" s="295"/>
      <c r="AB12" s="295"/>
      <c r="AC12" s="1324"/>
      <c r="AD12" s="1324"/>
      <c r="AE12" s="1324"/>
      <c r="AF12" s="1324"/>
      <c r="AG12" s="295"/>
      <c r="AH12" s="295"/>
      <c r="AI12" s="295"/>
      <c r="AJ12" s="295"/>
      <c r="AK12" s="295"/>
      <c r="AL12" s="295"/>
      <c r="AM12" s="295"/>
      <c r="AN12" s="295"/>
      <c r="AO12" s="295"/>
      <c r="AP12" s="250"/>
      <c r="AQ12" s="4071"/>
      <c r="AS12" s="426"/>
      <c r="AT12" s="426" t="str">
        <f t="shared" ref="AT12:AT17" si="1">IF(V12="","",V12)</f>
        <v>Добавить вид теплоносителя (параметры теплоносителя)</v>
      </c>
      <c r="AU12" s="426"/>
      <c r="AV12" s="426"/>
    </row>
    <row r="13" spans="1:48" ht="11.25" hidden="1" customHeight="1">
      <c r="A13" s="1186"/>
      <c r="B13" s="1186"/>
      <c r="C13" s="1186"/>
      <c r="D13" s="1186"/>
      <c r="E13" s="4105"/>
      <c r="F13" s="4105"/>
      <c r="G13" s="4105"/>
      <c r="H13" s="4105"/>
      <c r="I13" s="3946"/>
      <c r="J13" s="1186"/>
      <c r="K13" s="1186"/>
      <c r="L13" s="1186"/>
      <c r="M13" s="1228"/>
      <c r="N13" s="435"/>
      <c r="Q13" s="4073"/>
      <c r="R13" s="1248"/>
      <c r="S13" s="1248"/>
      <c r="T13" s="281"/>
      <c r="U13" s="1198"/>
      <c r="V13" s="292" t="s">
        <v>404</v>
      </c>
      <c r="W13" s="295"/>
      <c r="X13" s="295"/>
      <c r="Y13" s="295"/>
      <c r="Z13" s="295"/>
      <c r="AA13" s="295"/>
      <c r="AB13" s="295"/>
      <c r="AC13" s="295"/>
      <c r="AD13" s="295"/>
      <c r="AE13" s="295"/>
      <c r="AF13" s="294"/>
      <c r="AG13" s="295"/>
      <c r="AH13" s="295"/>
      <c r="AI13" s="295"/>
      <c r="AJ13" s="295"/>
      <c r="AK13" s="295"/>
      <c r="AL13" s="295"/>
      <c r="AM13" s="295"/>
      <c r="AN13" s="295"/>
      <c r="AO13" s="294"/>
      <c r="AP13" s="295"/>
      <c r="AQ13" s="222"/>
      <c r="AS13" s="426"/>
      <c r="AT13" s="426" t="str">
        <f t="shared" si="1"/>
        <v>Добавить группу потребителей</v>
      </c>
      <c r="AU13" s="426"/>
      <c r="AV13" s="426"/>
    </row>
    <row r="14" spans="1:48" ht="14.25" hidden="1" customHeight="1">
      <c r="A14" s="1186"/>
      <c r="B14" s="1186"/>
      <c r="C14" s="1186"/>
      <c r="D14" s="1186"/>
      <c r="E14" s="4105"/>
      <c r="F14" s="4105"/>
      <c r="G14" s="4105"/>
      <c r="H14" s="4104"/>
      <c r="I14" s="1186"/>
      <c r="J14" s="1186"/>
      <c r="K14" s="1186"/>
      <c r="L14" s="1186"/>
      <c r="M14" s="1228"/>
      <c r="N14" s="608"/>
      <c r="O14" s="608"/>
      <c r="P14" s="435"/>
      <c r="Q14" s="285"/>
      <c r="R14" s="304"/>
      <c r="S14" s="280"/>
      <c r="T14" s="285"/>
      <c r="U14" s="1302"/>
      <c r="V14" s="1303"/>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5"/>
      <c r="AS14" s="426"/>
      <c r="AT14" s="426" t="str">
        <f t="shared" si="1"/>
        <v/>
      </c>
      <c r="AU14" s="426"/>
      <c r="AV14" s="426"/>
    </row>
    <row r="15" spans="1:48" s="2550" customFormat="1" ht="14.25" hidden="1" customHeight="1">
      <c r="A15" s="1290"/>
      <c r="B15" s="1290"/>
      <c r="C15" s="1290"/>
      <c r="D15" s="1290"/>
      <c r="E15" s="4105"/>
      <c r="F15" s="4105"/>
      <c r="G15" s="4104"/>
      <c r="H15" s="1290"/>
      <c r="I15" s="1290"/>
      <c r="J15" s="1290"/>
      <c r="K15" s="1290"/>
      <c r="L15" s="1290"/>
      <c r="M15" s="1293"/>
      <c r="N15" s="1294"/>
      <c r="O15" s="1294"/>
      <c r="P15" s="276"/>
      <c r="Q15" s="1234"/>
      <c r="R15" s="1235"/>
      <c r="S15" s="1234"/>
      <c r="T15" s="1234"/>
      <c r="U15" s="1236"/>
      <c r="V15" s="1237" t="s">
        <v>166</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06"/>
      <c r="AT15" s="706" t="str">
        <f t="shared" si="1"/>
        <v>Добавить источник для дифференциации</v>
      </c>
      <c r="AU15" s="706"/>
      <c r="AV15" s="706"/>
    </row>
    <row r="16" spans="1:48" s="2550" customFormat="1" ht="14.25" hidden="1" customHeight="1">
      <c r="A16" s="1290"/>
      <c r="B16" s="1290"/>
      <c r="C16" s="1290"/>
      <c r="D16" s="1290"/>
      <c r="E16" s="4105"/>
      <c r="F16" s="4104"/>
      <c r="G16" s="1290"/>
      <c r="H16" s="1290"/>
      <c r="I16" s="1290"/>
      <c r="J16" s="1290"/>
      <c r="K16" s="1290"/>
      <c r="L16" s="1290"/>
      <c r="M16" s="1293"/>
      <c r="N16" s="1295"/>
      <c r="O16" s="1295"/>
      <c r="P16" s="276"/>
      <c r="Q16" s="1234"/>
      <c r="R16" s="1235"/>
      <c r="S16" s="1234"/>
      <c r="T16" s="1234"/>
      <c r="U16" s="1240"/>
      <c r="V16" s="1241" t="s">
        <v>167</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06"/>
      <c r="AT16" s="706" t="str">
        <f t="shared" si="1"/>
        <v>Добавить централизованную систему для дифференциации</v>
      </c>
      <c r="AU16" s="706"/>
      <c r="AV16" s="706"/>
    </row>
    <row r="17" spans="1:48" s="2550" customFormat="1" ht="14.25" hidden="1" customHeight="1">
      <c r="A17" s="1290"/>
      <c r="B17" s="1290"/>
      <c r="C17" s="1290"/>
      <c r="D17" s="1290"/>
      <c r="E17" s="4104"/>
      <c r="F17" s="1290"/>
      <c r="G17" s="1290"/>
      <c r="H17" s="1290"/>
      <c r="I17" s="1290"/>
      <c r="J17" s="1290"/>
      <c r="K17" s="1290"/>
      <c r="L17" s="1290"/>
      <c r="M17" s="1293"/>
      <c r="N17" s="1295"/>
      <c r="O17" s="1295"/>
      <c r="P17" s="276"/>
      <c r="Q17" s="1234"/>
      <c r="R17" s="1235"/>
      <c r="S17" s="1234"/>
      <c r="T17" s="1234"/>
      <c r="U17" s="1240"/>
      <c r="V17" s="1243" t="s">
        <v>168</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06"/>
      <c r="AT17" s="706" t="str">
        <f t="shared" si="1"/>
        <v>Добавить территорию для дифференциации</v>
      </c>
      <c r="AU17" s="706"/>
      <c r="AV17" s="706"/>
    </row>
    <row r="18" spans="1:48" ht="14.25" hidden="1" customHeight="1">
      <c r="AF18" s="254"/>
      <c r="AO18" s="254"/>
    </row>
    <row r="19" spans="1:48" ht="14.25" hidden="1" customHeight="1">
      <c r="AG19" s="1276"/>
      <c r="AH19" s="1276"/>
      <c r="AI19" s="1276"/>
      <c r="AJ19" s="1276"/>
      <c r="AK19" s="1277"/>
      <c r="AL19" s="4079"/>
      <c r="AM19" s="4080" t="s">
        <v>65</v>
      </c>
      <c r="AN19" s="4079"/>
      <c r="AO19" s="4080" t="s">
        <v>65</v>
      </c>
    </row>
    <row r="20" spans="1:48" ht="14.25" hidden="1" customHeight="1">
      <c r="AG20" s="1276"/>
      <c r="AH20" s="1276"/>
      <c r="AI20" s="1276"/>
      <c r="AJ20" s="1276"/>
      <c r="AK20" s="1277"/>
      <c r="AL20" s="4079"/>
      <c r="AM20" s="4080"/>
      <c r="AN20" s="4079"/>
      <c r="AO20" s="4080"/>
    </row>
    <row r="21" spans="1:48" ht="14.25" hidden="1" customHeight="1">
      <c r="AG21" s="1276"/>
      <c r="AH21" s="1276"/>
      <c r="AI21" s="1276"/>
      <c r="AJ21" s="1276"/>
      <c r="AK21" s="1277"/>
      <c r="AL21" s="4079"/>
      <c r="AM21" s="4080"/>
      <c r="AN21" s="4079"/>
      <c r="AO21" s="4080"/>
    </row>
    <row r="22" spans="1:48" ht="14.25" hidden="1" customHeight="1">
      <c r="AG22" s="1276"/>
      <c r="AH22" s="1276"/>
      <c r="AI22" s="1276"/>
      <c r="AJ22" s="1276"/>
      <c r="AK22" s="255" t="str">
        <f>AL19&amp;"-"&amp;AN19</f>
        <v>-</v>
      </c>
      <c r="AL22" s="4080"/>
      <c r="AM22" s="4080"/>
      <c r="AN22" s="4080"/>
      <c r="AO22" s="4080"/>
    </row>
    <row r="23" spans="1:48" ht="14.25" hidden="1" customHeight="1">
      <c r="AO23" s="254"/>
    </row>
    <row r="24" spans="1:48" s="2553" customFormat="1" ht="22.5" hidden="1" customHeight="1">
      <c r="A24" s="1055"/>
      <c r="B24" s="1055"/>
      <c r="C24" s="1055"/>
      <c r="D24" s="1055"/>
      <c r="E24" s="1055"/>
      <c r="F24" s="1055"/>
      <c r="G24" s="1055"/>
      <c r="H24" s="1055"/>
      <c r="I24" s="1055"/>
      <c r="J24" s="1055"/>
      <c r="K24" s="1055"/>
      <c r="L24" s="1055"/>
      <c r="M24" s="1244"/>
      <c r="N24" s="1245"/>
      <c r="O24" s="1245"/>
      <c r="P24" s="1262" t="s">
        <v>406</v>
      </c>
      <c r="Q24" s="1278"/>
      <c r="R24" s="1287"/>
      <c r="S24" s="1287"/>
      <c r="T24" s="1287"/>
      <c r="U24" s="648"/>
      <c r="AC24" s="1283"/>
      <c r="AE24" s="1283"/>
      <c r="AF24" s="1282"/>
      <c r="AL24" s="1283"/>
      <c r="AN24" s="1283"/>
      <c r="AO24" s="1282"/>
      <c r="AR24" s="437"/>
      <c r="AS24" s="437"/>
      <c r="AT24" s="437"/>
      <c r="AU24" s="437"/>
      <c r="AV24" s="437"/>
    </row>
    <row r="25" spans="1:48" s="2553" customFormat="1" ht="14.25" hidden="1" customHeight="1">
      <c r="A25" s="1055"/>
      <c r="B25" s="1055"/>
      <c r="C25" s="1055"/>
      <c r="D25" s="1055"/>
      <c r="E25" s="1055"/>
      <c r="F25" s="1055"/>
      <c r="G25" s="1055"/>
      <c r="H25" s="1055"/>
      <c r="I25" s="1055"/>
      <c r="J25" s="1055"/>
      <c r="K25" s="1055"/>
      <c r="L25" s="1055"/>
      <c r="M25" s="1244"/>
      <c r="N25" s="1245"/>
      <c r="O25" s="1245"/>
      <c r="P25" s="1245"/>
      <c r="Q25" s="1278"/>
      <c r="R25" s="1287"/>
      <c r="S25" s="1287"/>
      <c r="T25" s="1287"/>
      <c r="U25" s="648"/>
      <c r="AF25" s="1282"/>
      <c r="AO25" s="1282"/>
      <c r="AR25" s="437"/>
      <c r="AS25" s="437"/>
      <c r="AT25" s="437"/>
      <c r="AU25" s="437"/>
      <c r="AV25" s="437"/>
    </row>
    <row r="26" spans="1:48" s="2553" customFormat="1" ht="14.25" hidden="1" customHeight="1">
      <c r="A26" s="1055"/>
      <c r="B26" s="1055"/>
      <c r="C26" s="1055"/>
      <c r="D26" s="1055"/>
      <c r="E26" s="1055"/>
      <c r="F26" s="1055"/>
      <c r="G26" s="1055"/>
      <c r="H26" s="1055"/>
      <c r="I26" s="1055"/>
      <c r="J26" s="1055"/>
      <c r="K26" s="1055"/>
      <c r="L26" s="1055"/>
      <c r="M26" s="1244"/>
      <c r="N26" s="1245"/>
      <c r="O26" s="1245"/>
      <c r="P26" s="1228" t="s">
        <v>407</v>
      </c>
      <c r="Q26" s="1278"/>
      <c r="R26" s="1287"/>
      <c r="S26" s="1287"/>
      <c r="T26" s="1287"/>
      <c r="U26" s="648"/>
      <c r="V26" s="1060" t="s">
        <v>408</v>
      </c>
      <c r="AD26" s="107" t="s">
        <v>409</v>
      </c>
      <c r="AF26" s="107" t="s">
        <v>410</v>
      </c>
      <c r="AG26" s="1060" t="s">
        <v>408</v>
      </c>
      <c r="AM26" s="107" t="s">
        <v>411</v>
      </c>
      <c r="AO26" s="107" t="s">
        <v>410</v>
      </c>
      <c r="AR26" s="437"/>
      <c r="AS26" s="437"/>
      <c r="AT26" s="437"/>
      <c r="AU26" s="437"/>
      <c r="AV26" s="437"/>
    </row>
    <row r="27" spans="1:48" ht="14.25" hidden="1" customHeight="1">
      <c r="P27" s="1228"/>
    </row>
    <row r="28" spans="1:48" ht="14.25" hidden="1" customHeight="1">
      <c r="P28" s="1228"/>
    </row>
    <row r="29" spans="1:48" ht="14.25" customHeight="1">
      <c r="R29" s="305"/>
      <c r="S29" s="305"/>
      <c r="T29" s="305"/>
      <c r="U29" s="1195"/>
      <c r="V29" s="290"/>
      <c r="W29" s="290"/>
      <c r="X29" s="435"/>
      <c r="Y29" s="435"/>
      <c r="Z29" s="435"/>
      <c r="AA29" s="435"/>
      <c r="AB29" s="435"/>
      <c r="AC29" s="435"/>
      <c r="AD29" s="435"/>
      <c r="AE29" s="435"/>
      <c r="AF29" s="435"/>
      <c r="AG29" s="435"/>
      <c r="AH29" s="435"/>
      <c r="AI29" s="435"/>
      <c r="AJ29" s="435"/>
      <c r="AK29" s="435"/>
      <c r="AL29" s="435"/>
      <c r="AM29" s="435"/>
      <c r="AN29" s="435"/>
      <c r="AO29" s="435"/>
    </row>
    <row r="30" spans="1:48" ht="54" customHeight="1">
      <c r="R30" s="305"/>
      <c r="S30" s="305"/>
      <c r="T30" s="305"/>
      <c r="U30" s="405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4058"/>
      <c r="W30" s="4058"/>
      <c r="X30" s="4058"/>
      <c r="Y30" s="4058"/>
      <c r="Z30" s="4058"/>
      <c r="AA30" s="4058"/>
      <c r="AB30" s="4058"/>
      <c r="AC30" s="4058"/>
      <c r="AD30" s="4058"/>
      <c r="AE30" s="4058"/>
      <c r="AF30" s="4058"/>
      <c r="AG30" s="4058"/>
      <c r="AH30" s="4058"/>
      <c r="AI30" s="4058"/>
      <c r="AJ30" s="4058"/>
      <c r="AK30" s="4058"/>
      <c r="AL30" s="4058"/>
      <c r="AM30" s="4058"/>
      <c r="AN30" s="4058"/>
      <c r="AO30" s="1152"/>
    </row>
    <row r="31" spans="1:48" ht="14.25" customHeight="1">
      <c r="R31" s="305"/>
      <c r="S31" s="305"/>
      <c r="T31" s="305"/>
      <c r="U31" s="4004" t="str">
        <f>IF(org=0,"Не определено",org)</f>
        <v>ООО «РИР-Сахалин»</v>
      </c>
      <c r="V31" s="4004"/>
      <c r="W31" s="4004"/>
      <c r="X31" s="4004"/>
      <c r="Y31" s="4004"/>
      <c r="Z31" s="4004"/>
      <c r="AA31" s="4004"/>
      <c r="AB31" s="4004"/>
      <c r="AC31" s="4004"/>
      <c r="AD31" s="4004"/>
      <c r="AE31" s="4004"/>
      <c r="AF31" s="4004"/>
      <c r="AG31" s="4004"/>
      <c r="AH31" s="4004"/>
      <c r="AI31" s="4004"/>
      <c r="AJ31" s="4004"/>
      <c r="AK31" s="4004"/>
      <c r="AL31" s="4004"/>
      <c r="AM31" s="4004"/>
      <c r="AN31" s="4004"/>
      <c r="AO31" s="1152"/>
    </row>
    <row r="32" spans="1:48" ht="14.25" hidden="1" customHeight="1">
      <c r="R32" s="305"/>
      <c r="S32" s="305"/>
      <c r="T32" s="305"/>
      <c r="U32" s="1195"/>
      <c r="V32" s="290"/>
      <c r="W32" s="290"/>
      <c r="X32" s="247"/>
      <c r="Y32" s="247"/>
      <c r="Z32" s="247"/>
      <c r="AA32" s="247"/>
      <c r="AB32" s="247"/>
      <c r="AC32" s="247"/>
      <c r="AD32" s="247"/>
      <c r="AE32" s="247"/>
      <c r="AF32" s="247"/>
      <c r="AG32" s="247"/>
      <c r="AH32" s="247"/>
      <c r="AI32" s="247"/>
      <c r="AJ32" s="247"/>
      <c r="AK32" s="247"/>
      <c r="AL32" s="247"/>
      <c r="AM32" s="247"/>
      <c r="AN32" s="247"/>
      <c r="AO32" s="247"/>
      <c r="AP32" s="435"/>
    </row>
    <row r="33" spans="1:48" s="2564" customFormat="1" ht="25.5" hidden="1" customHeight="1">
      <c r="A33" s="1158"/>
      <c r="B33" s="1158"/>
      <c r="C33" s="1158"/>
      <c r="D33" s="1158"/>
      <c r="E33" s="1158"/>
      <c r="F33" s="1158"/>
      <c r="G33" s="1158"/>
      <c r="H33" s="1158"/>
      <c r="I33" s="1158"/>
      <c r="J33" s="1158"/>
      <c r="K33" s="1158"/>
      <c r="L33" s="1158"/>
      <c r="M33" s="1296"/>
      <c r="N33" s="1158"/>
      <c r="O33" s="1158"/>
      <c r="P33" s="1158"/>
      <c r="U33" s="4066" t="s">
        <v>38</v>
      </c>
      <c r="V33" s="4066"/>
      <c r="W33" s="1288"/>
      <c r="X33" s="4067" t="str">
        <f>IF(TITLE_NAME_OR_PR_CHANGE="",IF(TITLE_NAME_OR_PR="","",TITLE_NAME_OR_PR),TITLE_NAME_OR_PR_CHANGE)</f>
        <v/>
      </c>
      <c r="Y33" s="4067"/>
      <c r="Z33" s="4067"/>
      <c r="AA33" s="4067"/>
      <c r="AB33" s="4067"/>
      <c r="AC33" s="4067"/>
      <c r="AD33" s="4067"/>
      <c r="AE33" s="4067"/>
      <c r="AF33" s="253"/>
      <c r="AG33" s="4067" t="str">
        <f>IF(TITLE_NAME_OR_PR_CHANGE="",IF(TITLE_NAME_OR_PR="","",TITLE_NAME_OR_PR),TITLE_NAME_OR_PR_CHANGE)</f>
        <v/>
      </c>
      <c r="AH33" s="4067"/>
      <c r="AI33" s="4067"/>
      <c r="AJ33" s="4067"/>
      <c r="AK33" s="4067"/>
      <c r="AL33" s="4067"/>
      <c r="AM33" s="4067"/>
      <c r="AN33" s="4067"/>
      <c r="AO33" s="253"/>
      <c r="AP33" s="253"/>
      <c r="AQ33" s="200"/>
      <c r="AR33" s="296"/>
      <c r="AS33" s="296"/>
      <c r="AT33" s="296"/>
      <c r="AU33" s="296"/>
      <c r="AV33" s="296"/>
    </row>
    <row r="34" spans="1:48" s="2564" customFormat="1" ht="18.75" hidden="1" customHeight="1">
      <c r="A34" s="1158"/>
      <c r="B34" s="1158"/>
      <c r="C34" s="1158"/>
      <c r="D34" s="1158"/>
      <c r="E34" s="1158"/>
      <c r="F34" s="1158"/>
      <c r="G34" s="1158"/>
      <c r="H34" s="1158"/>
      <c r="I34" s="1158"/>
      <c r="J34" s="1158"/>
      <c r="K34" s="1158"/>
      <c r="L34" s="1158"/>
      <c r="M34" s="1296"/>
      <c r="N34" s="1158"/>
      <c r="O34" s="1158"/>
      <c r="P34" s="1158"/>
      <c r="U34" s="4066" t="s">
        <v>412</v>
      </c>
      <c r="V34" s="4066"/>
      <c r="W34" s="1288"/>
      <c r="X34" s="4076">
        <f>IF(TITLE_DATE_PR_CHANGE="",IF(TITLE_DATE_PR="","",TITLE_DATE_PR),TITLE_DATE_PR_CHANGE)</f>
        <v>45289.465104166666</v>
      </c>
      <c r="Y34" s="4076"/>
      <c r="Z34" s="4076"/>
      <c r="AA34" s="4076"/>
      <c r="AB34" s="4076"/>
      <c r="AC34" s="4076"/>
      <c r="AD34" s="4076"/>
      <c r="AE34" s="4076"/>
      <c r="AF34" s="253"/>
      <c r="AG34" s="4076">
        <f>IF(TITLE_DATE_PR_CHANGE="",IF(TITLE_DATE_PR="","",TITLE_DATE_PR),TITLE_DATE_PR_CHANGE)</f>
        <v>45289.465104166666</v>
      </c>
      <c r="AH34" s="4076"/>
      <c r="AI34" s="4076"/>
      <c r="AJ34" s="4076"/>
      <c r="AK34" s="4076"/>
      <c r="AL34" s="4076"/>
      <c r="AM34" s="4076"/>
      <c r="AN34" s="4076"/>
      <c r="AO34" s="253"/>
      <c r="AP34" s="253"/>
      <c r="AQ34" s="200"/>
      <c r="AR34" s="296"/>
      <c r="AS34" s="296"/>
      <c r="AT34" s="296"/>
      <c r="AU34" s="296"/>
      <c r="AV34" s="296"/>
    </row>
    <row r="35" spans="1:48" s="2564" customFormat="1" ht="18.75" hidden="1" customHeight="1">
      <c r="A35" s="1158"/>
      <c r="B35" s="1158"/>
      <c r="C35" s="1158"/>
      <c r="D35" s="1158"/>
      <c r="E35" s="1158"/>
      <c r="F35" s="1158"/>
      <c r="G35" s="1158"/>
      <c r="H35" s="1158"/>
      <c r="I35" s="1158"/>
      <c r="J35" s="1158"/>
      <c r="K35" s="1158"/>
      <c r="L35" s="1158"/>
      <c r="M35" s="1296"/>
      <c r="N35" s="1158"/>
      <c r="O35" s="1158"/>
      <c r="P35" s="1158"/>
      <c r="U35" s="4066" t="s">
        <v>413</v>
      </c>
      <c r="V35" s="4066"/>
      <c r="W35" s="1288"/>
      <c r="X35" s="4067" t="str">
        <f>IF(TITLE_NUMBER_PR_CHANGE="",IF(TITLE_NUMBER_PR="","",TITLE_NUMBER_PR),TITLE_NUMBER_PR_CHANGE)</f>
        <v>761-1/201-1</v>
      </c>
      <c r="Y35" s="4067"/>
      <c r="Z35" s="4067"/>
      <c r="AA35" s="4067"/>
      <c r="AB35" s="4067"/>
      <c r="AC35" s="4067"/>
      <c r="AD35" s="4067"/>
      <c r="AE35" s="4067"/>
      <c r="AF35" s="253"/>
      <c r="AG35" s="4067" t="str">
        <f>IF(TITLE_NUMBER_PR_CHANGE="",IF(TITLE_NUMBER_PR="","",TITLE_NUMBER_PR),TITLE_NUMBER_PR_CHANGE)</f>
        <v>761-1/201-1</v>
      </c>
      <c r="AH35" s="4067"/>
      <c r="AI35" s="4067"/>
      <c r="AJ35" s="4067"/>
      <c r="AK35" s="4067"/>
      <c r="AL35" s="4067"/>
      <c r="AM35" s="4067"/>
      <c r="AN35" s="4067"/>
      <c r="AO35" s="253"/>
      <c r="AP35" s="253"/>
      <c r="AQ35" s="200"/>
      <c r="AR35" s="296"/>
      <c r="AS35" s="296"/>
      <c r="AT35" s="296"/>
      <c r="AU35" s="296"/>
      <c r="AV35" s="296"/>
    </row>
    <row r="36" spans="1:48" s="2564" customFormat="1" ht="18.75" hidden="1" customHeight="1">
      <c r="A36" s="1158"/>
      <c r="B36" s="1158"/>
      <c r="C36" s="1158"/>
      <c r="D36" s="1158"/>
      <c r="E36" s="1158"/>
      <c r="F36" s="1158"/>
      <c r="G36" s="1158"/>
      <c r="H36" s="1158"/>
      <c r="I36" s="1158"/>
      <c r="J36" s="1158"/>
      <c r="K36" s="1158"/>
      <c r="L36" s="1158"/>
      <c r="M36" s="1296"/>
      <c r="N36" s="1158"/>
      <c r="O36" s="1158"/>
      <c r="P36" s="1158"/>
      <c r="U36" s="4066" t="s">
        <v>39</v>
      </c>
      <c r="V36" s="4066"/>
      <c r="W36" s="1288"/>
      <c r="X36" s="4067" t="str">
        <f>IF(TITLE_IST_PUB_CHANGE="",IF(TITLE_IST_PUB="","",TITLE_IST_PUB),TITLE_IST_PUB_CHANGE)</f>
        <v/>
      </c>
      <c r="Y36" s="4067"/>
      <c r="Z36" s="4067"/>
      <c r="AA36" s="4067"/>
      <c r="AB36" s="4067"/>
      <c r="AC36" s="4067"/>
      <c r="AD36" s="4067"/>
      <c r="AE36" s="4067"/>
      <c r="AF36" s="253"/>
      <c r="AG36" s="4067" t="str">
        <f>IF(TITLE_IST_PUB_CHANGE="",IF(TITLE_IST_PUB="","",TITLE_IST_PUB),TITLE_IST_PUB_CHANGE)</f>
        <v/>
      </c>
      <c r="AH36" s="4067"/>
      <c r="AI36" s="4067"/>
      <c r="AJ36" s="4067"/>
      <c r="AK36" s="4067"/>
      <c r="AL36" s="4067"/>
      <c r="AM36" s="4067"/>
      <c r="AN36" s="4067"/>
      <c r="AO36" s="253"/>
      <c r="AP36" s="253"/>
      <c r="AQ36" s="200"/>
      <c r="AR36" s="296"/>
      <c r="AS36" s="296"/>
      <c r="AT36" s="296"/>
      <c r="AU36" s="296"/>
      <c r="AV36" s="296"/>
    </row>
    <row r="37" spans="1:48" ht="14.25" customHeight="1">
      <c r="R37" s="305"/>
      <c r="S37" s="305"/>
      <c r="T37" s="305"/>
      <c r="U37" s="1195"/>
      <c r="V37" s="290"/>
      <c r="W37" s="290"/>
      <c r="X37" s="247"/>
      <c r="Y37" s="247"/>
      <c r="Z37" s="247"/>
      <c r="AA37" s="247"/>
      <c r="AB37" s="247"/>
      <c r="AC37" s="247"/>
      <c r="AD37" s="247"/>
      <c r="AE37" s="247"/>
      <c r="AF37" s="247"/>
      <c r="AG37" s="247"/>
      <c r="AH37" s="247"/>
      <c r="AI37" s="247"/>
      <c r="AJ37" s="247"/>
      <c r="AK37" s="247"/>
      <c r="AL37" s="247"/>
      <c r="AM37" s="247"/>
      <c r="AN37" s="247"/>
      <c r="AO37" s="247"/>
      <c r="AP37" s="435"/>
    </row>
    <row r="38" spans="1:48" s="2564" customFormat="1" ht="18.75" customHeight="1">
      <c r="A38" s="1158"/>
      <c r="B38" s="1158"/>
      <c r="C38" s="1158"/>
      <c r="D38" s="1158"/>
      <c r="E38" s="1158"/>
      <c r="F38" s="1158"/>
      <c r="G38" s="1158"/>
      <c r="H38" s="1158"/>
      <c r="I38" s="1158"/>
      <c r="J38" s="1158"/>
      <c r="K38" s="1158"/>
      <c r="L38" s="1158"/>
      <c r="M38" s="1296"/>
      <c r="N38" s="1158"/>
      <c r="O38" s="1158"/>
      <c r="P38" s="1158"/>
      <c r="U38" s="4066" t="s">
        <v>414</v>
      </c>
      <c r="V38" s="4066"/>
      <c r="W38" s="1288"/>
      <c r="X38" s="4076">
        <f>IF(TITLE_DATE_PR_CHANGE="",IF(TITLE_DATE_PR="","",TITLE_DATE_PR),TITLE_DATE_PR_CHANGE)</f>
        <v>45289.465104166666</v>
      </c>
      <c r="Y38" s="4076"/>
      <c r="Z38" s="4076"/>
      <c r="AA38" s="4076"/>
      <c r="AB38" s="4076"/>
      <c r="AC38" s="4076"/>
      <c r="AD38" s="4076"/>
      <c r="AE38" s="4076"/>
      <c r="AF38" s="253"/>
      <c r="AG38" s="4076">
        <f>IF(TITLE_DATE_PR_CHANGE="",IF(TITLE_DATE_PR="","",TITLE_DATE_PR),TITLE_DATE_PR_CHANGE)</f>
        <v>45289.465104166666</v>
      </c>
      <c r="AH38" s="4076"/>
      <c r="AI38" s="4076"/>
      <c r="AJ38" s="4076"/>
      <c r="AK38" s="4076"/>
      <c r="AL38" s="4076"/>
      <c r="AM38" s="4076"/>
      <c r="AN38" s="4076"/>
      <c r="AO38" s="253"/>
      <c r="AP38" s="253"/>
      <c r="AQ38" s="200"/>
      <c r="AR38" s="296"/>
      <c r="AS38" s="296"/>
      <c r="AT38" s="296"/>
      <c r="AU38" s="296"/>
      <c r="AV38" s="296"/>
    </row>
    <row r="39" spans="1:48" s="2564" customFormat="1" ht="18.75" customHeight="1">
      <c r="A39" s="1158"/>
      <c r="B39" s="1158"/>
      <c r="C39" s="1158"/>
      <c r="D39" s="1158"/>
      <c r="E39" s="1158"/>
      <c r="F39" s="1158"/>
      <c r="G39" s="1158"/>
      <c r="H39" s="1158"/>
      <c r="I39" s="1158"/>
      <c r="J39" s="1158"/>
      <c r="K39" s="1158"/>
      <c r="L39" s="1158"/>
      <c r="M39" s="1296"/>
      <c r="N39" s="1158"/>
      <c r="O39" s="1158"/>
      <c r="P39" s="1158"/>
      <c r="U39" s="4066" t="s">
        <v>415</v>
      </c>
      <c r="V39" s="4066"/>
      <c r="W39" s="1288"/>
      <c r="X39" s="4067" t="str">
        <f>IF(TITLE_NUMBER_PR_CHANGE="",IF(TITLE_NUMBER_PR="","",TITLE_NUMBER_PR),TITLE_NUMBER_PR_CHANGE)</f>
        <v>761-1/201-1</v>
      </c>
      <c r="Y39" s="4067"/>
      <c r="Z39" s="4067"/>
      <c r="AA39" s="4067"/>
      <c r="AB39" s="4067"/>
      <c r="AC39" s="4067"/>
      <c r="AD39" s="4067"/>
      <c r="AE39" s="4067"/>
      <c r="AF39" s="253"/>
      <c r="AG39" s="4067" t="str">
        <f>IF(TITLE_NUMBER_PR_CHANGE="",IF(TITLE_NUMBER_PR="","",TITLE_NUMBER_PR),TITLE_NUMBER_PR_CHANGE)</f>
        <v>761-1/201-1</v>
      </c>
      <c r="AH39" s="4067"/>
      <c r="AI39" s="4067"/>
      <c r="AJ39" s="4067"/>
      <c r="AK39" s="4067"/>
      <c r="AL39" s="4067"/>
      <c r="AM39" s="4067"/>
      <c r="AN39" s="4067"/>
      <c r="AO39" s="253"/>
      <c r="AP39" s="253"/>
      <c r="AQ39" s="200"/>
      <c r="AR39" s="296"/>
      <c r="AS39" s="296"/>
      <c r="AT39" s="296"/>
      <c r="AU39" s="296"/>
      <c r="AV39" s="296"/>
    </row>
    <row r="40" spans="1:48" s="2564" customFormat="1" ht="0" hidden="1" customHeight="1">
      <c r="A40" s="1158"/>
      <c r="B40" s="1158"/>
      <c r="C40" s="1158"/>
      <c r="D40" s="1158"/>
      <c r="E40" s="1158"/>
      <c r="F40" s="1158"/>
      <c r="G40" s="1158"/>
      <c r="H40" s="1158"/>
      <c r="I40" s="1158"/>
      <c r="J40" s="1158"/>
      <c r="K40" s="1158"/>
      <c r="L40" s="1158"/>
      <c r="M40" s="1296"/>
      <c r="N40" s="1158"/>
      <c r="O40" s="1158"/>
      <c r="P40" s="1158"/>
      <c r="U40" s="249"/>
      <c r="V40" s="249"/>
      <c r="W40" s="1257"/>
      <c r="X40" s="253"/>
      <c r="Y40" s="253"/>
      <c r="Z40" s="253"/>
      <c r="AA40" s="253"/>
      <c r="AB40" s="253"/>
      <c r="AC40" s="253"/>
      <c r="AD40" s="253"/>
      <c r="AE40" s="253"/>
      <c r="AF40" s="198" t="s">
        <v>416</v>
      </c>
      <c r="AG40" s="253"/>
      <c r="AH40" s="253"/>
      <c r="AI40" s="253"/>
      <c r="AJ40" s="253"/>
      <c r="AK40" s="253"/>
      <c r="AL40" s="253"/>
      <c r="AM40" s="253"/>
      <c r="AN40" s="253"/>
      <c r="AO40" s="198" t="s">
        <v>416</v>
      </c>
      <c r="AR40" s="296"/>
      <c r="AS40" s="296"/>
      <c r="AT40" s="296"/>
      <c r="AU40" s="296"/>
      <c r="AV40" s="296"/>
    </row>
    <row r="41" spans="1:48" ht="14.25" customHeight="1">
      <c r="R41" s="305"/>
      <c r="S41" s="305"/>
      <c r="T41" s="305"/>
      <c r="U41" s="1195"/>
      <c r="V41" s="290"/>
      <c r="W41" s="1153"/>
      <c r="X41" s="4068"/>
      <c r="Y41" s="4068"/>
      <c r="Z41" s="4068"/>
      <c r="AA41" s="4068"/>
      <c r="AB41" s="4068"/>
      <c r="AC41" s="4068"/>
      <c r="AD41" s="4068"/>
      <c r="AE41" s="4068"/>
      <c r="AF41" s="4068"/>
      <c r="AG41" s="4068"/>
      <c r="AH41" s="4068"/>
      <c r="AI41" s="4068"/>
      <c r="AJ41" s="4068"/>
      <c r="AK41" s="4068"/>
      <c r="AL41" s="4068"/>
      <c r="AM41" s="4068"/>
      <c r="AN41" s="4068"/>
      <c r="AO41" s="4068"/>
    </row>
    <row r="42" spans="1:48" ht="14.25" customHeight="1">
      <c r="R42" s="305"/>
      <c r="S42" s="305"/>
      <c r="T42" s="305"/>
      <c r="U42" s="3946" t="s">
        <v>290</v>
      </c>
      <c r="V42" s="3946"/>
      <c r="W42" s="3946"/>
      <c r="X42" s="3946"/>
      <c r="Y42" s="3946"/>
      <c r="Z42" s="3946"/>
      <c r="AA42" s="3946"/>
      <c r="AB42" s="3946"/>
      <c r="AC42" s="3946"/>
      <c r="AD42" s="3946"/>
      <c r="AE42" s="3946"/>
      <c r="AF42" s="3946"/>
      <c r="AG42" s="3946"/>
      <c r="AH42" s="3946"/>
      <c r="AI42" s="3946"/>
      <c r="AJ42" s="3946"/>
      <c r="AK42" s="3946"/>
      <c r="AL42" s="3946"/>
      <c r="AM42" s="3946"/>
      <c r="AN42" s="3946"/>
      <c r="AO42" s="3946"/>
      <c r="AP42" s="3946"/>
      <c r="AQ42" s="3946" t="s">
        <v>291</v>
      </c>
    </row>
    <row r="43" spans="1:48" ht="14.25" customHeight="1">
      <c r="R43" s="305"/>
      <c r="S43" s="305"/>
      <c r="T43" s="305"/>
      <c r="U43" s="4082" t="s">
        <v>86</v>
      </c>
      <c r="V43" s="4033" t="s">
        <v>418</v>
      </c>
      <c r="W43" s="220"/>
      <c r="X43" s="4083" t="s">
        <v>419</v>
      </c>
      <c r="Y43" s="4098"/>
      <c r="Z43" s="4098"/>
      <c r="AA43" s="4098"/>
      <c r="AB43" s="4098"/>
      <c r="AC43" s="4084"/>
      <c r="AD43" s="4084"/>
      <c r="AE43" s="4085"/>
      <c r="AF43" s="4086" t="s">
        <v>420</v>
      </c>
      <c r="AG43" s="4083" t="s">
        <v>419</v>
      </c>
      <c r="AH43" s="4098"/>
      <c r="AI43" s="4098"/>
      <c r="AJ43" s="4098"/>
      <c r="AK43" s="4098"/>
      <c r="AL43" s="4084"/>
      <c r="AM43" s="4084"/>
      <c r="AN43" s="4085"/>
      <c r="AO43" s="4086" t="s">
        <v>421</v>
      </c>
      <c r="AP43" s="4089" t="s">
        <v>422</v>
      </c>
      <c r="AQ43" s="3946"/>
    </row>
    <row r="44" spans="1:48" ht="33.75" customHeight="1">
      <c r="R44" s="305"/>
      <c r="S44" s="305"/>
      <c r="T44" s="305"/>
      <c r="U44" s="4082"/>
      <c r="V44" s="4033"/>
      <c r="W44" s="938"/>
      <c r="X44" s="4018" t="s">
        <v>445</v>
      </c>
      <c r="Y44" s="3946" t="s">
        <v>446</v>
      </c>
      <c r="Z44" s="3946"/>
      <c r="AA44" s="3946"/>
      <c r="AB44" s="3946"/>
      <c r="AC44" s="4018" t="s">
        <v>426</v>
      </c>
      <c r="AD44" s="4107"/>
      <c r="AE44" s="4019"/>
      <c r="AF44" s="4087"/>
      <c r="AG44" s="4018" t="s">
        <v>445</v>
      </c>
      <c r="AH44" s="3946" t="s">
        <v>446</v>
      </c>
      <c r="AI44" s="3946"/>
      <c r="AJ44" s="3946"/>
      <c r="AK44" s="3946"/>
      <c r="AL44" s="4018" t="s">
        <v>426</v>
      </c>
      <c r="AM44" s="4107"/>
      <c r="AN44" s="4019"/>
      <c r="AO44" s="4087"/>
      <c r="AP44" s="4090"/>
      <c r="AQ44" s="3946"/>
    </row>
    <row r="45" spans="1:48" ht="14.25" customHeight="1">
      <c r="R45" s="305"/>
      <c r="S45" s="305"/>
      <c r="T45" s="305"/>
      <c r="U45" s="4082"/>
      <c r="V45" s="4033"/>
      <c r="W45" s="938"/>
      <c r="X45" s="4020"/>
      <c r="Y45" s="4047" t="s">
        <v>447</v>
      </c>
      <c r="Z45" s="4042" t="s">
        <v>448</v>
      </c>
      <c r="AA45" s="4043"/>
      <c r="AB45" s="4044"/>
      <c r="AC45" s="4023"/>
      <c r="AD45" s="4108"/>
      <c r="AE45" s="4024"/>
      <c r="AF45" s="4087"/>
      <c r="AG45" s="4020"/>
      <c r="AH45" s="4047" t="s">
        <v>447</v>
      </c>
      <c r="AI45" s="4042" t="s">
        <v>448</v>
      </c>
      <c r="AJ45" s="4043"/>
      <c r="AK45" s="4044"/>
      <c r="AL45" s="4023"/>
      <c r="AM45" s="4108"/>
      <c r="AN45" s="4024"/>
      <c r="AO45" s="4087"/>
      <c r="AP45" s="4090"/>
      <c r="AQ45" s="3946"/>
    </row>
    <row r="46" spans="1:48" ht="25.5" customHeight="1">
      <c r="R46" s="305"/>
      <c r="S46" s="305"/>
      <c r="T46" s="305"/>
      <c r="U46" s="4082"/>
      <c r="V46" s="4033"/>
      <c r="W46" s="938"/>
      <c r="X46" s="4020"/>
      <c r="Y46" s="4109"/>
      <c r="Z46" s="4047" t="s">
        <v>449</v>
      </c>
      <c r="AA46" s="4042" t="s">
        <v>450</v>
      </c>
      <c r="AB46" s="4044"/>
      <c r="AC46" s="4047" t="s">
        <v>436</v>
      </c>
      <c r="AD46" s="4049" t="s">
        <v>437</v>
      </c>
      <c r="AE46" s="4051"/>
      <c r="AF46" s="4087"/>
      <c r="AG46" s="4020"/>
      <c r="AH46" s="4109"/>
      <c r="AI46" s="4047" t="s">
        <v>449</v>
      </c>
      <c r="AJ46" s="4042" t="s">
        <v>450</v>
      </c>
      <c r="AK46" s="4044"/>
      <c r="AL46" s="4047" t="s">
        <v>436</v>
      </c>
      <c r="AM46" s="4049" t="s">
        <v>437</v>
      </c>
      <c r="AN46" s="4051"/>
      <c r="AO46" s="4087"/>
      <c r="AP46" s="4090"/>
      <c r="AQ46" s="3946"/>
    </row>
    <row r="47" spans="1:48" ht="62.25" customHeight="1">
      <c r="A47" s="1179"/>
      <c r="B47" s="1179" t="s">
        <v>133</v>
      </c>
      <c r="C47" s="1179" t="s">
        <v>134</v>
      </c>
      <c r="D47" s="1179" t="s">
        <v>135</v>
      </c>
      <c r="E47" s="1228" t="s">
        <v>427</v>
      </c>
      <c r="F47" s="1228" t="s">
        <v>428</v>
      </c>
      <c r="G47" s="1228" t="s">
        <v>429</v>
      </c>
      <c r="H47" s="1228" t="s">
        <v>430</v>
      </c>
      <c r="I47" s="1228" t="s">
        <v>431</v>
      </c>
      <c r="J47" s="1228" t="s">
        <v>432</v>
      </c>
      <c r="K47" s="1228" t="s">
        <v>433</v>
      </c>
      <c r="L47" s="1228" t="s">
        <v>451</v>
      </c>
      <c r="M47" s="1228" t="s">
        <v>407</v>
      </c>
      <c r="R47" s="305"/>
      <c r="S47" s="305"/>
      <c r="T47" s="305"/>
      <c r="U47" s="4082"/>
      <c r="V47" s="4033"/>
      <c r="W47" s="221"/>
      <c r="X47" s="4023"/>
      <c r="Y47" s="4048"/>
      <c r="Z47" s="4048"/>
      <c r="AA47" s="1128" t="s">
        <v>452</v>
      </c>
      <c r="AB47" s="1128" t="s">
        <v>453</v>
      </c>
      <c r="AC47" s="4048"/>
      <c r="AD47" s="4050"/>
      <c r="AE47" s="4052"/>
      <c r="AF47" s="4088"/>
      <c r="AG47" s="4023"/>
      <c r="AH47" s="4048"/>
      <c r="AI47" s="4048"/>
      <c r="AJ47" s="1128" t="s">
        <v>452</v>
      </c>
      <c r="AK47" s="1128" t="s">
        <v>453</v>
      </c>
      <c r="AL47" s="4048"/>
      <c r="AM47" s="4050"/>
      <c r="AN47" s="4052"/>
      <c r="AO47" s="4088"/>
      <c r="AP47" s="4091"/>
      <c r="AQ47" s="3946"/>
    </row>
    <row r="48" spans="1:48" s="1820" customFormat="1" ht="11.25" hidden="1" customHeight="1">
      <c r="A48" s="1179"/>
      <c r="B48" s="1179"/>
      <c r="C48" s="1179"/>
      <c r="D48" s="1179"/>
      <c r="E48" s="1179"/>
      <c r="F48" s="1179"/>
      <c r="G48" s="1179"/>
      <c r="H48" s="1179"/>
      <c r="I48" s="1179"/>
      <c r="J48" s="1179"/>
      <c r="K48" s="1179"/>
      <c r="L48" s="1179"/>
      <c r="M48" s="1228"/>
      <c r="N48" s="1245"/>
      <c r="O48" s="1245"/>
      <c r="P48" s="1245"/>
      <c r="Q48" s="1155"/>
      <c r="R48" s="1156"/>
      <c r="S48" s="1171">
        <v>1</v>
      </c>
      <c r="T48" s="1171"/>
      <c r="U48" s="1197" t="s">
        <v>107</v>
      </c>
      <c r="V48" s="1172" t="s">
        <v>108</v>
      </c>
      <c r="W48" s="1154" t="str">
        <f ca="1">OFFSET(W48,0,-1)</f>
        <v>2</v>
      </c>
      <c r="X48" s="1252">
        <f ca="1">OFFSET(X48,0,-1)+1</f>
        <v>3</v>
      </c>
      <c r="Y48" s="1258"/>
      <c r="Z48" s="1258"/>
      <c r="AA48" s="1258">
        <f ca="1">OFFSET(AA48,0,-1)+1</f>
        <v>1</v>
      </c>
      <c r="AB48" s="1258">
        <f ca="1">OFFSET(AB48,0,-1)+1</f>
        <v>2</v>
      </c>
      <c r="AC48" s="1252">
        <f ca="1">OFFSET(AC48,0,-1)+1</f>
        <v>3</v>
      </c>
      <c r="AD48" s="4081">
        <f ca="1">OFFSET(AD48,0,-1)+1</f>
        <v>4</v>
      </c>
      <c r="AE48" s="4081"/>
      <c r="AF48" s="1252">
        <f ca="1">OFFSET(AF48,0,-2)+1</f>
        <v>5</v>
      </c>
      <c r="AG48" s="1252">
        <f ca="1">OFFSET(AG48,0,-1)+1</f>
        <v>6</v>
      </c>
      <c r="AH48" s="1252"/>
      <c r="AI48" s="1252"/>
      <c r="AJ48" s="1252">
        <f ca="1">OFFSET(AJ48,0,-1)+1</f>
        <v>1</v>
      </c>
      <c r="AK48" s="1252">
        <f ca="1">OFFSET(AK48,0,-1)+1</f>
        <v>2</v>
      </c>
      <c r="AL48" s="1252">
        <f ca="1">OFFSET(AL48,0,-1)+1</f>
        <v>3</v>
      </c>
      <c r="AM48" s="4081">
        <f ca="1">OFFSET(AM48,0,-1)+1</f>
        <v>4</v>
      </c>
      <c r="AN48" s="4081"/>
      <c r="AO48" s="1252">
        <f ca="1">OFFSET(AO48,0,-2)+1</f>
        <v>5</v>
      </c>
      <c r="AP48" s="1154">
        <f ca="1">OFFSET(AP48,0,-1)</f>
        <v>5</v>
      </c>
      <c r="AQ48" s="1252">
        <f ca="1">OFFSET(AQ48,0,-1)+1</f>
        <v>6</v>
      </c>
      <c r="AR48" s="437"/>
      <c r="AS48" s="437"/>
      <c r="AT48" s="437"/>
      <c r="AU48" s="437"/>
      <c r="AV48" s="437"/>
    </row>
    <row r="49" spans="1:48" ht="21" customHeight="1">
      <c r="A49" s="1186" t="s">
        <v>178</v>
      </c>
      <c r="B49" s="1186"/>
      <c r="C49" s="1186"/>
      <c r="D49" s="1186"/>
      <c r="E49" s="4104">
        <v>1</v>
      </c>
      <c r="F49" s="1186"/>
      <c r="G49" s="1186"/>
      <c r="H49" s="1186"/>
      <c r="I49" s="1186"/>
      <c r="J49" s="1186"/>
      <c r="K49" s="1186"/>
      <c r="L49" s="1186"/>
      <c r="M49" s="1228"/>
      <c r="N49" s="608"/>
      <c r="O49" s="608"/>
      <c r="P49" s="608"/>
      <c r="Q49" s="286"/>
      <c r="R49" s="285"/>
      <c r="S49" s="285"/>
      <c r="T49" s="280"/>
      <c r="U49" s="1253">
        <f>INDEX(PT_DIFFERENTIATION_NUM_NTAR,MATCH(A49,PT_DIFFERENTIATION_NTAR_ID,0))</f>
        <v>0</v>
      </c>
      <c r="V49" s="217" t="s">
        <v>121</v>
      </c>
      <c r="W49" s="219"/>
      <c r="X49" s="4060"/>
      <c r="Y49" s="4061"/>
      <c r="Z49" s="4061"/>
      <c r="AA49" s="4061"/>
      <c r="AB49" s="4061"/>
      <c r="AC49" s="4061"/>
      <c r="AD49" s="4061"/>
      <c r="AE49" s="4061"/>
      <c r="AF49" s="4062"/>
      <c r="AG49" s="4060" t="str">
        <f>INDEX(PT_DIFFERENTIATION_NTAR,MATCH(A49,PT_DIFFERENTIATION_NTAR_ID,0))</f>
        <v/>
      </c>
      <c r="AH49" s="4061"/>
      <c r="AI49" s="4061"/>
      <c r="AJ49" s="4061"/>
      <c r="AK49" s="4061"/>
      <c r="AL49" s="4061"/>
      <c r="AM49" s="4061"/>
      <c r="AN49" s="4061"/>
      <c r="AO49" s="4061"/>
      <c r="AP49" s="4062"/>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6"/>
      <c r="AT49" s="426" t="str">
        <f t="shared" ref="AT49:AT65" si="2">IF(V49="","",V49)</f>
        <v>Наименование тарифа</v>
      </c>
      <c r="AU49" s="426"/>
      <c r="AV49" s="426"/>
    </row>
    <row r="50" spans="1:48" ht="21" customHeight="1">
      <c r="A50" s="1186" t="s">
        <v>178</v>
      </c>
      <c r="B50" s="1186" t="s">
        <v>179</v>
      </c>
      <c r="C50" s="1186"/>
      <c r="D50" s="1186"/>
      <c r="E50" s="4105"/>
      <c r="F50" s="4104">
        <v>1</v>
      </c>
      <c r="G50" s="1186"/>
      <c r="H50" s="1186"/>
      <c r="I50" s="1186"/>
      <c r="J50" s="1186"/>
      <c r="K50" s="1186"/>
      <c r="L50" s="1186"/>
      <c r="M50" s="1228"/>
      <c r="N50" s="608"/>
      <c r="O50" s="608"/>
      <c r="P50" s="608"/>
      <c r="Q50" s="1249"/>
      <c r="R50" s="277"/>
      <c r="S50" s="435"/>
      <c r="T50" s="278"/>
      <c r="U50" s="1253" t="str">
        <f>INDEX(PT_DIFFERENTIATION_NUM_TER,MATCH(B50,PT_DIFFERENTIATION_TER_ID,0))</f>
        <v>.</v>
      </c>
      <c r="V50" s="229" t="s">
        <v>389</v>
      </c>
      <c r="W50" s="219"/>
      <c r="X50" s="4060"/>
      <c r="Y50" s="4061"/>
      <c r="Z50" s="4061"/>
      <c r="AA50" s="4061"/>
      <c r="AB50" s="4061"/>
      <c r="AC50" s="4061"/>
      <c r="AD50" s="4061"/>
      <c r="AE50" s="4061"/>
      <c r="AF50" s="4062"/>
      <c r="AG50" s="4060" t="str">
        <f>INDEX(PT_DIFFERENTIATION_TER,MATCH(B50,PT_DIFFERENTIATION_TER_ID,0))</f>
        <v/>
      </c>
      <c r="AH50" s="4061"/>
      <c r="AI50" s="4061"/>
      <c r="AJ50" s="4061"/>
      <c r="AK50" s="4061"/>
      <c r="AL50" s="4061"/>
      <c r="AM50" s="4061"/>
      <c r="AN50" s="4061"/>
      <c r="AO50" s="4061"/>
      <c r="AP50" s="4062"/>
      <c r="AQ50" s="1177" t="s">
        <v>390</v>
      </c>
      <c r="AS50" s="426"/>
      <c r="AT50" s="426" t="str">
        <f t="shared" si="2"/>
        <v>Территория действия тарифа</v>
      </c>
      <c r="AU50" s="426"/>
      <c r="AV50" s="426"/>
    </row>
    <row r="51" spans="1:48" ht="22.5" customHeight="1">
      <c r="A51" s="1186" t="s">
        <v>178</v>
      </c>
      <c r="B51" s="1186" t="s">
        <v>179</v>
      </c>
      <c r="C51" s="1186" t="s">
        <v>180</v>
      </c>
      <c r="D51" s="1186"/>
      <c r="E51" s="4105"/>
      <c r="F51" s="4105"/>
      <c r="G51" s="4104">
        <v>1</v>
      </c>
      <c r="H51" s="1186"/>
      <c r="I51" s="1186"/>
      <c r="J51" s="1186"/>
      <c r="K51" s="1186"/>
      <c r="L51" s="1186"/>
      <c r="M51" s="1228"/>
      <c r="N51" s="608"/>
      <c r="O51" s="608"/>
      <c r="P51" s="608"/>
      <c r="Q51" s="279"/>
      <c r="R51" s="277"/>
      <c r="S51" s="435"/>
      <c r="T51" s="278"/>
      <c r="U51" s="1253" t="str">
        <f>INDEX(PT_DIFFERENTIATION_NUM_CS,MATCH(C51,PT_DIFFERENTIATION_CS_ID,0))</f>
        <v>..</v>
      </c>
      <c r="V51" s="230" t="s">
        <v>391</v>
      </c>
      <c r="W51" s="219"/>
      <c r="X51" s="4060"/>
      <c r="Y51" s="4061"/>
      <c r="Z51" s="4061"/>
      <c r="AA51" s="4061"/>
      <c r="AB51" s="4061"/>
      <c r="AC51" s="4061"/>
      <c r="AD51" s="4061"/>
      <c r="AE51" s="4061"/>
      <c r="AF51" s="4062"/>
      <c r="AG51" s="4060" t="str">
        <f>INDEX(PT_DIFFERENTIATION_CS,MATCH(C51,PT_DIFFERENTIATION_CS_ID,0))</f>
        <v/>
      </c>
      <c r="AH51" s="4061"/>
      <c r="AI51" s="4061"/>
      <c r="AJ51" s="4061"/>
      <c r="AK51" s="4061"/>
      <c r="AL51" s="4061"/>
      <c r="AM51" s="4061"/>
      <c r="AN51" s="4061"/>
      <c r="AO51" s="4061"/>
      <c r="AP51" s="4062"/>
      <c r="AQ51" s="1177" t="s">
        <v>392</v>
      </c>
      <c r="AS51" s="426"/>
      <c r="AT51" s="426" t="str">
        <f t="shared" si="2"/>
        <v xml:space="preserve">Наименование системы теплоснабжения </v>
      </c>
      <c r="AU51" s="426"/>
      <c r="AV51" s="426"/>
    </row>
    <row r="52" spans="1:48" ht="21" customHeight="1">
      <c r="A52" s="1186" t="s">
        <v>178</v>
      </c>
      <c r="B52" s="1186" t="s">
        <v>179</v>
      </c>
      <c r="C52" s="1186" t="s">
        <v>180</v>
      </c>
      <c r="D52" s="1186" t="s">
        <v>181</v>
      </c>
      <c r="E52" s="4105"/>
      <c r="F52" s="4105"/>
      <c r="G52" s="4105"/>
      <c r="H52" s="4104">
        <v>1</v>
      </c>
      <c r="I52" s="1186"/>
      <c r="J52" s="1186"/>
      <c r="K52" s="1186"/>
      <c r="L52" s="1186"/>
      <c r="M52" s="1228"/>
      <c r="N52" s="608"/>
      <c r="O52" s="608"/>
      <c r="P52" s="608"/>
      <c r="Q52" s="279"/>
      <c r="R52" s="277"/>
      <c r="S52" s="435"/>
      <c r="T52" s="278"/>
      <c r="U52" s="1253" t="str">
        <f>INDEX(PT_DIFFERENTIATION_NUM_IST_TE,MATCH(D52,PT_DIFFERENTIATION_IST_TE_ID,0))</f>
        <v>...</v>
      </c>
      <c r="V52" s="231" t="s">
        <v>393</v>
      </c>
      <c r="W52" s="219"/>
      <c r="X52" s="4060"/>
      <c r="Y52" s="4061"/>
      <c r="Z52" s="4061"/>
      <c r="AA52" s="4061"/>
      <c r="AB52" s="4061"/>
      <c r="AC52" s="4061"/>
      <c r="AD52" s="4061"/>
      <c r="AE52" s="4061"/>
      <c r="AF52" s="4062"/>
      <c r="AG52" s="4060" t="str">
        <f>INDEX(PT_DIFFERENTIATION_IST_TE,MATCH(D52,PT_DIFFERENTIATION_IST_TE_ID,0))</f>
        <v/>
      </c>
      <c r="AH52" s="4061"/>
      <c r="AI52" s="4061"/>
      <c r="AJ52" s="4061"/>
      <c r="AK52" s="4061"/>
      <c r="AL52" s="4061"/>
      <c r="AM52" s="4061"/>
      <c r="AN52" s="4061"/>
      <c r="AO52" s="4061"/>
      <c r="AP52" s="4062"/>
      <c r="AQ52" s="1177" t="s">
        <v>394</v>
      </c>
      <c r="AS52" s="426"/>
      <c r="AT52" s="426" t="str">
        <f t="shared" si="2"/>
        <v xml:space="preserve">Источник тепловой энергии  </v>
      </c>
      <c r="AU52" s="426"/>
      <c r="AV52" s="426"/>
    </row>
    <row r="53" spans="1:48" s="1821" customFormat="1" ht="0" hidden="1" customHeight="1">
      <c r="A53" s="1291" t="s">
        <v>178</v>
      </c>
      <c r="B53" s="1291" t="s">
        <v>179</v>
      </c>
      <c r="C53" s="1291" t="s">
        <v>180</v>
      </c>
      <c r="D53" s="1291" t="s">
        <v>181</v>
      </c>
      <c r="E53" s="4105"/>
      <c r="F53" s="4105"/>
      <c r="G53" s="4105"/>
      <c r="H53" s="4105"/>
      <c r="I53" s="3946" t="str">
        <f>U52&amp;".1"</f>
        <v>....1</v>
      </c>
      <c r="J53" s="1291"/>
      <c r="K53" s="1291"/>
      <c r="L53" s="1291"/>
      <c r="M53" s="1297" t="s">
        <v>395</v>
      </c>
      <c r="N53" s="1155"/>
      <c r="O53" s="1155"/>
      <c r="P53" s="1155"/>
      <c r="Q53" s="4073">
        <v>1</v>
      </c>
      <c r="R53" s="1248"/>
      <c r="S53" s="1248"/>
      <c r="T53" s="281"/>
      <c r="U53" s="949"/>
      <c r="V53" s="1299"/>
      <c r="W53" s="1300"/>
      <c r="X53" s="4101"/>
      <c r="Y53" s="4102"/>
      <c r="Z53" s="4102"/>
      <c r="AA53" s="4102"/>
      <c r="AB53" s="4102"/>
      <c r="AC53" s="4102"/>
      <c r="AD53" s="4102"/>
      <c r="AE53" s="4102"/>
      <c r="AF53" s="4103"/>
      <c r="AG53" s="4101"/>
      <c r="AH53" s="4102"/>
      <c r="AI53" s="4102"/>
      <c r="AJ53" s="4102"/>
      <c r="AK53" s="4102"/>
      <c r="AL53" s="4102"/>
      <c r="AM53" s="4102"/>
      <c r="AN53" s="4102"/>
      <c r="AO53" s="4102"/>
      <c r="AP53" s="4103"/>
      <c r="AQ53" s="1301"/>
      <c r="AS53" s="426"/>
      <c r="AT53" s="426" t="str">
        <f t="shared" si="2"/>
        <v/>
      </c>
      <c r="AU53" s="426"/>
      <c r="AV53" s="426"/>
    </row>
    <row r="54" spans="1:48" ht="21" customHeight="1">
      <c r="A54" s="1186" t="s">
        <v>178</v>
      </c>
      <c r="B54" s="1186" t="s">
        <v>179</v>
      </c>
      <c r="C54" s="1186" t="s">
        <v>180</v>
      </c>
      <c r="D54" s="1186" t="s">
        <v>181</v>
      </c>
      <c r="E54" s="4105"/>
      <c r="F54" s="4105"/>
      <c r="G54" s="4105"/>
      <c r="H54" s="4105"/>
      <c r="I54" s="3918"/>
      <c r="J54" s="3946" t="str">
        <f>I53&amp;".1"</f>
        <v>....1.1</v>
      </c>
      <c r="K54" s="1186"/>
      <c r="L54" s="1186"/>
      <c r="M54" s="1228" t="s">
        <v>398</v>
      </c>
      <c r="Q54" s="4073"/>
      <c r="R54" s="4073">
        <v>1</v>
      </c>
      <c r="S54" s="444"/>
      <c r="T54" s="282"/>
      <c r="U54" s="1253" t="str">
        <f>$J54</f>
        <v>....1.1</v>
      </c>
      <c r="V54" s="205" t="s">
        <v>399</v>
      </c>
      <c r="W54" s="219"/>
      <c r="X54" s="4063"/>
      <c r="Y54" s="4064"/>
      <c r="Z54" s="4064"/>
      <c r="AA54" s="4064"/>
      <c r="AB54" s="4064"/>
      <c r="AC54" s="4056"/>
      <c r="AD54" s="4056"/>
      <c r="AE54" s="4056"/>
      <c r="AF54" s="4106"/>
      <c r="AG54" s="4063"/>
      <c r="AH54" s="4064"/>
      <c r="AI54" s="4064"/>
      <c r="AJ54" s="4064"/>
      <c r="AK54" s="4064"/>
      <c r="AL54" s="4064"/>
      <c r="AM54" s="4064"/>
      <c r="AN54" s="4064"/>
      <c r="AO54" s="4064"/>
      <c r="AP54" s="4065"/>
      <c r="AQ54" s="1177" t="s">
        <v>400</v>
      </c>
      <c r="AS54" s="426"/>
      <c r="AT54" s="426" t="str">
        <f t="shared" si="2"/>
        <v>Группа потребителей</v>
      </c>
      <c r="AU54" s="426"/>
      <c r="AV54" s="426"/>
    </row>
    <row r="55" spans="1:48" ht="21" customHeight="1">
      <c r="A55" s="1186" t="s">
        <v>178</v>
      </c>
      <c r="B55" s="1186" t="s">
        <v>179</v>
      </c>
      <c r="C55" s="1186" t="s">
        <v>180</v>
      </c>
      <c r="D55" s="1186" t="s">
        <v>181</v>
      </c>
      <c r="E55" s="4105"/>
      <c r="F55" s="4105"/>
      <c r="G55" s="4105"/>
      <c r="H55" s="4105"/>
      <c r="I55" s="3918"/>
      <c r="J55" s="3918"/>
      <c r="K55" s="3946" t="str">
        <f>J54&amp;".1"</f>
        <v>....1.1.1</v>
      </c>
      <c r="L55" s="65"/>
      <c r="M55" s="1228" t="s">
        <v>401</v>
      </c>
      <c r="Q55" s="4073"/>
      <c r="R55" s="4073"/>
      <c r="S55" s="444">
        <v>1</v>
      </c>
      <c r="T55" s="282"/>
      <c r="U55" s="1253" t="str">
        <f>$K55</f>
        <v>....1.1.1</v>
      </c>
      <c r="V55" s="1264"/>
      <c r="W55" s="219"/>
      <c r="X55" s="668"/>
      <c r="Y55" s="668"/>
      <c r="Z55" s="668"/>
      <c r="AA55" s="668"/>
      <c r="AB55" s="1321"/>
      <c r="AC55" s="4077"/>
      <c r="AD55" s="3927" t="s">
        <v>65</v>
      </c>
      <c r="AE55" s="4077"/>
      <c r="AF55" s="3927" t="s">
        <v>65</v>
      </c>
      <c r="AG55" s="1323"/>
      <c r="AH55" s="668"/>
      <c r="AI55" s="668"/>
      <c r="AJ55" s="668"/>
      <c r="AK55" s="1176"/>
      <c r="AL55" s="4077"/>
      <c r="AM55" s="3927" t="s">
        <v>65</v>
      </c>
      <c r="AN55" s="4077"/>
      <c r="AO55" s="3927" t="s">
        <v>65</v>
      </c>
      <c r="AP55" s="1265"/>
      <c r="AQ55" s="1226" t="s">
        <v>442</v>
      </c>
      <c r="AR55" s="437" t="e">
        <f ca="1">STRCHECKDATE(X57:AP57)</f>
        <v>#NAME?</v>
      </c>
      <c r="AS55" s="426"/>
      <c r="AT55" s="426" t="str">
        <f t="shared" si="2"/>
        <v/>
      </c>
      <c r="AU55" s="426"/>
      <c r="AV55" s="426"/>
    </row>
    <row r="56" spans="1:48" ht="11.25" customHeight="1">
      <c r="A56" s="1186" t="s">
        <v>178</v>
      </c>
      <c r="B56" s="1186" t="s">
        <v>179</v>
      </c>
      <c r="C56" s="1186" t="s">
        <v>180</v>
      </c>
      <c r="D56" s="1186" t="s">
        <v>181</v>
      </c>
      <c r="E56" s="4105"/>
      <c r="F56" s="4105"/>
      <c r="G56" s="4105"/>
      <c r="H56" s="4105"/>
      <c r="I56" s="3918"/>
      <c r="J56" s="3918"/>
      <c r="K56" s="3918"/>
      <c r="L56" s="3946" t="str">
        <f>K55&amp;".1"</f>
        <v>....1.1.1.1</v>
      </c>
      <c r="M56" s="1228"/>
      <c r="Q56" s="4073"/>
      <c r="R56" s="4073"/>
      <c r="S56" s="444">
        <v>1</v>
      </c>
      <c r="T56" s="282"/>
      <c r="U56" s="1253" t="str">
        <f>$L56</f>
        <v>....1.1.1.1</v>
      </c>
      <c r="V56" s="1307"/>
      <c r="W56" s="219"/>
      <c r="X56" s="251"/>
      <c r="Y56" s="668"/>
      <c r="Z56" s="668"/>
      <c r="AA56" s="668"/>
      <c r="AB56" s="1321"/>
      <c r="AC56" s="4078"/>
      <c r="AD56" s="3927"/>
      <c r="AE56" s="4078"/>
      <c r="AF56" s="3927"/>
      <c r="AG56" s="1323"/>
      <c r="AH56" s="668"/>
      <c r="AI56" s="668"/>
      <c r="AJ56" s="668"/>
      <c r="AK56" s="1176"/>
      <c r="AL56" s="4078"/>
      <c r="AM56" s="3927"/>
      <c r="AN56" s="4078"/>
      <c r="AO56" s="3927"/>
      <c r="AP56" s="1265"/>
      <c r="AQ56" s="4069" t="s">
        <v>443</v>
      </c>
      <c r="AR56" s="437" t="e">
        <f ca="1">STRCHECKDATE(X58:AP58)</f>
        <v>#NAME?</v>
      </c>
      <c r="AS56" s="426"/>
      <c r="AT56" s="426" t="str">
        <f t="shared" si="2"/>
        <v/>
      </c>
      <c r="AU56" s="426"/>
      <c r="AV56" s="426"/>
    </row>
    <row r="57" spans="1:48" ht="0" hidden="1" customHeight="1">
      <c r="A57" s="1186" t="s">
        <v>178</v>
      </c>
      <c r="B57" s="1186" t="s">
        <v>179</v>
      </c>
      <c r="C57" s="1186" t="s">
        <v>180</v>
      </c>
      <c r="D57" s="1186" t="s">
        <v>181</v>
      </c>
      <c r="E57" s="4105"/>
      <c r="F57" s="4105"/>
      <c r="G57" s="4105"/>
      <c r="H57" s="4105"/>
      <c r="I57" s="3918"/>
      <c r="J57" s="3918"/>
      <c r="K57" s="3918"/>
      <c r="L57" s="3946"/>
      <c r="M57" s="1228"/>
      <c r="Q57" s="4073"/>
      <c r="R57" s="4073"/>
      <c r="S57" s="444"/>
      <c r="T57" s="282"/>
      <c r="U57" s="1259"/>
      <c r="V57" s="219"/>
      <c r="W57" s="219"/>
      <c r="X57" s="251"/>
      <c r="Y57" s="251"/>
      <c r="Z57" s="251"/>
      <c r="AA57" s="251"/>
      <c r="AB57" s="1322" t="str">
        <f>AC55&amp;"-"&amp;AE55</f>
        <v>-</v>
      </c>
      <c r="AC57" s="4078"/>
      <c r="AD57" s="3927"/>
      <c r="AE57" s="4078"/>
      <c r="AF57" s="3927"/>
      <c r="AG57" s="1298"/>
      <c r="AH57" s="251"/>
      <c r="AI57" s="251"/>
      <c r="AJ57" s="251"/>
      <c r="AK57" s="255" t="str">
        <f>AL55&amp;"-"&amp;AN55</f>
        <v>-</v>
      </c>
      <c r="AL57" s="4078"/>
      <c r="AM57" s="3927"/>
      <c r="AN57" s="4078"/>
      <c r="AO57" s="3927"/>
      <c r="AP57" s="1266"/>
      <c r="AQ57" s="4070"/>
      <c r="AS57" s="426"/>
      <c r="AT57" s="426" t="str">
        <f t="shared" si="2"/>
        <v/>
      </c>
      <c r="AU57" s="426"/>
      <c r="AV57" s="426"/>
    </row>
    <row r="58" spans="1:48" ht="11.25" customHeight="1">
      <c r="A58" s="1186" t="s">
        <v>178</v>
      </c>
      <c r="B58" s="1186" t="s">
        <v>179</v>
      </c>
      <c r="C58" s="1186" t="s">
        <v>180</v>
      </c>
      <c r="D58" s="1186" t="s">
        <v>181</v>
      </c>
      <c r="E58" s="4105"/>
      <c r="F58" s="4105"/>
      <c r="G58" s="4105"/>
      <c r="H58" s="4105"/>
      <c r="I58" s="3918"/>
      <c r="J58" s="3918"/>
      <c r="K58" s="3946"/>
      <c r="L58" s="1186"/>
      <c r="M58" s="1228"/>
      <c r="Q58" s="4073"/>
      <c r="R58" s="4073"/>
      <c r="S58" s="1248"/>
      <c r="T58" s="281"/>
      <c r="U58" s="1198"/>
      <c r="V58" s="207" t="s">
        <v>444</v>
      </c>
      <c r="W58" s="295"/>
      <c r="X58" s="295"/>
      <c r="Y58" s="295"/>
      <c r="Z58" s="295"/>
      <c r="AA58" s="295"/>
      <c r="AB58" s="295"/>
      <c r="AC58" s="4078"/>
      <c r="AD58" s="3927"/>
      <c r="AE58" s="4078"/>
      <c r="AF58" s="3927"/>
      <c r="AG58" s="295"/>
      <c r="AH58" s="295"/>
      <c r="AI58" s="295"/>
      <c r="AJ58" s="295"/>
      <c r="AK58" s="295"/>
      <c r="AL58" s="4078"/>
      <c r="AM58" s="3927"/>
      <c r="AN58" s="4078"/>
      <c r="AO58" s="3927"/>
      <c r="AP58" s="250"/>
      <c r="AQ58" s="4070"/>
      <c r="AS58" s="426"/>
      <c r="AT58" s="426" t="str">
        <f t="shared" si="2"/>
        <v>Добавить наименование поставщика</v>
      </c>
      <c r="AU58" s="426"/>
      <c r="AV58" s="426"/>
    </row>
    <row r="59" spans="1:48" ht="11.25" customHeight="1">
      <c r="A59" s="1186" t="s">
        <v>178</v>
      </c>
      <c r="B59" s="1186" t="s">
        <v>179</v>
      </c>
      <c r="C59" s="1186" t="s">
        <v>180</v>
      </c>
      <c r="D59" s="1186" t="s">
        <v>181</v>
      </c>
      <c r="E59" s="4105"/>
      <c r="F59" s="4105"/>
      <c r="G59" s="4105"/>
      <c r="H59" s="4105"/>
      <c r="I59" s="3918"/>
      <c r="J59" s="3946"/>
      <c r="K59" s="1186"/>
      <c r="L59" s="1186"/>
      <c r="M59" s="1228"/>
      <c r="Q59" s="4073"/>
      <c r="R59" s="4073"/>
      <c r="S59" s="1248"/>
      <c r="T59" s="281"/>
      <c r="U59" s="1198"/>
      <c r="V59" s="206" t="s">
        <v>403</v>
      </c>
      <c r="W59" s="295"/>
      <c r="X59" s="295"/>
      <c r="Y59" s="295"/>
      <c r="Z59" s="295"/>
      <c r="AA59" s="295"/>
      <c r="AB59" s="295"/>
      <c r="AC59" s="1324"/>
      <c r="AD59" s="1324"/>
      <c r="AE59" s="1324"/>
      <c r="AF59" s="1324"/>
      <c r="AG59" s="295"/>
      <c r="AH59" s="295"/>
      <c r="AI59" s="295"/>
      <c r="AJ59" s="295"/>
      <c r="AK59" s="295"/>
      <c r="AL59" s="295"/>
      <c r="AM59" s="295"/>
      <c r="AN59" s="295"/>
      <c r="AO59" s="295"/>
      <c r="AP59" s="250"/>
      <c r="AQ59" s="4071"/>
      <c r="AS59" s="426"/>
      <c r="AT59" s="426" t="str">
        <f t="shared" si="2"/>
        <v>Добавить вид теплоносителя (параметры теплоносителя)</v>
      </c>
      <c r="AU59" s="426"/>
      <c r="AV59" s="426"/>
    </row>
    <row r="60" spans="1:48" ht="11.25" customHeight="1">
      <c r="A60" s="1186" t="s">
        <v>178</v>
      </c>
      <c r="B60" s="1186" t="s">
        <v>179</v>
      </c>
      <c r="C60" s="1186" t="s">
        <v>180</v>
      </c>
      <c r="D60" s="1186" t="s">
        <v>181</v>
      </c>
      <c r="E60" s="4105"/>
      <c r="F60" s="4105"/>
      <c r="G60" s="4105"/>
      <c r="H60" s="4105"/>
      <c r="I60" s="3946"/>
      <c r="J60" s="1186"/>
      <c r="K60" s="1186"/>
      <c r="L60" s="1186"/>
      <c r="M60" s="1228"/>
      <c r="Q60" s="4073"/>
      <c r="R60" s="1248"/>
      <c r="S60" s="1248"/>
      <c r="T60" s="281"/>
      <c r="U60" s="1198"/>
      <c r="V60" s="292" t="s">
        <v>404</v>
      </c>
      <c r="W60" s="295"/>
      <c r="X60" s="295"/>
      <c r="Y60" s="295"/>
      <c r="Z60" s="295"/>
      <c r="AA60" s="295"/>
      <c r="AB60" s="295"/>
      <c r="AC60" s="295"/>
      <c r="AD60" s="295"/>
      <c r="AE60" s="295"/>
      <c r="AF60" s="294"/>
      <c r="AG60" s="295"/>
      <c r="AH60" s="295"/>
      <c r="AI60" s="295"/>
      <c r="AJ60" s="295"/>
      <c r="AK60" s="295"/>
      <c r="AL60" s="295"/>
      <c r="AM60" s="295"/>
      <c r="AN60" s="295"/>
      <c r="AO60" s="294"/>
      <c r="AP60" s="295"/>
      <c r="AQ60" s="222"/>
      <c r="AS60" s="426"/>
      <c r="AT60" s="426" t="str">
        <f t="shared" si="2"/>
        <v>Добавить группу потребителей</v>
      </c>
      <c r="AU60" s="426"/>
      <c r="AV60" s="426"/>
    </row>
    <row r="61" spans="1:48" ht="0" hidden="1" customHeight="1">
      <c r="A61" s="1186" t="s">
        <v>178</v>
      </c>
      <c r="B61" s="1186" t="s">
        <v>179</v>
      </c>
      <c r="C61" s="1186" t="s">
        <v>180</v>
      </c>
      <c r="D61" s="1186" t="s">
        <v>181</v>
      </c>
      <c r="E61" s="4105"/>
      <c r="F61" s="4105"/>
      <c r="G61" s="4105"/>
      <c r="H61" s="4104"/>
      <c r="I61" s="1186"/>
      <c r="J61" s="1186"/>
      <c r="K61" s="1186"/>
      <c r="L61" s="1186"/>
      <c r="M61" s="1228"/>
      <c r="N61" s="608"/>
      <c r="O61" s="608"/>
      <c r="P61" s="435"/>
      <c r="Q61" s="285"/>
      <c r="R61" s="304"/>
      <c r="S61" s="280"/>
      <c r="T61" s="285"/>
      <c r="U61" s="1302"/>
      <c r="V61" s="1303"/>
      <c r="W61" s="1304"/>
      <c r="X61" s="1304"/>
      <c r="Y61" s="1304"/>
      <c r="Z61" s="1304"/>
      <c r="AA61" s="1304"/>
      <c r="AB61" s="1304"/>
      <c r="AC61" s="1304"/>
      <c r="AD61" s="1304"/>
      <c r="AE61" s="1304"/>
      <c r="AF61" s="1304"/>
      <c r="AG61" s="1304"/>
      <c r="AH61" s="1304"/>
      <c r="AI61" s="1304"/>
      <c r="AJ61" s="1304"/>
      <c r="AK61" s="1304"/>
      <c r="AL61" s="1304"/>
      <c r="AM61" s="1304"/>
      <c r="AN61" s="1304"/>
      <c r="AO61" s="1304"/>
      <c r="AP61" s="1304"/>
      <c r="AQ61" s="1305"/>
      <c r="AS61" s="426"/>
      <c r="AT61" s="426" t="str">
        <f t="shared" si="2"/>
        <v/>
      </c>
      <c r="AU61" s="426"/>
      <c r="AV61" s="426"/>
    </row>
    <row r="62" spans="1:48" s="2550" customFormat="1" ht="0" hidden="1" customHeight="1">
      <c r="A62" s="1291" t="s">
        <v>178</v>
      </c>
      <c r="B62" s="1291" t="s">
        <v>179</v>
      </c>
      <c r="C62" s="1291" t="s">
        <v>180</v>
      </c>
      <c r="D62" s="1290"/>
      <c r="E62" s="4105"/>
      <c r="F62" s="4105"/>
      <c r="G62" s="4104"/>
      <c r="H62" s="1290"/>
      <c r="I62" s="1290"/>
      <c r="J62" s="1290"/>
      <c r="K62" s="1290"/>
      <c r="L62" s="1290"/>
      <c r="M62" s="1293"/>
      <c r="N62" s="1294"/>
      <c r="O62" s="1294"/>
      <c r="P62" s="276"/>
      <c r="Q62" s="1234"/>
      <c r="R62" s="1235"/>
      <c r="S62" s="1234"/>
      <c r="T62" s="1234"/>
      <c r="U62" s="1240"/>
      <c r="V62" s="1243" t="s">
        <v>166</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06"/>
      <c r="AT62" s="706" t="str">
        <f t="shared" si="2"/>
        <v>Добавить источник для дифференциации</v>
      </c>
      <c r="AU62" s="706"/>
      <c r="AV62" s="706"/>
    </row>
    <row r="63" spans="1:48" s="2550" customFormat="1" ht="0" hidden="1" customHeight="1">
      <c r="A63" s="1291" t="s">
        <v>178</v>
      </c>
      <c r="B63" s="1291" t="s">
        <v>179</v>
      </c>
      <c r="C63" s="1290"/>
      <c r="D63" s="1290"/>
      <c r="E63" s="4105"/>
      <c r="F63" s="4104"/>
      <c r="G63" s="1290"/>
      <c r="H63" s="1290"/>
      <c r="I63" s="1290"/>
      <c r="J63" s="1290"/>
      <c r="K63" s="1290"/>
      <c r="L63" s="1290"/>
      <c r="M63" s="1293"/>
      <c r="N63" s="1295"/>
      <c r="O63" s="1295"/>
      <c r="P63" s="276"/>
      <c r="Q63" s="1234"/>
      <c r="R63" s="1235"/>
      <c r="S63" s="1234"/>
      <c r="T63" s="1234"/>
      <c r="U63" s="1240"/>
      <c r="V63" s="1243" t="s">
        <v>167</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06"/>
      <c r="AT63" s="706" t="str">
        <f t="shared" si="2"/>
        <v>Добавить централизованную систему для дифференциации</v>
      </c>
      <c r="AU63" s="706"/>
      <c r="AV63" s="706"/>
    </row>
    <row r="64" spans="1:48" s="1821" customFormat="1" ht="0" hidden="1" customHeight="1">
      <c r="A64" s="1291" t="s">
        <v>178</v>
      </c>
      <c r="B64" s="1291"/>
      <c r="C64" s="1291"/>
      <c r="D64" s="1291"/>
      <c r="E64" s="4104"/>
      <c r="F64" s="1291"/>
      <c r="G64" s="1291"/>
      <c r="H64" s="1291"/>
      <c r="I64" s="1291"/>
      <c r="J64" s="1291"/>
      <c r="K64" s="1291"/>
      <c r="L64" s="1291"/>
      <c r="M64" s="1297"/>
      <c r="N64" s="1295"/>
      <c r="O64" s="1295"/>
      <c r="P64" s="276"/>
      <c r="Q64" s="313"/>
      <c r="R64" s="1261"/>
      <c r="S64" s="313"/>
      <c r="T64" s="313"/>
      <c r="U64" s="1240"/>
      <c r="V64" s="1243" t="s">
        <v>168</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26"/>
      <c r="AT64" s="426" t="str">
        <f t="shared" si="2"/>
        <v>Добавить территорию для дифференциации</v>
      </c>
      <c r="AU64" s="426"/>
      <c r="AV64" s="426"/>
    </row>
    <row r="65" spans="1:48" s="2550" customFormat="1" ht="5.25" customHeight="1">
      <c r="A65" s="1290"/>
      <c r="B65" s="1290"/>
      <c r="C65" s="1290"/>
      <c r="D65" s="1290"/>
      <c r="E65" s="1291"/>
      <c r="F65" s="1290"/>
      <c r="G65" s="1290"/>
      <c r="H65" s="1290"/>
      <c r="I65" s="1290"/>
      <c r="J65" s="1290"/>
      <c r="K65" s="1290"/>
      <c r="L65" s="1290"/>
      <c r="M65" s="1293"/>
      <c r="N65" s="1295"/>
      <c r="O65" s="1295"/>
      <c r="P65" s="276"/>
      <c r="Q65" s="1234"/>
      <c r="R65" s="1235"/>
      <c r="S65" s="1234"/>
      <c r="T65" s="1234"/>
      <c r="U65" s="1240"/>
      <c r="V65" s="1243" t="s">
        <v>169</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06"/>
      <c r="AT65" s="706" t="str">
        <f t="shared" si="2"/>
        <v>Добавить наименование тарифа</v>
      </c>
      <c r="AU65" s="706"/>
      <c r="AV65" s="706"/>
    </row>
    <row r="66" spans="1:48" ht="11.25" customHeight="1">
      <c r="N66" s="1055"/>
      <c r="O66" s="1055"/>
      <c r="P66" s="435"/>
      <c r="Q66" s="1055"/>
      <c r="R66" s="1055"/>
      <c r="S66" s="1055"/>
      <c r="T66" s="1055"/>
      <c r="U66" s="1055"/>
      <c r="AR66" s="1055"/>
      <c r="AS66" s="1055"/>
      <c r="AT66" s="1055"/>
      <c r="AU66" s="1055"/>
      <c r="AV66" s="1055"/>
    </row>
    <row r="67" spans="1:48" ht="33.75" customHeight="1">
      <c r="P67" s="435"/>
      <c r="U67" s="1164"/>
      <c r="V67" s="4094"/>
      <c r="W67" s="4094"/>
      <c r="X67" s="4094"/>
      <c r="Y67" s="4094"/>
      <c r="Z67" s="4094"/>
      <c r="AA67" s="4094"/>
      <c r="AB67" s="4094"/>
      <c r="AC67" s="4094"/>
      <c r="AD67" s="4094"/>
      <c r="AE67" s="4094"/>
      <c r="AF67" s="4094"/>
      <c r="AG67" s="4094"/>
      <c r="AH67" s="4094"/>
      <c r="AI67" s="4094"/>
      <c r="AJ67" s="4094"/>
      <c r="AK67" s="4094"/>
      <c r="AL67" s="4094"/>
      <c r="AM67" s="4094"/>
      <c r="AN67" s="4094"/>
      <c r="AO67" s="4094"/>
      <c r="AP67" s="4094"/>
      <c r="AQ67" s="4094"/>
    </row>
    <row r="68" spans="1:48" ht="19.5" customHeight="1">
      <c r="P68" s="435"/>
      <c r="V68" s="4094"/>
      <c r="W68" s="4094"/>
      <c r="X68" s="4094"/>
      <c r="Y68" s="4094"/>
      <c r="Z68" s="4094"/>
      <c r="AA68" s="4094"/>
      <c r="AB68" s="4094"/>
      <c r="AC68" s="4094"/>
      <c r="AD68" s="4094"/>
      <c r="AE68" s="4094"/>
      <c r="AF68" s="4094"/>
      <c r="AG68" s="4094"/>
      <c r="AH68" s="4094"/>
      <c r="AI68" s="4094"/>
      <c r="AJ68" s="4094"/>
      <c r="AK68" s="4094"/>
      <c r="AL68" s="4094"/>
      <c r="AM68" s="4094"/>
      <c r="AN68" s="4094"/>
      <c r="AO68" s="4094"/>
      <c r="AP68" s="4094"/>
      <c r="AQ68" s="4094"/>
    </row>
    <row r="69" spans="1:48" ht="14.25" customHeight="1">
      <c r="P69" s="435"/>
    </row>
    <row r="70" spans="1:48" ht="27" customHeight="1">
      <c r="P70" s="435"/>
      <c r="V70" s="4094"/>
      <c r="W70" s="4094"/>
      <c r="X70" s="4094"/>
      <c r="Y70" s="4094"/>
      <c r="Z70" s="4094"/>
      <c r="AA70" s="4094"/>
      <c r="AB70" s="4094"/>
      <c r="AC70" s="4094"/>
      <c r="AD70" s="4094"/>
      <c r="AE70" s="4094"/>
      <c r="AF70" s="4094"/>
      <c r="AG70" s="4094"/>
      <c r="AH70" s="4094"/>
      <c r="AI70" s="4094"/>
      <c r="AJ70" s="4094"/>
      <c r="AK70" s="4094"/>
      <c r="AL70" s="4094"/>
      <c r="AM70" s="4094"/>
      <c r="AN70" s="4094"/>
      <c r="AO70" s="4094"/>
      <c r="AP70" s="4094"/>
      <c r="AQ70" s="4094"/>
    </row>
    <row r="71" spans="1:48" ht="18" customHeight="1">
      <c r="P71" s="435"/>
      <c r="V71" s="4094"/>
      <c r="W71" s="4094"/>
      <c r="X71" s="4094"/>
      <c r="Y71" s="4094"/>
      <c r="Z71" s="4094"/>
      <c r="AA71" s="4094"/>
      <c r="AB71" s="4094"/>
      <c r="AC71" s="4094"/>
      <c r="AD71" s="4094"/>
      <c r="AE71" s="4094"/>
      <c r="AF71" s="4094"/>
      <c r="AG71" s="4094"/>
      <c r="AH71" s="4094"/>
      <c r="AI71" s="4094"/>
      <c r="AJ71" s="4094"/>
      <c r="AK71" s="4094"/>
      <c r="AL71" s="4094"/>
      <c r="AM71" s="4094"/>
      <c r="AN71" s="4094"/>
      <c r="AO71" s="4094"/>
      <c r="AP71" s="4094"/>
      <c r="AQ71" s="4094"/>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2553" hidden="1"/>
    <col min="2" max="2" width="11" style="2553" hidden="1" customWidth="1"/>
    <col min="3" max="3" width="10.5703125" style="2553" hidden="1"/>
    <col min="4" max="4" width="11.85546875" style="2553" hidden="1" customWidth="1"/>
    <col min="5" max="5" width="10" style="2553" hidden="1" customWidth="1"/>
    <col min="6" max="6" width="8.7109375" style="2553" hidden="1" customWidth="1"/>
    <col min="7" max="7" width="7.5703125" style="2553" hidden="1" customWidth="1"/>
    <col min="8" max="8" width="11.42578125" style="2553" hidden="1" customWidth="1"/>
    <col min="9" max="9" width="12" style="2553" hidden="1" customWidth="1"/>
    <col min="10" max="10" width="9.85546875" style="2553" hidden="1" customWidth="1"/>
    <col min="11" max="11" width="11.42578125" style="2553" hidden="1" customWidth="1"/>
    <col min="12" max="12" width="19.140625" style="2554" hidden="1" customWidth="1"/>
    <col min="13" max="14" width="12.28515625" style="2555" hidden="1" customWidth="1"/>
    <col min="15" max="15" width="23.42578125" style="2555" hidden="1" customWidth="1"/>
    <col min="16" max="16" width="3.7109375" style="2555" hidden="1" customWidth="1"/>
    <col min="17" max="17" width="3.7109375" style="2556" hidden="1" customWidth="1"/>
    <col min="18" max="18" width="3.7109375" style="3173" customWidth="1"/>
    <col min="19" max="19" width="12.7109375" style="3174" customWidth="1"/>
    <col min="20" max="20" width="32" style="1920" customWidth="1"/>
    <col min="21" max="21" width="0.140625" style="1920" customWidth="1"/>
    <col min="22" max="23" width="21.7109375" style="1920" hidden="1" customWidth="1"/>
    <col min="24" max="24" width="11.7109375" style="1920" hidden="1" customWidth="1"/>
    <col min="25" max="25" width="3.7109375" style="1920" hidden="1" customWidth="1"/>
    <col min="26" max="26" width="11.7109375" style="1920" hidden="1" customWidth="1"/>
    <col min="27" max="27" width="8.5703125" style="1920" hidden="1" customWidth="1"/>
    <col min="28" max="28" width="5.42578125" style="1920" customWidth="1"/>
    <col min="29" max="30" width="3.7109375" style="1920" customWidth="1"/>
    <col min="31" max="31" width="24.7109375" style="1920" customWidth="1"/>
    <col min="32" max="34" width="3.7109375" style="1920" customWidth="1"/>
    <col min="35" max="35" width="24.7109375" style="1920" customWidth="1"/>
    <col min="36" max="38" width="3.7109375" style="1920" customWidth="1"/>
    <col min="39" max="39" width="18.85546875" style="1920" customWidth="1"/>
    <col min="40" max="41" width="21.7109375" style="1920" customWidth="1"/>
    <col min="42" max="42" width="11.7109375" style="1920" customWidth="1"/>
    <col min="43" max="43" width="3.7109375" style="1920" customWidth="1"/>
    <col min="44" max="44" width="11.7109375" style="1920" customWidth="1"/>
    <col min="45" max="45" width="8.5703125" style="1920" customWidth="1"/>
    <col min="46" max="46" width="4.7109375" style="1920" customWidth="1"/>
    <col min="47" max="47" width="115.7109375" style="1920" customWidth="1"/>
    <col min="48" max="49" width="10.5703125" style="1821"/>
    <col min="50" max="50" width="11.140625" style="1821" customWidth="1"/>
    <col min="51" max="52" width="10.5703125" style="1821"/>
  </cols>
  <sheetData>
    <row r="1" spans="1:52" ht="14.25" hidden="1" customHeight="1">
      <c r="W1" s="254"/>
      <c r="X1" s="254"/>
      <c r="AO1" s="254"/>
      <c r="AP1" s="254"/>
    </row>
    <row r="2" spans="1:52" ht="21" hidden="1" customHeight="1">
      <c r="A2" s="1279"/>
      <c r="B2" s="1279"/>
      <c r="C2" s="1279"/>
      <c r="D2" s="1279"/>
      <c r="E2" s="4074">
        <v>1</v>
      </c>
      <c r="F2" s="1279"/>
      <c r="G2" s="1279"/>
      <c r="H2" s="1279"/>
      <c r="I2" s="1279"/>
      <c r="J2" s="1279"/>
      <c r="K2" s="1279"/>
      <c r="L2" s="1280"/>
      <c r="M2" s="1281"/>
      <c r="N2" s="1281"/>
      <c r="O2" s="1281"/>
      <c r="P2" s="1325"/>
      <c r="Q2" s="786"/>
      <c r="R2" s="280"/>
      <c r="S2" s="1253" t="e">
        <f>INDEX(PT_DIFFERENTIATION_NUM_NTAR,MATCH(A2,PT_DIFFERENTIATION_NTAR_ID,0))</f>
        <v>#N/A</v>
      </c>
      <c r="T2" s="217" t="s">
        <v>121</v>
      </c>
      <c r="U2" s="219"/>
      <c r="V2" s="4061"/>
      <c r="W2" s="4061"/>
      <c r="X2" s="4061"/>
      <c r="Y2" s="4061"/>
      <c r="Z2" s="4061"/>
      <c r="AA2" s="4062"/>
      <c r="AB2" s="4060" t="e">
        <f>INDEX(PT_DIFFERENTIATION_NTAR,MATCH(A2,PT_DIFFERENTIATION_NTAR_ID,0))</f>
        <v>#N/A</v>
      </c>
      <c r="AC2" s="4061"/>
      <c r="AD2" s="4061"/>
      <c r="AE2" s="4061"/>
      <c r="AF2" s="4061"/>
      <c r="AG2" s="4061"/>
      <c r="AH2" s="4061"/>
      <c r="AI2" s="4061"/>
      <c r="AJ2" s="4061"/>
      <c r="AK2" s="4061"/>
      <c r="AL2" s="4061"/>
      <c r="AM2" s="4061"/>
      <c r="AN2" s="4061"/>
      <c r="AO2" s="4061"/>
      <c r="AP2" s="4061"/>
      <c r="AQ2" s="4061"/>
      <c r="AR2" s="4061"/>
      <c r="AS2" s="4061"/>
      <c r="AT2" s="4062"/>
      <c r="AU2" s="1177" t="s">
        <v>388</v>
      </c>
      <c r="AW2" s="426"/>
      <c r="AX2" s="426" t="str">
        <f t="shared" ref="AX2:AX8" si="0">IF(T2="","",T2)</f>
        <v>Наименование тарифа</v>
      </c>
      <c r="AY2" s="426"/>
      <c r="AZ2" s="426"/>
    </row>
    <row r="3" spans="1:52" ht="21" hidden="1" customHeight="1">
      <c r="A3" s="1279"/>
      <c r="B3" s="1279"/>
      <c r="C3" s="1279"/>
      <c r="D3" s="1279"/>
      <c r="E3" s="4075"/>
      <c r="F3" s="4074">
        <v>1</v>
      </c>
      <c r="G3" s="1279"/>
      <c r="H3" s="1279"/>
      <c r="I3" s="1279"/>
      <c r="J3" s="1279"/>
      <c r="K3" s="1279"/>
      <c r="L3" s="1280"/>
      <c r="M3" s="1281"/>
      <c r="N3" s="1281"/>
      <c r="O3" s="1281"/>
      <c r="P3" s="1326"/>
      <c r="Q3" s="1327"/>
      <c r="R3" s="278"/>
      <c r="S3" s="1253" t="e">
        <f>INDEX(PT_DIFFERENTIATION_NUM_TER,MATCH(B3,PT_DIFFERENTIATION_TER_ID,0))</f>
        <v>#N/A</v>
      </c>
      <c r="T3" s="229" t="s">
        <v>389</v>
      </c>
      <c r="U3" s="219"/>
      <c r="V3" s="4061"/>
      <c r="W3" s="4061"/>
      <c r="X3" s="4061"/>
      <c r="Y3" s="4061"/>
      <c r="Z3" s="4061"/>
      <c r="AA3" s="4062"/>
      <c r="AB3" s="4060" t="e">
        <f>INDEX(PT_DIFFERENTIATION_TER,MATCH(B3,PT_DIFFERENTIATION_TER_ID,0))</f>
        <v>#N/A</v>
      </c>
      <c r="AC3" s="4061"/>
      <c r="AD3" s="4061"/>
      <c r="AE3" s="4061"/>
      <c r="AF3" s="4061"/>
      <c r="AG3" s="4061"/>
      <c r="AH3" s="4061"/>
      <c r="AI3" s="4061"/>
      <c r="AJ3" s="4061"/>
      <c r="AK3" s="4061"/>
      <c r="AL3" s="4061"/>
      <c r="AM3" s="4061"/>
      <c r="AN3" s="4061"/>
      <c r="AO3" s="4061"/>
      <c r="AP3" s="4061"/>
      <c r="AQ3" s="4061"/>
      <c r="AR3" s="4061"/>
      <c r="AS3" s="4061"/>
      <c r="AT3" s="4062"/>
      <c r="AU3" s="1177" t="s">
        <v>390</v>
      </c>
      <c r="AW3" s="426"/>
      <c r="AX3" s="426" t="str">
        <f t="shared" si="0"/>
        <v>Территория действия тарифа</v>
      </c>
      <c r="AY3" s="426"/>
      <c r="AZ3" s="426"/>
    </row>
    <row r="4" spans="1:52" ht="22.5" hidden="1" customHeight="1">
      <c r="A4" s="1279"/>
      <c r="B4" s="1279"/>
      <c r="C4" s="1279"/>
      <c r="D4" s="1279"/>
      <c r="E4" s="4075"/>
      <c r="F4" s="4075"/>
      <c r="G4" s="4074">
        <v>1</v>
      </c>
      <c r="H4" s="1279"/>
      <c r="I4" s="1279"/>
      <c r="J4" s="1279"/>
      <c r="K4" s="1279"/>
      <c r="L4" s="1280"/>
      <c r="M4" s="1281"/>
      <c r="N4" s="1281"/>
      <c r="O4" s="1281"/>
      <c r="P4" s="1328"/>
      <c r="Q4" s="1327"/>
      <c r="R4" s="278"/>
      <c r="S4" s="1253" t="e">
        <f>INDEX(PT_DIFFERENTIATION_NUM_CS,MATCH(C4,PT_DIFFERENTIATION_CS_ID,0))</f>
        <v>#N/A</v>
      </c>
      <c r="T4" s="230" t="s">
        <v>391</v>
      </c>
      <c r="U4" s="219"/>
      <c r="V4" s="4061"/>
      <c r="W4" s="4061"/>
      <c r="X4" s="4061"/>
      <c r="Y4" s="4061"/>
      <c r="Z4" s="4061"/>
      <c r="AA4" s="4062"/>
      <c r="AB4" s="4060" t="e">
        <f>INDEX(PT_DIFFERENTIATION_CS,MATCH(C4,PT_DIFFERENTIATION_CS_ID,0))</f>
        <v>#N/A</v>
      </c>
      <c r="AC4" s="4061"/>
      <c r="AD4" s="4061"/>
      <c r="AE4" s="4061"/>
      <c r="AF4" s="4061"/>
      <c r="AG4" s="4061"/>
      <c r="AH4" s="4061"/>
      <c r="AI4" s="4061"/>
      <c r="AJ4" s="4061"/>
      <c r="AK4" s="4061"/>
      <c r="AL4" s="4061"/>
      <c r="AM4" s="4061"/>
      <c r="AN4" s="4061"/>
      <c r="AO4" s="4061"/>
      <c r="AP4" s="4061"/>
      <c r="AQ4" s="4061"/>
      <c r="AR4" s="4061"/>
      <c r="AS4" s="4061"/>
      <c r="AT4" s="4062"/>
      <c r="AU4" s="1177" t="s">
        <v>392</v>
      </c>
      <c r="AW4" s="426"/>
      <c r="AX4" s="426" t="str">
        <f t="shared" si="0"/>
        <v xml:space="preserve">Наименование системы теплоснабжения </v>
      </c>
      <c r="AY4" s="426"/>
      <c r="AZ4" s="426"/>
    </row>
    <row r="5" spans="1:52" ht="21" hidden="1" customHeight="1">
      <c r="A5" s="1279"/>
      <c r="B5" s="1279"/>
      <c r="C5" s="1279"/>
      <c r="D5" s="1279"/>
      <c r="E5" s="4075"/>
      <c r="F5" s="4075"/>
      <c r="G5" s="4075"/>
      <c r="H5" s="4074">
        <v>1</v>
      </c>
      <c r="I5" s="1279"/>
      <c r="J5" s="1279"/>
      <c r="K5" s="1279"/>
      <c r="L5" s="1280"/>
      <c r="M5" s="1281"/>
      <c r="N5" s="1281"/>
      <c r="O5" s="1281"/>
      <c r="P5" s="1328"/>
      <c r="Q5" s="1327"/>
      <c r="R5" s="278"/>
      <c r="S5" s="1253" t="e">
        <f>INDEX(PT_DIFFERENTIATION_NUM_IST_TE,MATCH(D5,PT_DIFFERENTIATION_IST_TE_ID,0))</f>
        <v>#N/A</v>
      </c>
      <c r="T5" s="231" t="s">
        <v>393</v>
      </c>
      <c r="U5" s="219"/>
      <c r="V5" s="4061"/>
      <c r="W5" s="4061"/>
      <c r="X5" s="4061"/>
      <c r="Y5" s="4061"/>
      <c r="Z5" s="4061"/>
      <c r="AA5" s="4062"/>
      <c r="AB5" s="4060" t="e">
        <f>INDEX(PT_DIFFERENTIATION_IST_TE,MATCH(D5,PT_DIFFERENTIATION_IST_TE_ID,0))</f>
        <v>#N/A</v>
      </c>
      <c r="AC5" s="4061"/>
      <c r="AD5" s="4061"/>
      <c r="AE5" s="4061"/>
      <c r="AF5" s="4061"/>
      <c r="AG5" s="4061"/>
      <c r="AH5" s="4061"/>
      <c r="AI5" s="4061"/>
      <c r="AJ5" s="4061"/>
      <c r="AK5" s="4061"/>
      <c r="AL5" s="4061"/>
      <c r="AM5" s="4061"/>
      <c r="AN5" s="4061"/>
      <c r="AO5" s="4061"/>
      <c r="AP5" s="4061"/>
      <c r="AQ5" s="4061"/>
      <c r="AR5" s="4061"/>
      <c r="AS5" s="4061"/>
      <c r="AT5" s="4062"/>
      <c r="AU5" s="1177" t="s">
        <v>394</v>
      </c>
      <c r="AW5" s="426"/>
      <c r="AX5" s="426" t="str">
        <f t="shared" si="0"/>
        <v xml:space="preserve">Источник тепловой энергии  </v>
      </c>
      <c r="AY5" s="426"/>
      <c r="AZ5" s="426"/>
    </row>
    <row r="6" spans="1:52" s="1821" customFormat="1" ht="14.25" hidden="1" customHeight="1">
      <c r="A6" s="1260"/>
      <c r="B6" s="1260"/>
      <c r="C6" s="1260"/>
      <c r="D6" s="1260"/>
      <c r="E6" s="4075"/>
      <c r="F6" s="4075"/>
      <c r="G6" s="4075"/>
      <c r="H6" s="4075"/>
      <c r="I6" s="4072" t="e">
        <f>S5&amp;".1"</f>
        <v>#N/A</v>
      </c>
      <c r="J6" s="1260"/>
      <c r="K6" s="1260"/>
      <c r="L6" s="1263" t="s">
        <v>395</v>
      </c>
      <c r="M6" s="436"/>
      <c r="N6" s="436"/>
      <c r="O6" s="436"/>
      <c r="P6" s="4073">
        <v>1</v>
      </c>
      <c r="Q6" s="1248"/>
      <c r="R6" s="281"/>
      <c r="S6" s="949"/>
      <c r="T6" s="1299"/>
      <c r="U6" s="1300"/>
      <c r="V6" s="4102"/>
      <c r="W6" s="4102"/>
      <c r="X6" s="4102"/>
      <c r="Y6" s="4102"/>
      <c r="Z6" s="4102"/>
      <c r="AA6" s="4103"/>
      <c r="AB6" s="4101"/>
      <c r="AC6" s="4102"/>
      <c r="AD6" s="4102"/>
      <c r="AE6" s="4102"/>
      <c r="AF6" s="4102"/>
      <c r="AG6" s="4102"/>
      <c r="AH6" s="4102"/>
      <c r="AI6" s="4102"/>
      <c r="AJ6" s="4102"/>
      <c r="AK6" s="4102"/>
      <c r="AL6" s="4102"/>
      <c r="AM6" s="4102"/>
      <c r="AN6" s="4102"/>
      <c r="AO6" s="4102"/>
      <c r="AP6" s="4102"/>
      <c r="AQ6" s="4102"/>
      <c r="AR6" s="4102"/>
      <c r="AS6" s="4102"/>
      <c r="AT6" s="4103"/>
      <c r="AU6" s="1301"/>
      <c r="AW6" s="426"/>
      <c r="AX6" s="426" t="str">
        <f t="shared" si="0"/>
        <v/>
      </c>
      <c r="AY6" s="426"/>
      <c r="AZ6" s="426"/>
    </row>
    <row r="7" spans="1:52" s="1821" customFormat="1" ht="14.25" hidden="1" customHeight="1">
      <c r="A7" s="1260"/>
      <c r="B7" s="1260"/>
      <c r="C7" s="1260"/>
      <c r="D7" s="1260"/>
      <c r="E7" s="4075"/>
      <c r="F7" s="4075"/>
      <c r="G7" s="4075"/>
      <c r="H7" s="4075"/>
      <c r="I7" s="4095"/>
      <c r="J7" s="4072" t="e">
        <f>S5&amp;".1"</f>
        <v>#N/A</v>
      </c>
      <c r="K7" s="1260"/>
      <c r="L7" s="1263"/>
      <c r="M7" s="436"/>
      <c r="N7" s="436"/>
      <c r="O7" s="436"/>
      <c r="P7" s="4073"/>
      <c r="Q7" s="4073">
        <v>1</v>
      </c>
      <c r="R7" s="282"/>
      <c r="S7" s="949"/>
      <c r="T7" s="1315"/>
      <c r="U7" s="1300"/>
      <c r="V7" s="4102"/>
      <c r="W7" s="4102"/>
      <c r="X7" s="4102"/>
      <c r="Y7" s="4102"/>
      <c r="Z7" s="4102"/>
      <c r="AA7" s="4103"/>
      <c r="AB7" s="4101"/>
      <c r="AC7" s="4102"/>
      <c r="AD7" s="4102"/>
      <c r="AE7" s="4102"/>
      <c r="AF7" s="4102"/>
      <c r="AG7" s="4102"/>
      <c r="AH7" s="4102"/>
      <c r="AI7" s="4102"/>
      <c r="AJ7" s="4102"/>
      <c r="AK7" s="4102"/>
      <c r="AL7" s="4102"/>
      <c r="AM7" s="4102"/>
      <c r="AN7" s="4102"/>
      <c r="AO7" s="4102"/>
      <c r="AP7" s="4102"/>
      <c r="AQ7" s="4102"/>
      <c r="AR7" s="4102"/>
      <c r="AS7" s="4102"/>
      <c r="AT7" s="4103"/>
      <c r="AU7" s="1301"/>
      <c r="AW7" s="426"/>
      <c r="AX7" s="426" t="str">
        <f t="shared" si="0"/>
        <v/>
      </c>
      <c r="AY7" s="426"/>
      <c r="AZ7" s="426"/>
    </row>
    <row r="8" spans="1:52" ht="21" hidden="1" customHeight="1">
      <c r="A8" s="1279"/>
      <c r="B8" s="1279"/>
      <c r="C8" s="1279"/>
      <c r="D8" s="1279"/>
      <c r="E8" s="4075"/>
      <c r="F8" s="4075"/>
      <c r="G8" s="4075"/>
      <c r="H8" s="4075"/>
      <c r="I8" s="4095"/>
      <c r="J8" s="4095"/>
      <c r="K8" s="4072" t="e">
        <f>S5&amp;".1"</f>
        <v>#N/A</v>
      </c>
      <c r="L8" s="1280"/>
      <c r="P8" s="4073"/>
      <c r="Q8" s="4073"/>
      <c r="R8" s="4130">
        <v>1</v>
      </c>
      <c r="S8" s="4124" t="e">
        <f>$K8</f>
        <v>#N/A</v>
      </c>
      <c r="T8" s="4127"/>
      <c r="U8" s="219"/>
      <c r="V8" s="668"/>
      <c r="W8" s="1176"/>
      <c r="X8" s="4077"/>
      <c r="Y8" s="3927" t="s">
        <v>65</v>
      </c>
      <c r="Z8" s="4077"/>
      <c r="AA8" s="3927" t="s">
        <v>65</v>
      </c>
      <c r="AB8" s="3927" t="s">
        <v>55</v>
      </c>
      <c r="AC8" s="4110"/>
      <c r="AD8" s="4028">
        <v>1</v>
      </c>
      <c r="AE8" s="4111"/>
      <c r="AF8" s="3927" t="s">
        <v>55</v>
      </c>
      <c r="AG8" s="4110"/>
      <c r="AH8" s="4028">
        <v>1</v>
      </c>
      <c r="AI8" s="4111"/>
      <c r="AJ8" s="3927" t="s">
        <v>55</v>
      </c>
      <c r="AK8" s="232"/>
      <c r="AL8" s="1254">
        <v>1</v>
      </c>
      <c r="AM8" s="1314"/>
      <c r="AN8" s="668"/>
      <c r="AO8" s="1176"/>
      <c r="AP8" s="1644"/>
      <c r="AQ8" s="1372" t="s">
        <v>65</v>
      </c>
      <c r="AR8" s="1644"/>
      <c r="AS8" s="1372" t="s">
        <v>65</v>
      </c>
      <c r="AT8" s="1265"/>
      <c r="AU8" s="4069" t="s">
        <v>454</v>
      </c>
      <c r="AV8" s="437" t="e">
        <f ca="1">STRCHECKDATE(V11:AT11)</f>
        <v>#NAME?</v>
      </c>
      <c r="AW8" s="426"/>
      <c r="AX8" s="426" t="str">
        <f t="shared" si="0"/>
        <v/>
      </c>
      <c r="AY8" s="426"/>
      <c r="AZ8" s="426"/>
    </row>
    <row r="9" spans="1:52" ht="11.25" hidden="1" customHeight="1">
      <c r="A9" s="1279"/>
      <c r="B9" s="1279"/>
      <c r="C9" s="1279"/>
      <c r="D9" s="1279"/>
      <c r="E9" s="4075"/>
      <c r="F9" s="4075"/>
      <c r="G9" s="4075"/>
      <c r="H9" s="4075"/>
      <c r="I9" s="4095"/>
      <c r="J9" s="4095"/>
      <c r="K9" s="4072"/>
      <c r="L9" s="1280"/>
      <c r="P9" s="4073"/>
      <c r="Q9" s="4073"/>
      <c r="R9" s="4130"/>
      <c r="S9" s="4125"/>
      <c r="T9" s="4128"/>
      <c r="U9" s="219"/>
      <c r="V9" s="1309"/>
      <c r="W9" s="1313"/>
      <c r="X9" s="4077"/>
      <c r="Y9" s="3927"/>
      <c r="Z9" s="4077"/>
      <c r="AA9" s="3927"/>
      <c r="AB9" s="3927"/>
      <c r="AC9" s="4110"/>
      <c r="AD9" s="4028"/>
      <c r="AE9" s="4111"/>
      <c r="AF9" s="3927"/>
      <c r="AG9" s="4110"/>
      <c r="AH9" s="4028"/>
      <c r="AI9" s="4111"/>
      <c r="AJ9" s="3927"/>
      <c r="AK9" s="239"/>
      <c r="AL9" s="350"/>
      <c r="AM9" s="349" t="s">
        <v>455</v>
      </c>
      <c r="AN9" s="1309"/>
      <c r="AO9" s="1406"/>
      <c r="AP9" s="1309"/>
      <c r="AQ9" s="1309"/>
      <c r="AR9" s="1309"/>
      <c r="AS9" s="1309"/>
      <c r="AT9" s="1306"/>
      <c r="AU9" s="4070"/>
      <c r="AW9" s="426"/>
      <c r="AX9" s="426"/>
      <c r="AY9" s="426"/>
      <c r="AZ9" s="426"/>
    </row>
    <row r="10" spans="1:52" ht="11.25" hidden="1" customHeight="1">
      <c r="A10" s="1279"/>
      <c r="B10" s="1279"/>
      <c r="C10" s="1279"/>
      <c r="D10" s="1279"/>
      <c r="E10" s="4075"/>
      <c r="F10" s="4075"/>
      <c r="G10" s="4075"/>
      <c r="H10" s="4075"/>
      <c r="I10" s="4095"/>
      <c r="J10" s="4095"/>
      <c r="K10" s="4072"/>
      <c r="L10" s="1280"/>
      <c r="P10" s="4073"/>
      <c r="Q10" s="4073"/>
      <c r="R10" s="4130"/>
      <c r="S10" s="4125"/>
      <c r="T10" s="4128"/>
      <c r="U10" s="219"/>
      <c r="V10" s="1309"/>
      <c r="W10" s="1313"/>
      <c r="X10" s="4077"/>
      <c r="Y10" s="3927"/>
      <c r="Z10" s="4077"/>
      <c r="AA10" s="3927"/>
      <c r="AB10" s="3927"/>
      <c r="AC10" s="4110"/>
      <c r="AD10" s="4028"/>
      <c r="AE10" s="4111"/>
      <c r="AF10" s="3927"/>
      <c r="AG10" s="213"/>
      <c r="AH10" s="349"/>
      <c r="AI10" s="349" t="s">
        <v>456</v>
      </c>
      <c r="AJ10" s="1309"/>
      <c r="AK10" s="1309"/>
      <c r="AL10" s="1309"/>
      <c r="AM10" s="1309"/>
      <c r="AN10" s="1309"/>
      <c r="AO10" s="1406"/>
      <c r="AP10" s="1309"/>
      <c r="AQ10" s="1309"/>
      <c r="AR10" s="1309"/>
      <c r="AS10" s="1309"/>
      <c r="AT10" s="1306"/>
      <c r="AU10" s="4070"/>
      <c r="AW10" s="426"/>
      <c r="AX10" s="426"/>
      <c r="AY10" s="426"/>
      <c r="AZ10" s="426"/>
    </row>
    <row r="11" spans="1:52" ht="11.25" hidden="1" customHeight="1">
      <c r="A11" s="1279"/>
      <c r="B11" s="1279"/>
      <c r="C11" s="1279"/>
      <c r="D11" s="1279"/>
      <c r="E11" s="4075"/>
      <c r="F11" s="4075"/>
      <c r="G11" s="4075"/>
      <c r="H11" s="4075"/>
      <c r="I11" s="4095"/>
      <c r="J11" s="4095"/>
      <c r="K11" s="4072"/>
      <c r="L11" s="1280"/>
      <c r="P11" s="4073"/>
      <c r="Q11" s="4073"/>
      <c r="R11" s="4130"/>
      <c r="S11" s="4126"/>
      <c r="T11" s="4129"/>
      <c r="U11" s="219"/>
      <c r="V11" s="1309"/>
      <c r="W11" s="1312" t="str">
        <f>X8&amp;"-"&amp;Z8</f>
        <v>-</v>
      </c>
      <c r="X11" s="4078"/>
      <c r="Y11" s="3927"/>
      <c r="Z11" s="4078"/>
      <c r="AA11" s="3927"/>
      <c r="AB11" s="3927"/>
      <c r="AC11" s="233"/>
      <c r="AD11" s="235"/>
      <c r="AE11" s="349" t="s">
        <v>457</v>
      </c>
      <c r="AF11" s="1309"/>
      <c r="AG11" s="1309"/>
      <c r="AH11" s="1309"/>
      <c r="AI11" s="1309"/>
      <c r="AJ11" s="1309"/>
      <c r="AK11" s="1309"/>
      <c r="AL11" s="1309"/>
      <c r="AM11" s="1309"/>
      <c r="AN11" s="1309"/>
      <c r="AO11" s="1310" t="str">
        <f>AP8&amp;"-"&amp;AR8</f>
        <v>-</v>
      </c>
      <c r="AP11" s="1309"/>
      <c r="AQ11" s="1309"/>
      <c r="AR11" s="1309"/>
      <c r="AS11" s="1309"/>
      <c r="AT11" s="1266"/>
      <c r="AU11" s="4070"/>
      <c r="AW11" s="426"/>
      <c r="AX11" s="426" t="str">
        <f t="shared" ref="AX11:AX17" si="1">IF(T11="","",T11)</f>
        <v/>
      </c>
      <c r="AY11" s="426"/>
      <c r="AZ11" s="426"/>
    </row>
    <row r="12" spans="1:52" ht="11.25" hidden="1" customHeight="1">
      <c r="A12" s="1279"/>
      <c r="B12" s="1279"/>
      <c r="C12" s="1279"/>
      <c r="D12" s="1279"/>
      <c r="E12" s="4075"/>
      <c r="F12" s="4075"/>
      <c r="G12" s="4075"/>
      <c r="H12" s="4075"/>
      <c r="I12" s="4095"/>
      <c r="J12" s="4072"/>
      <c r="K12" s="1279"/>
      <c r="L12" s="1280"/>
      <c r="P12" s="4073"/>
      <c r="Q12" s="4073"/>
      <c r="R12" s="281"/>
      <c r="S12" s="1198"/>
      <c r="T12" s="206" t="s">
        <v>458</v>
      </c>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50"/>
      <c r="AU12" s="4071"/>
      <c r="AW12" s="426"/>
      <c r="AX12" s="426" t="str">
        <f t="shared" si="1"/>
        <v>Добавить строку</v>
      </c>
      <c r="AY12" s="426"/>
      <c r="AZ12" s="426"/>
    </row>
    <row r="13" spans="1:52" s="1821" customFormat="1" ht="14.25" hidden="1" customHeight="1">
      <c r="A13" s="1260"/>
      <c r="B13" s="1260"/>
      <c r="C13" s="1260"/>
      <c r="D13" s="1260"/>
      <c r="E13" s="4075"/>
      <c r="F13" s="4075"/>
      <c r="G13" s="4075"/>
      <c r="H13" s="4075"/>
      <c r="I13" s="4072"/>
      <c r="J13" s="1260"/>
      <c r="K13" s="1260"/>
      <c r="L13" s="1263"/>
      <c r="M13" s="436"/>
      <c r="N13" s="436"/>
      <c r="O13" s="436"/>
      <c r="P13" s="4073"/>
      <c r="Q13" s="1248"/>
      <c r="R13" s="281"/>
      <c r="S13" s="1302"/>
      <c r="T13" s="1303"/>
      <c r="U13" s="1304"/>
      <c r="V13" s="1304"/>
      <c r="W13" s="1304"/>
      <c r="X13" s="1304"/>
      <c r="Y13" s="1304"/>
      <c r="Z13" s="1304"/>
      <c r="AA13" s="1304"/>
      <c r="AB13" s="1304"/>
      <c r="AC13" s="1304"/>
      <c r="AD13" s="1304"/>
      <c r="AE13" s="1304"/>
      <c r="AF13" s="1304"/>
      <c r="AG13" s="1304"/>
      <c r="AH13" s="1304"/>
      <c r="AI13" s="1304"/>
      <c r="AJ13" s="1304"/>
      <c r="AK13" s="1304"/>
      <c r="AL13" s="1304"/>
      <c r="AM13" s="1304"/>
      <c r="AN13" s="1304"/>
      <c r="AO13" s="1304"/>
      <c r="AP13" s="1304"/>
      <c r="AQ13" s="1304"/>
      <c r="AR13" s="1304"/>
      <c r="AS13" s="1304"/>
      <c r="AT13" s="1304"/>
      <c r="AU13" s="1305"/>
      <c r="AW13" s="426"/>
      <c r="AX13" s="426" t="str">
        <f t="shared" si="1"/>
        <v/>
      </c>
      <c r="AY13" s="426"/>
      <c r="AZ13" s="426"/>
    </row>
    <row r="14" spans="1:52" s="1821" customFormat="1" ht="14.25" hidden="1" customHeight="1">
      <c r="A14" s="1260"/>
      <c r="B14" s="1260"/>
      <c r="C14" s="1260"/>
      <c r="D14" s="1260"/>
      <c r="E14" s="4075"/>
      <c r="F14" s="4075"/>
      <c r="G14" s="4075"/>
      <c r="H14" s="4074"/>
      <c r="I14" s="1260"/>
      <c r="J14" s="1260"/>
      <c r="K14" s="1260"/>
      <c r="L14" s="1263"/>
      <c r="M14" s="1233"/>
      <c r="N14" s="1233"/>
      <c r="O14" s="444"/>
      <c r="P14" s="313"/>
      <c r="Q14" s="1261"/>
      <c r="R14" s="1317"/>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5"/>
      <c r="AW14" s="426"/>
      <c r="AX14" s="426" t="str">
        <f t="shared" si="1"/>
        <v/>
      </c>
      <c r="AY14" s="426"/>
      <c r="AZ14" s="426"/>
    </row>
    <row r="15" spans="1:52" s="2550" customFormat="1" ht="14.25" hidden="1" customHeight="1">
      <c r="A15" s="1260"/>
      <c r="B15" s="1260"/>
      <c r="C15" s="1260"/>
      <c r="D15" s="1232"/>
      <c r="E15" s="4075"/>
      <c r="F15" s="4075"/>
      <c r="G15" s="4074"/>
      <c r="H15" s="1232"/>
      <c r="I15" s="1232"/>
      <c r="J15" s="1232"/>
      <c r="K15" s="1232"/>
      <c r="L15" s="1256"/>
      <c r="M15" s="1233"/>
      <c r="N15" s="1233"/>
      <c r="P15" s="1234"/>
      <c r="Q15" s="1235"/>
      <c r="R15" s="1234"/>
      <c r="S15" s="1240"/>
      <c r="T15" s="1243" t="s">
        <v>166</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06"/>
      <c r="AX15" s="706" t="str">
        <f t="shared" si="1"/>
        <v>Добавить источник для дифференциации</v>
      </c>
      <c r="AY15" s="706"/>
      <c r="AZ15" s="706"/>
    </row>
    <row r="16" spans="1:52" s="2550" customFormat="1" ht="14.25" hidden="1" customHeight="1">
      <c r="A16" s="1260"/>
      <c r="B16" s="1260"/>
      <c r="C16" s="1232"/>
      <c r="D16" s="1232"/>
      <c r="E16" s="4075"/>
      <c r="F16" s="4074"/>
      <c r="G16" s="1232"/>
      <c r="H16" s="1232"/>
      <c r="I16" s="1232"/>
      <c r="J16" s="1232"/>
      <c r="K16" s="1232"/>
      <c r="L16" s="1256"/>
      <c r="M16" s="1239"/>
      <c r="N16" s="1239"/>
      <c r="P16" s="1234"/>
      <c r="Q16" s="1235"/>
      <c r="R16" s="1234"/>
      <c r="S16" s="1240"/>
      <c r="T16" s="1243" t="s">
        <v>167</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06"/>
      <c r="AX16" s="706" t="str">
        <f t="shared" si="1"/>
        <v>Добавить централизованную систему для дифференциации</v>
      </c>
      <c r="AY16" s="706"/>
      <c r="AZ16" s="706"/>
    </row>
    <row r="17" spans="1:52" s="1821" customFormat="1" ht="14.25" hidden="1" customHeight="1">
      <c r="A17" s="1260"/>
      <c r="B17" s="1260"/>
      <c r="C17" s="1260"/>
      <c r="D17" s="1260"/>
      <c r="E17" s="4074"/>
      <c r="F17" s="1260"/>
      <c r="G17" s="1260"/>
      <c r="H17" s="1260"/>
      <c r="I17" s="1260"/>
      <c r="J17" s="1260"/>
      <c r="K17" s="1260"/>
      <c r="L17" s="1263"/>
      <c r="M17" s="1239"/>
      <c r="N17" s="1239"/>
      <c r="O17" s="444"/>
      <c r="P17" s="313"/>
      <c r="Q17" s="1261"/>
      <c r="R17" s="313"/>
      <c r="S17" s="1240"/>
      <c r="T17" s="1243" t="s">
        <v>168</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26"/>
      <c r="AX17" s="426" t="str">
        <f t="shared" si="1"/>
        <v>Добавить территорию для дифференциации</v>
      </c>
      <c r="AY17" s="426"/>
      <c r="AZ17" s="426"/>
    </row>
    <row r="18" spans="1:52" ht="14.25" hidden="1" customHeight="1">
      <c r="AA18" s="254"/>
      <c r="AS18" s="254"/>
    </row>
    <row r="19" spans="1:52" ht="14.25" hidden="1" customHeight="1">
      <c r="AB19" s="1242" t="s">
        <v>55</v>
      </c>
      <c r="AC19" s="1411"/>
      <c r="AD19" s="473">
        <v>1</v>
      </c>
      <c r="AE19" s="1412"/>
      <c r="AF19" s="1242" t="s">
        <v>55</v>
      </c>
      <c r="AG19" s="1411"/>
      <c r="AH19" s="473">
        <v>1</v>
      </c>
      <c r="AI19" s="1412"/>
      <c r="AJ19" s="1242" t="s">
        <v>55</v>
      </c>
      <c r="AK19" s="1413"/>
      <c r="AL19" s="473">
        <v>1</v>
      </c>
      <c r="AM19" s="1416"/>
      <c r="AN19" s="1319"/>
      <c r="AO19" s="1320"/>
      <c r="AP19" s="1646"/>
      <c r="AQ19" s="1373" t="s">
        <v>65</v>
      </c>
      <c r="AR19" s="1646"/>
      <c r="AS19" s="1373" t="s">
        <v>65</v>
      </c>
    </row>
    <row r="20" spans="1:52" ht="14.25" hidden="1" customHeight="1">
      <c r="AV20" s="422"/>
      <c r="AW20" s="422"/>
      <c r="AX20" s="422"/>
      <c r="AY20" s="422"/>
      <c r="AZ20" s="422"/>
    </row>
    <row r="21" spans="1:52" ht="14.25" hidden="1" customHeight="1">
      <c r="O21" s="1283" t="s">
        <v>406</v>
      </c>
      <c r="X21" s="1262"/>
      <c r="Z21" s="1262"/>
      <c r="AA21" s="254"/>
      <c r="AP21" s="1262"/>
      <c r="AR21" s="1262"/>
      <c r="AS21" s="254"/>
      <c r="AV21" s="422"/>
      <c r="AW21" s="422"/>
      <c r="AX21" s="422"/>
      <c r="AY21" s="422"/>
      <c r="AZ21" s="422"/>
    </row>
    <row r="22" spans="1:52" ht="14.25" hidden="1" customHeight="1">
      <c r="AA22" s="254"/>
      <c r="AS22" s="254"/>
      <c r="AV22" s="422"/>
      <c r="AW22" s="422"/>
      <c r="AX22" s="422"/>
      <c r="AY22" s="422"/>
      <c r="AZ22" s="422"/>
    </row>
    <row r="23" spans="1:52" s="3802" customFormat="1" ht="14.25" hidden="1" customHeight="1">
      <c r="M23" s="1418"/>
      <c r="N23" s="1418"/>
      <c r="O23" s="1419" t="s">
        <v>407</v>
      </c>
      <c r="P23" s="1418"/>
      <c r="Q23" s="1420"/>
      <c r="R23" s="1420"/>
      <c r="Y23" s="1417" t="s">
        <v>409</v>
      </c>
      <c r="AA23" s="1417" t="s">
        <v>410</v>
      </c>
      <c r="AB23" s="1417" t="s">
        <v>459</v>
      </c>
      <c r="AE23" s="1417" t="s">
        <v>460</v>
      </c>
      <c r="AF23" s="1417" t="s">
        <v>459</v>
      </c>
      <c r="AI23" s="1417" t="s">
        <v>461</v>
      </c>
      <c r="AJ23" s="1417" t="s">
        <v>459</v>
      </c>
      <c r="AM23" s="1417" t="s">
        <v>462</v>
      </c>
      <c r="AQ23" s="1417" t="s">
        <v>409</v>
      </c>
      <c r="AS23" s="1417" t="s">
        <v>410</v>
      </c>
      <c r="AV23" s="1421"/>
      <c r="AW23" s="1421"/>
      <c r="AX23" s="1421"/>
      <c r="AY23" s="1421"/>
      <c r="AZ23" s="1421"/>
    </row>
    <row r="24" spans="1:52" ht="14.25" hidden="1" customHeight="1">
      <c r="O24" s="1280"/>
      <c r="AV24" s="422"/>
      <c r="AW24" s="422"/>
      <c r="AX24" s="422"/>
      <c r="AY24" s="422"/>
      <c r="AZ24" s="422"/>
    </row>
    <row r="25" spans="1:52" ht="14.25" hidden="1" customHeight="1">
      <c r="O25" s="1280"/>
      <c r="AV25" s="422"/>
      <c r="AW25" s="422"/>
      <c r="AX25" s="422"/>
      <c r="AY25" s="422"/>
      <c r="AZ25" s="422"/>
    </row>
    <row r="26" spans="1:52" ht="14.25" customHeight="1">
      <c r="Q26" s="210"/>
      <c r="R26" s="305"/>
      <c r="S26" s="1195"/>
      <c r="T26" s="290"/>
      <c r="U26" s="290"/>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row>
    <row r="27" spans="1:52" ht="26.25" customHeight="1">
      <c r="Q27" s="210"/>
      <c r="R27" s="305"/>
      <c r="S27" s="405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4058"/>
      <c r="U27" s="4058"/>
      <c r="V27" s="4058"/>
      <c r="W27" s="4058"/>
      <c r="X27" s="4058"/>
      <c r="Y27" s="4058"/>
      <c r="Z27" s="4058"/>
      <c r="AA27" s="4058"/>
      <c r="AB27" s="4058"/>
      <c r="AC27" s="4058"/>
      <c r="AD27" s="4058"/>
      <c r="AE27" s="4058"/>
      <c r="AF27" s="4058"/>
      <c r="AG27" s="4058"/>
      <c r="AH27" s="4058"/>
      <c r="AI27" s="4058"/>
      <c r="AJ27" s="4058"/>
      <c r="AK27" s="4058"/>
      <c r="AL27" s="4058"/>
      <c r="AM27" s="4058"/>
      <c r="AN27" s="4058"/>
      <c r="AO27" s="4058"/>
      <c r="AP27" s="4058"/>
      <c r="AQ27" s="4058"/>
      <c r="AR27" s="4058"/>
      <c r="AS27" s="1152"/>
    </row>
    <row r="28" spans="1:52" ht="14.25" customHeight="1">
      <c r="Q28" s="210"/>
      <c r="R28" s="305"/>
      <c r="S28" s="4004" t="str">
        <f>IF(org=0,"Не определено",org)</f>
        <v>ООО «РИР-Сахалин»</v>
      </c>
      <c r="T28" s="4004"/>
      <c r="U28" s="4004"/>
      <c r="V28" s="4004"/>
      <c r="W28" s="4004"/>
      <c r="X28" s="4004"/>
      <c r="Y28" s="4004"/>
      <c r="Z28" s="4004"/>
      <c r="AA28" s="4004"/>
      <c r="AB28" s="4004"/>
      <c r="AC28" s="4004"/>
      <c r="AD28" s="4004"/>
      <c r="AE28" s="4004"/>
      <c r="AF28" s="4004"/>
      <c r="AG28" s="4004"/>
      <c r="AH28" s="4004"/>
      <c r="AI28" s="4004"/>
      <c r="AJ28" s="4004"/>
      <c r="AK28" s="4004"/>
      <c r="AL28" s="4004"/>
      <c r="AM28" s="4004"/>
      <c r="AN28" s="4004"/>
      <c r="AO28" s="4004"/>
      <c r="AP28" s="4004"/>
      <c r="AQ28" s="4004"/>
      <c r="AR28" s="4004"/>
      <c r="AS28" s="1152"/>
    </row>
    <row r="29" spans="1:52" ht="14.25" hidden="1" customHeight="1">
      <c r="Q29" s="210"/>
      <c r="R29" s="305"/>
      <c r="S29" s="1195"/>
      <c r="T29" s="290"/>
      <c r="U29" s="290"/>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5"/>
    </row>
    <row r="30" spans="1:52" s="2564" customFormat="1" ht="25.5" hidden="1" customHeight="1">
      <c r="A30" s="1284"/>
      <c r="B30" s="1284"/>
      <c r="C30" s="1284"/>
      <c r="D30" s="1284"/>
      <c r="E30" s="1284"/>
      <c r="F30" s="1284"/>
      <c r="G30" s="1284"/>
      <c r="H30" s="1284"/>
      <c r="I30" s="1284"/>
      <c r="J30" s="1284"/>
      <c r="K30" s="1284"/>
      <c r="L30" s="1285"/>
      <c r="M30" s="1284"/>
      <c r="N30" s="1284"/>
      <c r="O30" s="1284"/>
      <c r="P30" s="1284"/>
      <c r="Q30" s="1284"/>
      <c r="S30" s="4066" t="s">
        <v>38</v>
      </c>
      <c r="T30" s="4066"/>
      <c r="U30" s="1288"/>
      <c r="V30" s="4067" t="str">
        <f>IF(TITLE_NAME_OR_PR_CHANGE="",IF(TITLE_NAME_OR_PR="","",TITLE_NAME_OR_PR),TITLE_NAME_OR_PR_CHANGE)</f>
        <v/>
      </c>
      <c r="W30" s="4067"/>
      <c r="X30" s="4067"/>
      <c r="Y30" s="4067"/>
      <c r="Z30" s="4067"/>
      <c r="AA30" s="253"/>
      <c r="AB30" s="4067" t="str">
        <f>IF(TITLE_NAME_OR_PR_CHANGE="",IF(TITLE_NAME_OR_PR="","",TITLE_NAME_OR_PR),TITLE_NAME_OR_PR_CHANGE)</f>
        <v/>
      </c>
      <c r="AC30" s="4067"/>
      <c r="AD30" s="4067"/>
      <c r="AE30" s="4067"/>
      <c r="AF30" s="4067"/>
      <c r="AG30" s="4067"/>
      <c r="AH30" s="4067"/>
      <c r="AI30" s="4067"/>
      <c r="AJ30" s="4067"/>
      <c r="AK30" s="4067"/>
      <c r="AL30" s="4067"/>
      <c r="AM30" s="4067"/>
      <c r="AN30" s="4067"/>
      <c r="AO30" s="4067"/>
      <c r="AP30" s="4067"/>
      <c r="AQ30" s="4067"/>
      <c r="AR30" s="4067"/>
      <c r="AS30" s="253"/>
      <c r="AT30" s="253"/>
      <c r="AU30" s="200"/>
      <c r="AV30" s="296"/>
      <c r="AW30" s="296"/>
      <c r="AX30" s="296"/>
      <c r="AY30" s="296"/>
      <c r="AZ30" s="296"/>
    </row>
    <row r="31" spans="1:52" s="2564" customFormat="1" ht="18.75" hidden="1" customHeight="1">
      <c r="A31" s="1284"/>
      <c r="B31" s="1284"/>
      <c r="C31" s="1284"/>
      <c r="D31" s="1284"/>
      <c r="E31" s="1284"/>
      <c r="F31" s="1284"/>
      <c r="G31" s="1284"/>
      <c r="H31" s="1284"/>
      <c r="I31" s="1284"/>
      <c r="J31" s="1284"/>
      <c r="K31" s="1284"/>
      <c r="L31" s="1285"/>
      <c r="M31" s="1284"/>
      <c r="N31" s="1284"/>
      <c r="O31" s="1284"/>
      <c r="P31" s="1284"/>
      <c r="Q31" s="1284"/>
      <c r="S31" s="4066" t="s">
        <v>412</v>
      </c>
      <c r="T31" s="4066"/>
      <c r="U31" s="1288"/>
      <c r="V31" s="4076">
        <f>IF(TITLE_DATE_PR_CHANGE="",IF(TITLE_DATE_PR="","",TITLE_DATE_PR),TITLE_DATE_PR_CHANGE)</f>
        <v>45289.465104166666</v>
      </c>
      <c r="W31" s="4076"/>
      <c r="X31" s="4076"/>
      <c r="Y31" s="4076"/>
      <c r="Z31" s="4076"/>
      <c r="AA31" s="253"/>
      <c r="AB31" s="4076">
        <f>IF(TITLE_DATE_PR_CHANGE="",IF(TITLE_DATE_PR="","",TITLE_DATE_PR),TITLE_DATE_PR_CHANGE)</f>
        <v>45289.465104166666</v>
      </c>
      <c r="AC31" s="4076"/>
      <c r="AD31" s="4076"/>
      <c r="AE31" s="4076"/>
      <c r="AF31" s="4076"/>
      <c r="AG31" s="4076"/>
      <c r="AH31" s="4076"/>
      <c r="AI31" s="4076"/>
      <c r="AJ31" s="4076"/>
      <c r="AK31" s="4076"/>
      <c r="AL31" s="4076"/>
      <c r="AM31" s="4076"/>
      <c r="AN31" s="4076"/>
      <c r="AO31" s="4076"/>
      <c r="AP31" s="4076"/>
      <c r="AQ31" s="4076"/>
      <c r="AR31" s="4076"/>
      <c r="AS31" s="253"/>
      <c r="AT31" s="253"/>
      <c r="AU31" s="200"/>
      <c r="AV31" s="296"/>
      <c r="AW31" s="296"/>
      <c r="AX31" s="296"/>
      <c r="AY31" s="296"/>
      <c r="AZ31" s="296"/>
    </row>
    <row r="32" spans="1:52" s="2564" customFormat="1" ht="18.75" hidden="1" customHeight="1">
      <c r="A32" s="1284"/>
      <c r="B32" s="1284"/>
      <c r="C32" s="1284"/>
      <c r="D32" s="1284"/>
      <c r="E32" s="1284"/>
      <c r="F32" s="1284"/>
      <c r="G32" s="1284"/>
      <c r="H32" s="1284"/>
      <c r="I32" s="1284"/>
      <c r="J32" s="1284"/>
      <c r="K32" s="1284"/>
      <c r="L32" s="1285"/>
      <c r="M32" s="1284"/>
      <c r="N32" s="1284"/>
      <c r="O32" s="1284"/>
      <c r="P32" s="1284"/>
      <c r="Q32" s="1284"/>
      <c r="S32" s="4066" t="s">
        <v>413</v>
      </c>
      <c r="T32" s="4066"/>
      <c r="U32" s="1288"/>
      <c r="V32" s="4067" t="str">
        <f>IF(TITLE_NUMBER_PR_CHANGE="",IF(TITLE_NUMBER_PR="","",TITLE_NUMBER_PR),TITLE_NUMBER_PR_CHANGE)</f>
        <v>761-1/201-1</v>
      </c>
      <c r="W32" s="4067"/>
      <c r="X32" s="4067"/>
      <c r="Y32" s="4067"/>
      <c r="Z32" s="4067"/>
      <c r="AA32" s="253"/>
      <c r="AB32" s="4067" t="str">
        <f>IF(TITLE_NUMBER_PR_CHANGE="",IF(TITLE_NUMBER_PR="","",TITLE_NUMBER_PR),TITLE_NUMBER_PR_CHANGE)</f>
        <v>761-1/201-1</v>
      </c>
      <c r="AC32" s="4067"/>
      <c r="AD32" s="4067"/>
      <c r="AE32" s="4067"/>
      <c r="AF32" s="4067"/>
      <c r="AG32" s="4067"/>
      <c r="AH32" s="4067"/>
      <c r="AI32" s="4067"/>
      <c r="AJ32" s="4067"/>
      <c r="AK32" s="4067"/>
      <c r="AL32" s="4067"/>
      <c r="AM32" s="4067"/>
      <c r="AN32" s="4067"/>
      <c r="AO32" s="4067"/>
      <c r="AP32" s="4067"/>
      <c r="AQ32" s="4067"/>
      <c r="AR32" s="4067"/>
      <c r="AS32" s="253"/>
      <c r="AT32" s="253"/>
      <c r="AU32" s="200"/>
      <c r="AV32" s="296"/>
      <c r="AW32" s="296"/>
      <c r="AX32" s="296"/>
      <c r="AY32" s="296"/>
      <c r="AZ32" s="296"/>
    </row>
    <row r="33" spans="1:52" s="2564" customFormat="1" ht="18.75" hidden="1" customHeight="1">
      <c r="A33" s="1284"/>
      <c r="B33" s="1284"/>
      <c r="C33" s="1284"/>
      <c r="D33" s="1284"/>
      <c r="E33" s="1284"/>
      <c r="F33" s="1284"/>
      <c r="G33" s="1284"/>
      <c r="H33" s="1284"/>
      <c r="I33" s="1284"/>
      <c r="J33" s="1284"/>
      <c r="K33" s="1284"/>
      <c r="L33" s="1285"/>
      <c r="M33" s="1284"/>
      <c r="N33" s="1284"/>
      <c r="O33" s="1284"/>
      <c r="P33" s="1284"/>
      <c r="Q33" s="1284"/>
      <c r="S33" s="4066" t="s">
        <v>39</v>
      </c>
      <c r="T33" s="4066"/>
      <c r="U33" s="1288"/>
      <c r="V33" s="4067" t="str">
        <f>IF(TITLE_IST_PUB_CHANGE="",IF(TITLE_IST_PUB="","",TITLE_IST_PUB),TITLE_IST_PUB_CHANGE)</f>
        <v/>
      </c>
      <c r="W33" s="4067"/>
      <c r="X33" s="4067"/>
      <c r="Y33" s="4067"/>
      <c r="Z33" s="4067"/>
      <c r="AA33" s="253"/>
      <c r="AB33" s="4067" t="str">
        <f>IF(TITLE_IST_PUB_CHANGE="",IF(TITLE_IST_PUB="","",TITLE_IST_PUB),TITLE_IST_PUB_CHANGE)</f>
        <v/>
      </c>
      <c r="AC33" s="4067"/>
      <c r="AD33" s="4067"/>
      <c r="AE33" s="4067"/>
      <c r="AF33" s="4067"/>
      <c r="AG33" s="4067"/>
      <c r="AH33" s="4067"/>
      <c r="AI33" s="4067"/>
      <c r="AJ33" s="4067"/>
      <c r="AK33" s="4067"/>
      <c r="AL33" s="4067"/>
      <c r="AM33" s="4067"/>
      <c r="AN33" s="4067"/>
      <c r="AO33" s="4067"/>
      <c r="AP33" s="4067"/>
      <c r="AQ33" s="4067"/>
      <c r="AR33" s="4067"/>
      <c r="AS33" s="253"/>
      <c r="AT33" s="253"/>
      <c r="AU33" s="200"/>
      <c r="AV33" s="296"/>
      <c r="AW33" s="296"/>
      <c r="AX33" s="296"/>
      <c r="AY33" s="296"/>
      <c r="AZ33" s="296"/>
    </row>
    <row r="34" spans="1:52" ht="14.25" customHeight="1">
      <c r="Q34" s="210"/>
      <c r="R34" s="305"/>
      <c r="S34" s="1195"/>
      <c r="T34" s="290"/>
      <c r="U34" s="290"/>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5"/>
    </row>
    <row r="35" spans="1:52" s="2564" customFormat="1" ht="18.75" customHeight="1">
      <c r="A35" s="1284"/>
      <c r="B35" s="1284"/>
      <c r="C35" s="1284"/>
      <c r="D35" s="1284"/>
      <c r="E35" s="1284"/>
      <c r="F35" s="1284"/>
      <c r="G35" s="1284"/>
      <c r="H35" s="1284"/>
      <c r="I35" s="1284"/>
      <c r="J35" s="1284"/>
      <c r="K35" s="1284"/>
      <c r="L35" s="1285"/>
      <c r="M35" s="1284"/>
      <c r="N35" s="1284"/>
      <c r="O35" s="1284"/>
      <c r="P35" s="1284"/>
      <c r="Q35" s="1284"/>
      <c r="S35" s="4066" t="s">
        <v>412</v>
      </c>
      <c r="T35" s="4066"/>
      <c r="U35" s="1288"/>
      <c r="V35" s="4076">
        <f>IF(TITLE_DATE_PR_CHANGE="",IF(TITLE_DATE_PR="","",TITLE_DATE_PR),TITLE_DATE_PR_CHANGE)</f>
        <v>45289.465104166666</v>
      </c>
      <c r="W35" s="4076"/>
      <c r="X35" s="4076"/>
      <c r="Y35" s="4076"/>
      <c r="Z35" s="4076"/>
      <c r="AA35" s="253"/>
      <c r="AB35" s="4076">
        <f>IF(TITLE_DATE_PR_CHANGE="",IF(TITLE_DATE_PR="","",TITLE_DATE_PR),TITLE_DATE_PR_CHANGE)</f>
        <v>45289.465104166666</v>
      </c>
      <c r="AC35" s="4076"/>
      <c r="AD35" s="4076"/>
      <c r="AE35" s="4076"/>
      <c r="AF35" s="4076"/>
      <c r="AG35" s="4076"/>
      <c r="AH35" s="4076"/>
      <c r="AI35" s="4076"/>
      <c r="AJ35" s="4076"/>
      <c r="AK35" s="4076"/>
      <c r="AL35" s="4076"/>
      <c r="AM35" s="4076"/>
      <c r="AN35" s="4076"/>
      <c r="AO35" s="4076"/>
      <c r="AP35" s="4076"/>
      <c r="AQ35" s="4076"/>
      <c r="AR35" s="4076"/>
      <c r="AS35" s="253"/>
      <c r="AT35" s="253"/>
      <c r="AU35" s="200"/>
      <c r="AV35" s="296"/>
      <c r="AW35" s="296"/>
      <c r="AX35" s="296"/>
      <c r="AY35" s="296"/>
      <c r="AZ35" s="296"/>
    </row>
    <row r="36" spans="1:52" s="2564" customFormat="1" ht="18" customHeight="1">
      <c r="A36" s="1284"/>
      <c r="B36" s="1284"/>
      <c r="C36" s="1284"/>
      <c r="D36" s="1284"/>
      <c r="E36" s="1284"/>
      <c r="F36" s="1284"/>
      <c r="G36" s="1284"/>
      <c r="H36" s="1284"/>
      <c r="I36" s="1284"/>
      <c r="J36" s="1284"/>
      <c r="K36" s="1284"/>
      <c r="L36" s="1285"/>
      <c r="M36" s="1284"/>
      <c r="N36" s="1284"/>
      <c r="O36" s="1284"/>
      <c r="P36" s="1284"/>
      <c r="Q36" s="1284"/>
      <c r="S36" s="4066" t="s">
        <v>413</v>
      </c>
      <c r="T36" s="4066"/>
      <c r="U36" s="1288"/>
      <c r="V36" s="4067" t="str">
        <f>IF(TITLE_NUMBER_PR_CHANGE="",IF(TITLE_NUMBER_PR="","",TITLE_NUMBER_PR),TITLE_NUMBER_PR_CHANGE)</f>
        <v>761-1/201-1</v>
      </c>
      <c r="W36" s="4067"/>
      <c r="X36" s="4067"/>
      <c r="Y36" s="4067"/>
      <c r="Z36" s="4067"/>
      <c r="AA36" s="253"/>
      <c r="AB36" s="4067" t="str">
        <f>IF(TITLE_NUMBER_PR_CHANGE="",IF(TITLE_NUMBER_PR="","",TITLE_NUMBER_PR),TITLE_NUMBER_PR_CHANGE)</f>
        <v>761-1/201-1</v>
      </c>
      <c r="AC36" s="4067"/>
      <c r="AD36" s="4067"/>
      <c r="AE36" s="4067"/>
      <c r="AF36" s="4067"/>
      <c r="AG36" s="4067"/>
      <c r="AH36" s="4067"/>
      <c r="AI36" s="4067"/>
      <c r="AJ36" s="4067"/>
      <c r="AK36" s="4067"/>
      <c r="AL36" s="4067"/>
      <c r="AM36" s="4067"/>
      <c r="AN36" s="4067"/>
      <c r="AO36" s="4067"/>
      <c r="AP36" s="4067"/>
      <c r="AQ36" s="4067"/>
      <c r="AR36" s="4067"/>
      <c r="AS36" s="253"/>
      <c r="AT36" s="253"/>
      <c r="AU36" s="200"/>
      <c r="AV36" s="296"/>
      <c r="AW36" s="296"/>
      <c r="AX36" s="296"/>
      <c r="AY36" s="296"/>
      <c r="AZ36" s="296"/>
    </row>
    <row r="37" spans="1:52" s="2564" customFormat="1" ht="0.75" customHeight="1">
      <c r="A37" s="1284"/>
      <c r="B37" s="1284"/>
      <c r="C37" s="1284"/>
      <c r="D37" s="1284"/>
      <c r="E37" s="1284"/>
      <c r="F37" s="1284"/>
      <c r="G37" s="1284"/>
      <c r="H37" s="1284"/>
      <c r="I37" s="1284"/>
      <c r="J37" s="1284"/>
      <c r="K37" s="1284"/>
      <c r="L37" s="1285"/>
      <c r="M37" s="1284"/>
      <c r="N37" s="1284"/>
      <c r="O37" s="1284"/>
      <c r="P37" s="1284"/>
      <c r="Q37" s="1284"/>
      <c r="S37" s="249"/>
      <c r="T37" s="249"/>
      <c r="U37" s="1257"/>
      <c r="V37" s="253"/>
      <c r="W37" s="253"/>
      <c r="X37" s="253"/>
      <c r="Y37" s="253"/>
      <c r="Z37" s="253"/>
      <c r="AA37" s="198" t="s">
        <v>416</v>
      </c>
      <c r="AB37" s="253"/>
      <c r="AC37" s="253"/>
      <c r="AD37" s="253"/>
      <c r="AE37" s="253"/>
      <c r="AF37" s="253"/>
      <c r="AG37" s="253"/>
      <c r="AH37" s="253"/>
      <c r="AI37" s="253"/>
      <c r="AJ37" s="253"/>
      <c r="AK37" s="253"/>
      <c r="AL37" s="253"/>
      <c r="AM37" s="253"/>
      <c r="AN37" s="253"/>
      <c r="AO37" s="253"/>
      <c r="AP37" s="253"/>
      <c r="AQ37" s="253"/>
      <c r="AR37" s="253"/>
      <c r="AS37" s="198" t="s">
        <v>416</v>
      </c>
      <c r="AV37" s="296"/>
      <c r="AW37" s="296"/>
      <c r="AX37" s="296"/>
      <c r="AY37" s="296"/>
      <c r="AZ37" s="296"/>
    </row>
    <row r="38" spans="1:52" ht="14.25" customHeight="1">
      <c r="Q38" s="210"/>
      <c r="R38" s="305"/>
      <c r="S38" s="1195"/>
      <c r="T38" s="290"/>
      <c r="U38" s="1153"/>
      <c r="V38" s="4068"/>
      <c r="W38" s="4068"/>
      <c r="X38" s="4068"/>
      <c r="Y38" s="4068"/>
      <c r="Z38" s="4068"/>
      <c r="AA38" s="4068"/>
      <c r="AB38" s="4068"/>
      <c r="AC38" s="4068"/>
      <c r="AD38" s="4068"/>
      <c r="AE38" s="4068"/>
      <c r="AF38" s="4068"/>
      <c r="AG38" s="4068"/>
      <c r="AH38" s="4068"/>
      <c r="AI38" s="4068"/>
      <c r="AJ38" s="4068"/>
      <c r="AK38" s="4068"/>
      <c r="AL38" s="4068"/>
      <c r="AM38" s="4068"/>
      <c r="AN38" s="4068"/>
      <c r="AO38" s="4068"/>
      <c r="AP38" s="4068"/>
      <c r="AQ38" s="4068"/>
      <c r="AR38" s="4068"/>
      <c r="AS38" s="4068"/>
    </row>
    <row r="39" spans="1:52" ht="14.25" customHeight="1">
      <c r="Q39" s="210"/>
      <c r="R39" s="305"/>
      <c r="S39" s="3946" t="s">
        <v>290</v>
      </c>
      <c r="T39" s="3946"/>
      <c r="U39" s="3946"/>
      <c r="V39" s="3946"/>
      <c r="W39" s="3946"/>
      <c r="X39" s="3946"/>
      <c r="Y39" s="3946"/>
      <c r="Z39" s="3946"/>
      <c r="AA39" s="3946"/>
      <c r="AB39" s="4003"/>
      <c r="AC39" s="4003"/>
      <c r="AD39" s="4003"/>
      <c r="AE39" s="4003"/>
      <c r="AF39" s="3946"/>
      <c r="AG39" s="3946"/>
      <c r="AH39" s="3946"/>
      <c r="AI39" s="3946"/>
      <c r="AJ39" s="3946"/>
      <c r="AK39" s="3946"/>
      <c r="AL39" s="3946"/>
      <c r="AM39" s="3946"/>
      <c r="AN39" s="3946"/>
      <c r="AO39" s="3946"/>
      <c r="AP39" s="3946"/>
      <c r="AQ39" s="3946"/>
      <c r="AR39" s="3946"/>
      <c r="AS39" s="3946"/>
      <c r="AT39" s="3946"/>
      <c r="AU39" s="3946" t="s">
        <v>291</v>
      </c>
    </row>
    <row r="40" spans="1:52" ht="14.25" customHeight="1">
      <c r="Q40" s="210"/>
      <c r="R40" s="305"/>
      <c r="S40" s="4082" t="s">
        <v>86</v>
      </c>
      <c r="T40" s="4033" t="s">
        <v>463</v>
      </c>
      <c r="U40" s="220"/>
      <c r="V40" s="4084"/>
      <c r="W40" s="4084"/>
      <c r="X40" s="4084"/>
      <c r="Y40" s="4084"/>
      <c r="Z40" s="4085"/>
      <c r="AA40" s="4120" t="s">
        <v>420</v>
      </c>
      <c r="AB40" s="4112" t="s">
        <v>464</v>
      </c>
      <c r="AC40" s="4098"/>
      <c r="AD40" s="4098"/>
      <c r="AE40" s="4113"/>
      <c r="AF40" s="4098" t="s">
        <v>465</v>
      </c>
      <c r="AG40" s="4098"/>
      <c r="AH40" s="4098"/>
      <c r="AI40" s="4113"/>
      <c r="AJ40" s="4112" t="s">
        <v>466</v>
      </c>
      <c r="AK40" s="4098"/>
      <c r="AL40" s="4098"/>
      <c r="AM40" s="4113"/>
      <c r="AN40" s="4112" t="s">
        <v>419</v>
      </c>
      <c r="AO40" s="4098"/>
      <c r="AP40" s="4084"/>
      <c r="AQ40" s="4084"/>
      <c r="AR40" s="4085"/>
      <c r="AS40" s="4086" t="s">
        <v>420</v>
      </c>
      <c r="AT40" s="4089" t="s">
        <v>422</v>
      </c>
      <c r="AU40" s="3946"/>
    </row>
    <row r="41" spans="1:52" ht="33.75" customHeight="1">
      <c r="Q41" s="210"/>
      <c r="R41" s="305"/>
      <c r="S41" s="4082"/>
      <c r="T41" s="4033"/>
      <c r="U41" s="938"/>
      <c r="V41" s="4018" t="s">
        <v>467</v>
      </c>
      <c r="W41" s="4019"/>
      <c r="X41" s="4018" t="s">
        <v>426</v>
      </c>
      <c r="Y41" s="4107"/>
      <c r="Z41" s="4019"/>
      <c r="AA41" s="4121"/>
      <c r="AB41" s="4114"/>
      <c r="AC41" s="4115"/>
      <c r="AD41" s="4115"/>
      <c r="AE41" s="4116"/>
      <c r="AF41" s="4115"/>
      <c r="AG41" s="4115"/>
      <c r="AH41" s="4115"/>
      <c r="AI41" s="4116"/>
      <c r="AJ41" s="4114"/>
      <c r="AK41" s="4115"/>
      <c r="AL41" s="4115"/>
      <c r="AM41" s="4115"/>
      <c r="AN41" s="3946" t="s">
        <v>468</v>
      </c>
      <c r="AO41" s="3946"/>
      <c r="AP41" s="4107" t="s">
        <v>426</v>
      </c>
      <c r="AQ41" s="4107"/>
      <c r="AR41" s="4019"/>
      <c r="AS41" s="4087"/>
      <c r="AT41" s="4090"/>
      <c r="AU41" s="3946"/>
    </row>
    <row r="42" spans="1:52" ht="14.25" customHeight="1">
      <c r="Q42" s="210"/>
      <c r="R42" s="305"/>
      <c r="S42" s="4082"/>
      <c r="T42" s="4033"/>
      <c r="U42" s="938"/>
      <c r="V42" s="4023"/>
      <c r="W42" s="4024"/>
      <c r="X42" s="4023"/>
      <c r="Y42" s="4108"/>
      <c r="Z42" s="4024"/>
      <c r="AA42" s="4121"/>
      <c r="AB42" s="4114"/>
      <c r="AC42" s="4115"/>
      <c r="AD42" s="4115"/>
      <c r="AE42" s="4116"/>
      <c r="AF42" s="4115"/>
      <c r="AG42" s="4115"/>
      <c r="AH42" s="4115"/>
      <c r="AI42" s="4116"/>
      <c r="AJ42" s="4114"/>
      <c r="AK42" s="4115"/>
      <c r="AL42" s="4115"/>
      <c r="AM42" s="4115"/>
      <c r="AN42" s="4123"/>
      <c r="AO42" s="4123"/>
      <c r="AP42" s="4108"/>
      <c r="AQ42" s="4108"/>
      <c r="AR42" s="4024"/>
      <c r="AS42" s="4087"/>
      <c r="AT42" s="4090"/>
      <c r="AU42" s="3946"/>
    </row>
    <row r="43" spans="1:52" ht="14.25" customHeight="1">
      <c r="A43" s="1286"/>
      <c r="B43" s="1286" t="s">
        <v>133</v>
      </c>
      <c r="C43" s="1286" t="s">
        <v>134</v>
      </c>
      <c r="D43" s="1286" t="s">
        <v>135</v>
      </c>
      <c r="E43" s="1280" t="s">
        <v>427</v>
      </c>
      <c r="F43" s="1280" t="s">
        <v>428</v>
      </c>
      <c r="G43" s="1280" t="s">
        <v>429</v>
      </c>
      <c r="H43" s="1280" t="s">
        <v>430</v>
      </c>
      <c r="I43" s="1280" t="s">
        <v>431</v>
      </c>
      <c r="J43" s="1280" t="s">
        <v>432</v>
      </c>
      <c r="K43" s="1280" t="s">
        <v>433</v>
      </c>
      <c r="L43" s="1280" t="s">
        <v>407</v>
      </c>
      <c r="Q43" s="210"/>
      <c r="R43" s="305"/>
      <c r="S43" s="4082"/>
      <c r="T43" s="4033"/>
      <c r="U43" s="221"/>
      <c r="V43" s="1247" t="s">
        <v>469</v>
      </c>
      <c r="W43" s="1247" t="s">
        <v>470</v>
      </c>
      <c r="X43" s="1255" t="s">
        <v>436</v>
      </c>
      <c r="Y43" s="4042" t="s">
        <v>437</v>
      </c>
      <c r="Z43" s="4044"/>
      <c r="AA43" s="4122"/>
      <c r="AB43" s="4117"/>
      <c r="AC43" s="4118"/>
      <c r="AD43" s="4118"/>
      <c r="AE43" s="4119"/>
      <c r="AF43" s="4118"/>
      <c r="AG43" s="4118"/>
      <c r="AH43" s="4118"/>
      <c r="AI43" s="4119"/>
      <c r="AJ43" s="4117"/>
      <c r="AK43" s="4118"/>
      <c r="AL43" s="4118"/>
      <c r="AM43" s="4119"/>
      <c r="AN43" s="1771" t="s">
        <v>469</v>
      </c>
      <c r="AO43" s="1771" t="s">
        <v>470</v>
      </c>
      <c r="AP43" s="1255" t="s">
        <v>436</v>
      </c>
      <c r="AQ43" s="4042" t="s">
        <v>437</v>
      </c>
      <c r="AR43" s="4044"/>
      <c r="AS43" s="4088"/>
      <c r="AT43" s="4091"/>
      <c r="AU43" s="3946"/>
    </row>
    <row r="44" spans="1:52" s="1820" customFormat="1" ht="11.25" hidden="1" customHeight="1">
      <c r="A44" s="1286"/>
      <c r="B44" s="1286"/>
      <c r="C44" s="1286"/>
      <c r="D44" s="1286"/>
      <c r="E44" s="1286"/>
      <c r="F44" s="1286"/>
      <c r="G44" s="1286"/>
      <c r="H44" s="1286"/>
      <c r="I44" s="1286"/>
      <c r="J44" s="1286"/>
      <c r="K44" s="1286"/>
      <c r="L44" s="1280"/>
      <c r="M44" s="1278"/>
      <c r="N44" s="1278"/>
      <c r="O44" s="1278"/>
      <c r="P44" s="436"/>
      <c r="Q44" s="1171"/>
      <c r="R44" s="1171">
        <v>1</v>
      </c>
      <c r="S44" s="1197" t="s">
        <v>107</v>
      </c>
      <c r="T44" s="1172" t="s">
        <v>108</v>
      </c>
      <c r="U44" s="1154" t="str">
        <f ca="1">OFFSET(U44,0,-1)</f>
        <v>2</v>
      </c>
      <c r="V44" s="1252">
        <f ca="1">OFFSET(V44,0,-1)+1</f>
        <v>3</v>
      </c>
      <c r="W44" s="1252">
        <f ca="1">OFFSET(W44,0,-1)+1</f>
        <v>4</v>
      </c>
      <c r="X44" s="1252">
        <f ca="1">OFFSET(X44,0,-1)+1</f>
        <v>5</v>
      </c>
      <c r="Y44" s="4081">
        <f ca="1">OFFSET(Y44,0,-1)+1</f>
        <v>6</v>
      </c>
      <c r="Z44" s="4081"/>
      <c r="AA44" s="1252">
        <f ca="1">OFFSET(AA44,0,-2)+1</f>
        <v>7</v>
      </c>
      <c r="AB44" s="1258">
        <f ca="1">OFFSET(AB44,0,-1)+1</f>
        <v>8</v>
      </c>
      <c r="AC44" s="1258"/>
      <c r="AD44" s="1258"/>
      <c r="AE44" s="1258"/>
      <c r="AF44" s="1252"/>
      <c r="AG44" s="1252"/>
      <c r="AH44" s="1252"/>
      <c r="AI44" s="1252"/>
      <c r="AJ44" s="1252"/>
      <c r="AK44" s="1252"/>
      <c r="AL44" s="1252"/>
      <c r="AM44" s="1252"/>
      <c r="AN44" s="1252">
        <f ca="1">OFFSET(AN44,0,-1)+1</f>
        <v>1</v>
      </c>
      <c r="AO44" s="1252">
        <f ca="1">OFFSET(AO44,0,-1)+1</f>
        <v>2</v>
      </c>
      <c r="AP44" s="1252">
        <f ca="1">OFFSET(AP44,0,-1)+1</f>
        <v>3</v>
      </c>
      <c r="AQ44" s="4081">
        <f ca="1">OFFSET(AQ44,0,-1)+1</f>
        <v>4</v>
      </c>
      <c r="AR44" s="4081"/>
      <c r="AS44" s="1252">
        <f ca="1">OFFSET(AS44,0,-2)+1</f>
        <v>5</v>
      </c>
      <c r="AT44" s="1154">
        <f ca="1">OFFSET(AT44,0,-1)</f>
        <v>5</v>
      </c>
      <c r="AU44" s="1252">
        <f ca="1">OFFSET(AU44,0,-1)+1</f>
        <v>6</v>
      </c>
      <c r="AV44" s="437"/>
      <c r="AW44" s="437"/>
      <c r="AX44" s="437"/>
      <c r="AY44" s="437"/>
      <c r="AZ44" s="437"/>
    </row>
    <row r="45" spans="1:52" ht="102" customHeight="1">
      <c r="A45" s="1279" t="s">
        <v>202</v>
      </c>
      <c r="B45" s="1279"/>
      <c r="C45" s="1279"/>
      <c r="D45" s="1279"/>
      <c r="E45" s="4074">
        <v>1</v>
      </c>
      <c r="F45" s="1279"/>
      <c r="G45" s="1279"/>
      <c r="H45" s="1279"/>
      <c r="I45" s="1279"/>
      <c r="J45" s="1279"/>
      <c r="K45" s="1279"/>
      <c r="L45" s="1280"/>
      <c r="M45" s="1281"/>
      <c r="N45" s="1281"/>
      <c r="O45" s="1281"/>
      <c r="P45" s="1325"/>
      <c r="Q45" s="786"/>
      <c r="R45" s="280"/>
      <c r="S45" s="1253">
        <f>INDEX(PT_DIFFERENTIATION_NUM_NTAR,MATCH(A45,PT_DIFFERENTIATION_NTAR_ID,0))</f>
        <v>0</v>
      </c>
      <c r="T45" s="217" t="s">
        <v>121</v>
      </c>
      <c r="U45" s="219"/>
      <c r="V45" s="4061"/>
      <c r="W45" s="4061"/>
      <c r="X45" s="4061"/>
      <c r="Y45" s="4061"/>
      <c r="Z45" s="4061"/>
      <c r="AA45" s="4062"/>
      <c r="AB45" s="4060" t="str">
        <f>INDEX(PT_DIFFERENTIATION_NTAR,MATCH(A45,PT_DIFFERENTIATION_NTAR_ID,0))</f>
        <v/>
      </c>
      <c r="AC45" s="4061"/>
      <c r="AD45" s="4061"/>
      <c r="AE45" s="4061"/>
      <c r="AF45" s="4061"/>
      <c r="AG45" s="4061"/>
      <c r="AH45" s="4061"/>
      <c r="AI45" s="4061"/>
      <c r="AJ45" s="4061"/>
      <c r="AK45" s="4061"/>
      <c r="AL45" s="4061"/>
      <c r="AM45" s="4061"/>
      <c r="AN45" s="4061"/>
      <c r="AO45" s="4061"/>
      <c r="AP45" s="4061"/>
      <c r="AQ45" s="4061"/>
      <c r="AR45" s="4061"/>
      <c r="AS45" s="4061"/>
      <c r="AT45" s="4062"/>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6"/>
      <c r="AX45" s="426" t="str">
        <f t="shared" ref="AX45:AX51" si="2">IF(T45="","",T45)</f>
        <v>Наименование тарифа</v>
      </c>
      <c r="AY45" s="426"/>
      <c r="AZ45" s="426"/>
    </row>
    <row r="46" spans="1:52" ht="21" customHeight="1">
      <c r="A46" s="1279" t="s">
        <v>202</v>
      </c>
      <c r="B46" s="1279" t="s">
        <v>203</v>
      </c>
      <c r="C46" s="1279"/>
      <c r="D46" s="1279"/>
      <c r="E46" s="4075"/>
      <c r="F46" s="4074">
        <v>1</v>
      </c>
      <c r="G46" s="1279"/>
      <c r="H46" s="1279"/>
      <c r="I46" s="1279"/>
      <c r="J46" s="1279"/>
      <c r="K46" s="1279"/>
      <c r="L46" s="1280"/>
      <c r="M46" s="1281"/>
      <c r="N46" s="1281"/>
      <c r="O46" s="1281"/>
      <c r="P46" s="1326"/>
      <c r="Q46" s="1327"/>
      <c r="R46" s="278"/>
      <c r="S46" s="1253" t="str">
        <f>INDEX(PT_DIFFERENTIATION_NUM_TER,MATCH(B46,PT_DIFFERENTIATION_TER_ID,0))</f>
        <v>.</v>
      </c>
      <c r="T46" s="229" t="s">
        <v>389</v>
      </c>
      <c r="U46" s="219"/>
      <c r="V46" s="4061"/>
      <c r="W46" s="4061"/>
      <c r="X46" s="4061"/>
      <c r="Y46" s="4061"/>
      <c r="Z46" s="4061"/>
      <c r="AA46" s="4062"/>
      <c r="AB46" s="4060" t="str">
        <f>INDEX(PT_DIFFERENTIATION_TER,MATCH(B46,PT_DIFFERENTIATION_TER_ID,0))</f>
        <v/>
      </c>
      <c r="AC46" s="4061"/>
      <c r="AD46" s="4061"/>
      <c r="AE46" s="4061"/>
      <c r="AF46" s="4061"/>
      <c r="AG46" s="4061"/>
      <c r="AH46" s="4061"/>
      <c r="AI46" s="4061"/>
      <c r="AJ46" s="4061"/>
      <c r="AK46" s="4061"/>
      <c r="AL46" s="4061"/>
      <c r="AM46" s="4061"/>
      <c r="AN46" s="4061"/>
      <c r="AO46" s="4061"/>
      <c r="AP46" s="4061"/>
      <c r="AQ46" s="4061"/>
      <c r="AR46" s="4061"/>
      <c r="AS46" s="4061"/>
      <c r="AT46" s="4062"/>
      <c r="AU46" s="1177" t="s">
        <v>390</v>
      </c>
      <c r="AW46" s="426"/>
      <c r="AX46" s="426" t="str">
        <f t="shared" si="2"/>
        <v>Территория действия тарифа</v>
      </c>
      <c r="AY46" s="426"/>
      <c r="AZ46" s="426"/>
    </row>
    <row r="47" spans="1:52" ht="23.25" customHeight="1">
      <c r="A47" s="1279" t="s">
        <v>202</v>
      </c>
      <c r="B47" s="1279" t="s">
        <v>203</v>
      </c>
      <c r="C47" s="1279" t="s">
        <v>204</v>
      </c>
      <c r="D47" s="1279"/>
      <c r="E47" s="4075"/>
      <c r="F47" s="4075"/>
      <c r="G47" s="4074">
        <v>1</v>
      </c>
      <c r="H47" s="1279"/>
      <c r="I47" s="1279"/>
      <c r="J47" s="1279"/>
      <c r="K47" s="1279"/>
      <c r="L47" s="1280"/>
      <c r="M47" s="1281"/>
      <c r="N47" s="1281"/>
      <c r="O47" s="1281"/>
      <c r="P47" s="1328"/>
      <c r="Q47" s="1327"/>
      <c r="R47" s="278"/>
      <c r="S47" s="1253" t="str">
        <f>INDEX(PT_DIFFERENTIATION_NUM_CS,MATCH(C47,PT_DIFFERENTIATION_CS_ID,0))</f>
        <v>..</v>
      </c>
      <c r="T47" s="230" t="s">
        <v>391</v>
      </c>
      <c r="U47" s="219"/>
      <c r="V47" s="4061"/>
      <c r="W47" s="4061"/>
      <c r="X47" s="4061"/>
      <c r="Y47" s="4061"/>
      <c r="Z47" s="4061"/>
      <c r="AA47" s="4062"/>
      <c r="AB47" s="4060" t="str">
        <f>INDEX(PT_DIFFERENTIATION_CS,MATCH(C47,PT_DIFFERENTIATION_CS_ID,0))</f>
        <v/>
      </c>
      <c r="AC47" s="4061"/>
      <c r="AD47" s="4061"/>
      <c r="AE47" s="4061"/>
      <c r="AF47" s="4061"/>
      <c r="AG47" s="4061"/>
      <c r="AH47" s="4061"/>
      <c r="AI47" s="4061"/>
      <c r="AJ47" s="4061"/>
      <c r="AK47" s="4061"/>
      <c r="AL47" s="4061"/>
      <c r="AM47" s="4061"/>
      <c r="AN47" s="4061"/>
      <c r="AO47" s="4061"/>
      <c r="AP47" s="4061"/>
      <c r="AQ47" s="4061"/>
      <c r="AR47" s="4061"/>
      <c r="AS47" s="4061"/>
      <c r="AT47" s="4062"/>
      <c r="AU47" s="1177" t="s">
        <v>392</v>
      </c>
      <c r="AW47" s="426"/>
      <c r="AX47" s="426" t="str">
        <f t="shared" si="2"/>
        <v xml:space="preserve">Наименование системы теплоснабжения </v>
      </c>
      <c r="AY47" s="426"/>
      <c r="AZ47" s="426"/>
    </row>
    <row r="48" spans="1:52" ht="21" customHeight="1">
      <c r="A48" s="1279" t="s">
        <v>202</v>
      </c>
      <c r="B48" s="1279" t="s">
        <v>203</v>
      </c>
      <c r="C48" s="1279" t="s">
        <v>204</v>
      </c>
      <c r="D48" s="1279" t="s">
        <v>205</v>
      </c>
      <c r="E48" s="4075"/>
      <c r="F48" s="4075"/>
      <c r="G48" s="4075"/>
      <c r="H48" s="4074">
        <v>1</v>
      </c>
      <c r="I48" s="1279"/>
      <c r="J48" s="1279"/>
      <c r="K48" s="1279"/>
      <c r="L48" s="1280"/>
      <c r="M48" s="1281"/>
      <c r="N48" s="1281"/>
      <c r="O48" s="1281"/>
      <c r="P48" s="1328"/>
      <c r="Q48" s="1327"/>
      <c r="R48" s="278"/>
      <c r="S48" s="1253" t="str">
        <f>INDEX(PT_DIFFERENTIATION_NUM_IST_TE,MATCH(D48,PT_DIFFERENTIATION_IST_TE_ID,0))</f>
        <v>...</v>
      </c>
      <c r="T48" s="231" t="s">
        <v>393</v>
      </c>
      <c r="U48" s="219"/>
      <c r="V48" s="4061"/>
      <c r="W48" s="4061"/>
      <c r="X48" s="4061"/>
      <c r="Y48" s="4061"/>
      <c r="Z48" s="4061"/>
      <c r="AA48" s="4062"/>
      <c r="AB48" s="4060" t="str">
        <f>INDEX(PT_DIFFERENTIATION_IST_TE,MATCH(D48,PT_DIFFERENTIATION_IST_TE_ID,0))</f>
        <v/>
      </c>
      <c r="AC48" s="4061"/>
      <c r="AD48" s="4061"/>
      <c r="AE48" s="4061"/>
      <c r="AF48" s="4061"/>
      <c r="AG48" s="4061"/>
      <c r="AH48" s="4061"/>
      <c r="AI48" s="4061"/>
      <c r="AJ48" s="4061"/>
      <c r="AK48" s="4061"/>
      <c r="AL48" s="4061"/>
      <c r="AM48" s="4061"/>
      <c r="AN48" s="4061"/>
      <c r="AO48" s="4061"/>
      <c r="AP48" s="4061"/>
      <c r="AQ48" s="4061"/>
      <c r="AR48" s="4061"/>
      <c r="AS48" s="4061"/>
      <c r="AT48" s="4062"/>
      <c r="AU48" s="1177" t="s">
        <v>394</v>
      </c>
      <c r="AW48" s="426"/>
      <c r="AX48" s="426" t="str">
        <f t="shared" si="2"/>
        <v xml:space="preserve">Источник тепловой энергии  </v>
      </c>
      <c r="AY48" s="426"/>
      <c r="AZ48" s="426"/>
    </row>
    <row r="49" spans="1:52" s="1821" customFormat="1" ht="0" hidden="1" customHeight="1">
      <c r="A49" s="1260" t="s">
        <v>202</v>
      </c>
      <c r="B49" s="1260" t="s">
        <v>203</v>
      </c>
      <c r="C49" s="1260" t="s">
        <v>204</v>
      </c>
      <c r="D49" s="1260" t="s">
        <v>205</v>
      </c>
      <c r="E49" s="4075"/>
      <c r="F49" s="4075"/>
      <c r="G49" s="4075"/>
      <c r="H49" s="4075"/>
      <c r="I49" s="4072" t="str">
        <f>S48&amp;".1"</f>
        <v>....1</v>
      </c>
      <c r="J49" s="1260"/>
      <c r="K49" s="1260"/>
      <c r="L49" s="1263" t="s">
        <v>395</v>
      </c>
      <c r="M49" s="436"/>
      <c r="N49" s="436"/>
      <c r="O49" s="436"/>
      <c r="P49" s="4073">
        <v>1</v>
      </c>
      <c r="Q49" s="1248"/>
      <c r="R49" s="281"/>
      <c r="S49" s="949"/>
      <c r="T49" s="1299"/>
      <c r="U49" s="1300"/>
      <c r="V49" s="4102"/>
      <c r="W49" s="4102"/>
      <c r="X49" s="4102"/>
      <c r="Y49" s="4102"/>
      <c r="Z49" s="4102"/>
      <c r="AA49" s="4103"/>
      <c r="AB49" s="4101"/>
      <c r="AC49" s="4102"/>
      <c r="AD49" s="4102"/>
      <c r="AE49" s="4102"/>
      <c r="AF49" s="4102"/>
      <c r="AG49" s="4102"/>
      <c r="AH49" s="4102"/>
      <c r="AI49" s="4102"/>
      <c r="AJ49" s="4102"/>
      <c r="AK49" s="4102"/>
      <c r="AL49" s="4102"/>
      <c r="AM49" s="4102"/>
      <c r="AN49" s="4102"/>
      <c r="AO49" s="4102"/>
      <c r="AP49" s="4102"/>
      <c r="AQ49" s="4102"/>
      <c r="AR49" s="4102"/>
      <c r="AS49" s="4102"/>
      <c r="AT49" s="4103"/>
      <c r="AU49" s="1301"/>
      <c r="AW49" s="426"/>
      <c r="AX49" s="426" t="str">
        <f t="shared" si="2"/>
        <v/>
      </c>
      <c r="AY49" s="426"/>
      <c r="AZ49" s="426"/>
    </row>
    <row r="50" spans="1:52" s="1821" customFormat="1" ht="0" hidden="1" customHeight="1">
      <c r="A50" s="1260" t="s">
        <v>202</v>
      </c>
      <c r="B50" s="1260" t="s">
        <v>203</v>
      </c>
      <c r="C50" s="1260" t="s">
        <v>204</v>
      </c>
      <c r="D50" s="1260" t="s">
        <v>205</v>
      </c>
      <c r="E50" s="4075"/>
      <c r="F50" s="4075"/>
      <c r="G50" s="4075"/>
      <c r="H50" s="4075"/>
      <c r="I50" s="4095"/>
      <c r="J50" s="4072" t="str">
        <f>S48&amp;".1"</f>
        <v>....1</v>
      </c>
      <c r="K50" s="1260"/>
      <c r="L50" s="1263"/>
      <c r="M50" s="436"/>
      <c r="N50" s="436"/>
      <c r="O50" s="436"/>
      <c r="P50" s="4073"/>
      <c r="Q50" s="4073">
        <v>1</v>
      </c>
      <c r="R50" s="282"/>
      <c r="S50" s="949"/>
      <c r="T50" s="1315"/>
      <c r="U50" s="1300"/>
      <c r="V50" s="4102"/>
      <c r="W50" s="4102"/>
      <c r="X50" s="4102"/>
      <c r="Y50" s="4102"/>
      <c r="Z50" s="4102"/>
      <c r="AA50" s="4103"/>
      <c r="AB50" s="4101"/>
      <c r="AC50" s="4102"/>
      <c r="AD50" s="4102"/>
      <c r="AE50" s="4102"/>
      <c r="AF50" s="4102"/>
      <c r="AG50" s="4102"/>
      <c r="AH50" s="4102"/>
      <c r="AI50" s="4102"/>
      <c r="AJ50" s="4102"/>
      <c r="AK50" s="4102"/>
      <c r="AL50" s="4102"/>
      <c r="AM50" s="4102"/>
      <c r="AN50" s="4102"/>
      <c r="AO50" s="4102"/>
      <c r="AP50" s="4102"/>
      <c r="AQ50" s="4102"/>
      <c r="AR50" s="4102"/>
      <c r="AS50" s="4102"/>
      <c r="AT50" s="4103"/>
      <c r="AU50" s="1301"/>
      <c r="AW50" s="426"/>
      <c r="AX50" s="426" t="str">
        <f t="shared" si="2"/>
        <v/>
      </c>
      <c r="AY50" s="426"/>
      <c r="AZ50" s="426"/>
    </row>
    <row r="51" spans="1:52" ht="21" customHeight="1">
      <c r="A51" s="1279" t="s">
        <v>202</v>
      </c>
      <c r="B51" s="1279" t="s">
        <v>203</v>
      </c>
      <c r="C51" s="1279" t="s">
        <v>204</v>
      </c>
      <c r="D51" s="1279" t="s">
        <v>205</v>
      </c>
      <c r="E51" s="4075"/>
      <c r="F51" s="4075"/>
      <c r="G51" s="4075"/>
      <c r="H51" s="4075"/>
      <c r="I51" s="4095"/>
      <c r="J51" s="4095"/>
      <c r="K51" s="4072" t="str">
        <f>S48&amp;".1"</f>
        <v>....1</v>
      </c>
      <c r="L51" s="1280"/>
      <c r="P51" s="4073"/>
      <c r="Q51" s="4073"/>
      <c r="R51" s="282">
        <v>1</v>
      </c>
      <c r="S51" s="4124" t="str">
        <f>$K51</f>
        <v>....1</v>
      </c>
      <c r="T51" s="4127"/>
      <c r="U51" s="219"/>
      <c r="V51" s="668"/>
      <c r="W51" s="1176"/>
      <c r="X51" s="1644"/>
      <c r="Y51" s="1372" t="s">
        <v>65</v>
      </c>
      <c r="Z51" s="1644"/>
      <c r="AA51" s="1372" t="s">
        <v>65</v>
      </c>
      <c r="AB51" s="3927" t="s">
        <v>55</v>
      </c>
      <c r="AC51" s="4110"/>
      <c r="AD51" s="4028">
        <v>1</v>
      </c>
      <c r="AE51" s="4131" t="s">
        <v>24</v>
      </c>
      <c r="AF51" s="3927" t="s">
        <v>55</v>
      </c>
      <c r="AG51" s="4110"/>
      <c r="AH51" s="4028">
        <v>1</v>
      </c>
      <c r="AI51" s="4131" t="s">
        <v>24</v>
      </c>
      <c r="AJ51" s="3927" t="s">
        <v>55</v>
      </c>
      <c r="AK51" s="232"/>
      <c r="AL51" s="1254">
        <v>1</v>
      </c>
      <c r="AM51" s="1318"/>
      <c r="AN51" s="668"/>
      <c r="AO51" s="1176"/>
      <c r="AP51" s="1644"/>
      <c r="AQ51" s="1372" t="s">
        <v>65</v>
      </c>
      <c r="AR51" s="1644"/>
      <c r="AS51" s="1372" t="s">
        <v>65</v>
      </c>
      <c r="AT51" s="1265"/>
      <c r="AU51" s="4069" t="s">
        <v>471</v>
      </c>
      <c r="AV51" s="437" t="e">
        <f ca="1">STRCHECKDATE(V54:AT54)</f>
        <v>#NAME?</v>
      </c>
      <c r="AW51" s="426"/>
      <c r="AX51" s="426" t="str">
        <f t="shared" si="2"/>
        <v/>
      </c>
      <c r="AY51" s="426"/>
      <c r="AZ51" s="426"/>
    </row>
    <row r="52" spans="1:52" ht="11.25" customHeight="1">
      <c r="A52" s="1279" t="s">
        <v>202</v>
      </c>
      <c r="B52" s="1279"/>
      <c r="C52" s="1279"/>
      <c r="D52" s="1279"/>
      <c r="E52" s="4075"/>
      <c r="F52" s="4075"/>
      <c r="G52" s="4075"/>
      <c r="H52" s="4075"/>
      <c r="I52" s="4095"/>
      <c r="J52" s="4095"/>
      <c r="K52" s="4072"/>
      <c r="L52" s="1280"/>
      <c r="P52" s="4073"/>
      <c r="Q52" s="4073"/>
      <c r="R52" s="282"/>
      <c r="S52" s="4125"/>
      <c r="T52" s="4128"/>
      <c r="U52" s="219"/>
      <c r="V52" s="1309"/>
      <c r="W52" s="1406"/>
      <c r="X52" s="1309"/>
      <c r="Y52" s="1309"/>
      <c r="Z52" s="1309"/>
      <c r="AA52" s="1309"/>
      <c r="AB52" s="3927"/>
      <c r="AC52" s="4110"/>
      <c r="AD52" s="4028"/>
      <c r="AE52" s="4131"/>
      <c r="AF52" s="3927"/>
      <c r="AG52" s="4110"/>
      <c r="AH52" s="4028"/>
      <c r="AI52" s="4131"/>
      <c r="AJ52" s="3927"/>
      <c r="AK52" s="239"/>
      <c r="AL52" s="350"/>
      <c r="AM52" s="349" t="s">
        <v>455</v>
      </c>
      <c r="AN52" s="1309"/>
      <c r="AO52" s="1406"/>
      <c r="AP52" s="1309"/>
      <c r="AQ52" s="1309"/>
      <c r="AR52" s="1309"/>
      <c r="AS52" s="1309"/>
      <c r="AT52" s="1306"/>
      <c r="AU52" s="4070"/>
      <c r="AW52" s="426"/>
      <c r="AX52" s="426"/>
      <c r="AY52" s="426"/>
      <c r="AZ52" s="426"/>
    </row>
    <row r="53" spans="1:52" ht="11.25" customHeight="1">
      <c r="A53" s="1279" t="s">
        <v>202</v>
      </c>
      <c r="B53" s="1279"/>
      <c r="C53" s="1279"/>
      <c r="D53" s="1279"/>
      <c r="E53" s="4075"/>
      <c r="F53" s="4075"/>
      <c r="G53" s="4075"/>
      <c r="H53" s="4075"/>
      <c r="I53" s="4095"/>
      <c r="J53" s="4095"/>
      <c r="K53" s="4072"/>
      <c r="L53" s="1280"/>
      <c r="P53" s="4073"/>
      <c r="Q53" s="4073"/>
      <c r="R53" s="282"/>
      <c r="S53" s="4125"/>
      <c r="T53" s="4128"/>
      <c r="U53" s="219"/>
      <c r="V53" s="1309"/>
      <c r="W53" s="1406"/>
      <c r="X53" s="1309"/>
      <c r="Y53" s="1309"/>
      <c r="Z53" s="1309"/>
      <c r="AA53" s="1309"/>
      <c r="AB53" s="3927"/>
      <c r="AC53" s="4110"/>
      <c r="AD53" s="4028"/>
      <c r="AE53" s="4131"/>
      <c r="AF53" s="3927"/>
      <c r="AG53" s="213"/>
      <c r="AH53" s="349"/>
      <c r="AI53" s="349" t="s">
        <v>456</v>
      </c>
      <c r="AJ53" s="1309"/>
      <c r="AK53" s="1309"/>
      <c r="AL53" s="1309"/>
      <c r="AM53" s="1309"/>
      <c r="AN53" s="1309"/>
      <c r="AO53" s="1406"/>
      <c r="AP53" s="1309"/>
      <c r="AQ53" s="1309"/>
      <c r="AR53" s="1309"/>
      <c r="AS53" s="1309"/>
      <c r="AT53" s="1306"/>
      <c r="AU53" s="4070"/>
      <c r="AW53" s="426"/>
      <c r="AX53" s="426"/>
      <c r="AY53" s="426"/>
      <c r="AZ53" s="426"/>
    </row>
    <row r="54" spans="1:52" ht="11.25" customHeight="1">
      <c r="A54" s="1279" t="s">
        <v>202</v>
      </c>
      <c r="B54" s="1279" t="s">
        <v>203</v>
      </c>
      <c r="C54" s="1279" t="s">
        <v>204</v>
      </c>
      <c r="D54" s="1279" t="s">
        <v>205</v>
      </c>
      <c r="E54" s="4075"/>
      <c r="F54" s="4075"/>
      <c r="G54" s="4075"/>
      <c r="H54" s="4075"/>
      <c r="I54" s="4095"/>
      <c r="J54" s="4095"/>
      <c r="K54" s="4072"/>
      <c r="L54" s="1280"/>
      <c r="P54" s="4073"/>
      <c r="Q54" s="4073"/>
      <c r="R54" s="282"/>
      <c r="S54" s="4126"/>
      <c r="T54" s="4129"/>
      <c r="U54" s="219"/>
      <c r="V54" s="1309"/>
      <c r="W54" s="1310" t="str">
        <f>X51&amp;"-"&amp;Z51</f>
        <v>-</v>
      </c>
      <c r="X54" s="1309"/>
      <c r="Y54" s="1309"/>
      <c r="Z54" s="1309"/>
      <c r="AA54" s="1309"/>
      <c r="AB54" s="3927"/>
      <c r="AC54" s="233"/>
      <c r="AD54" s="235"/>
      <c r="AE54" s="349" t="s">
        <v>457</v>
      </c>
      <c r="AF54" s="1309"/>
      <c r="AG54" s="1309"/>
      <c r="AH54" s="1309"/>
      <c r="AI54" s="1309"/>
      <c r="AJ54" s="1309"/>
      <c r="AK54" s="1309"/>
      <c r="AL54" s="1309"/>
      <c r="AM54" s="1309"/>
      <c r="AN54" s="1309"/>
      <c r="AO54" s="1310" t="str">
        <f>AP51&amp;"-"&amp;AR51</f>
        <v>-</v>
      </c>
      <c r="AP54" s="1309"/>
      <c r="AQ54" s="1309"/>
      <c r="AR54" s="1309"/>
      <c r="AS54" s="1309"/>
      <c r="AT54" s="1266"/>
      <c r="AU54" s="4070"/>
      <c r="AW54" s="426"/>
      <c r="AX54" s="426" t="str">
        <f t="shared" ref="AX54:AX62" si="3">IF(T54="","",T54)</f>
        <v/>
      </c>
      <c r="AY54" s="426"/>
      <c r="AZ54" s="426"/>
    </row>
    <row r="55" spans="1:52" ht="11.25" customHeight="1">
      <c r="A55" s="1279" t="s">
        <v>202</v>
      </c>
      <c r="B55" s="1279" t="s">
        <v>203</v>
      </c>
      <c r="C55" s="1279" t="s">
        <v>204</v>
      </c>
      <c r="D55" s="1279" t="s">
        <v>205</v>
      </c>
      <c r="E55" s="4075"/>
      <c r="F55" s="4075"/>
      <c r="G55" s="4075"/>
      <c r="H55" s="4075"/>
      <c r="I55" s="4095"/>
      <c r="J55" s="4072"/>
      <c r="K55" s="1279"/>
      <c r="L55" s="1280"/>
      <c r="P55" s="4073"/>
      <c r="Q55" s="4073"/>
      <c r="R55" s="281"/>
      <c r="S55" s="1198"/>
      <c r="T55" s="206" t="s">
        <v>458</v>
      </c>
      <c r="U55" s="295"/>
      <c r="V55" s="295"/>
      <c r="W55" s="295"/>
      <c r="X55" s="295"/>
      <c r="Y55" s="295"/>
      <c r="Z55" s="295"/>
      <c r="AA55" s="250"/>
      <c r="AB55" s="1415"/>
      <c r="AC55" s="295"/>
      <c r="AD55" s="295"/>
      <c r="AE55" s="295"/>
      <c r="AF55" s="295"/>
      <c r="AG55" s="295"/>
      <c r="AH55" s="295"/>
      <c r="AI55" s="295"/>
      <c r="AJ55" s="295"/>
      <c r="AK55" s="295"/>
      <c r="AL55" s="295"/>
      <c r="AM55" s="295"/>
      <c r="AN55" s="295"/>
      <c r="AO55" s="295"/>
      <c r="AP55" s="295"/>
      <c r="AQ55" s="295"/>
      <c r="AR55" s="295"/>
      <c r="AS55" s="295"/>
      <c r="AT55" s="250"/>
      <c r="AU55" s="4071"/>
      <c r="AW55" s="426"/>
      <c r="AX55" s="426" t="str">
        <f t="shared" si="3"/>
        <v>Добавить строку</v>
      </c>
      <c r="AY55" s="426"/>
      <c r="AZ55" s="426"/>
    </row>
    <row r="56" spans="1:52" s="1821" customFormat="1" ht="0" hidden="1" customHeight="1">
      <c r="A56" s="1260" t="s">
        <v>202</v>
      </c>
      <c r="B56" s="1260" t="s">
        <v>203</v>
      </c>
      <c r="C56" s="1260" t="s">
        <v>204</v>
      </c>
      <c r="D56" s="1260" t="s">
        <v>205</v>
      </c>
      <c r="E56" s="4075"/>
      <c r="F56" s="4075"/>
      <c r="G56" s="4075"/>
      <c r="H56" s="4075"/>
      <c r="I56" s="4072"/>
      <c r="J56" s="1260"/>
      <c r="K56" s="1260"/>
      <c r="L56" s="1263"/>
      <c r="M56" s="436"/>
      <c r="N56" s="436"/>
      <c r="O56" s="436"/>
      <c r="P56" s="4073"/>
      <c r="Q56" s="1248"/>
      <c r="R56" s="281"/>
      <c r="S56" s="1302"/>
      <c r="T56" s="1303" t="s">
        <v>404</v>
      </c>
      <c r="U56" s="1304"/>
      <c r="V56" s="1304"/>
      <c r="W56" s="1304"/>
      <c r="X56" s="1304"/>
      <c r="Y56" s="1304"/>
      <c r="Z56" s="1304"/>
      <c r="AA56" s="1304"/>
      <c r="AB56" s="1304"/>
      <c r="AC56" s="1304"/>
      <c r="AD56" s="1304"/>
      <c r="AE56" s="1304"/>
      <c r="AF56" s="1304"/>
      <c r="AG56" s="1304"/>
      <c r="AH56" s="1304"/>
      <c r="AI56" s="1304"/>
      <c r="AJ56" s="1304"/>
      <c r="AK56" s="1304"/>
      <c r="AL56" s="1304"/>
      <c r="AM56" s="1304"/>
      <c r="AN56" s="1304"/>
      <c r="AO56" s="1304"/>
      <c r="AP56" s="1304"/>
      <c r="AQ56" s="1304"/>
      <c r="AR56" s="1304"/>
      <c r="AS56" s="1304"/>
      <c r="AT56" s="1304"/>
      <c r="AU56" s="1305"/>
      <c r="AW56" s="426"/>
      <c r="AX56" s="426" t="str">
        <f t="shared" si="3"/>
        <v>Добавить группу потребителей</v>
      </c>
      <c r="AY56" s="426"/>
      <c r="AZ56" s="426"/>
    </row>
    <row r="57" spans="1:52" s="1820" customFormat="1" ht="0" hidden="1" customHeight="1">
      <c r="A57" s="1260" t="s">
        <v>202</v>
      </c>
      <c r="B57" s="1260" t="s">
        <v>203</v>
      </c>
      <c r="C57" s="1260" t="s">
        <v>204</v>
      </c>
      <c r="D57" s="1260" t="s">
        <v>205</v>
      </c>
      <c r="E57" s="4075"/>
      <c r="F57" s="4075"/>
      <c r="G57" s="4075"/>
      <c r="H57" s="4074"/>
      <c r="I57" s="1260"/>
      <c r="J57" s="1260"/>
      <c r="K57" s="1260"/>
      <c r="L57" s="1263"/>
      <c r="M57" s="1233"/>
      <c r="N57" s="1233"/>
      <c r="O57" s="444"/>
      <c r="P57" s="313"/>
      <c r="Q57" s="1261"/>
      <c r="R57" s="1316"/>
      <c r="S57" s="1302"/>
      <c r="T57" s="1303"/>
      <c r="U57" s="1304"/>
      <c r="V57" s="1304"/>
      <c r="W57" s="1304"/>
      <c r="X57" s="1304"/>
      <c r="Y57" s="1304"/>
      <c r="Z57" s="1304"/>
      <c r="AA57" s="1304"/>
      <c r="AB57" s="1304"/>
      <c r="AC57" s="1304"/>
      <c r="AD57" s="1304"/>
      <c r="AE57" s="1304"/>
      <c r="AF57" s="1304"/>
      <c r="AG57" s="1304"/>
      <c r="AH57" s="1304"/>
      <c r="AI57" s="1304"/>
      <c r="AJ57" s="1304"/>
      <c r="AK57" s="1304"/>
      <c r="AL57" s="1304"/>
      <c r="AM57" s="1304"/>
      <c r="AN57" s="1304"/>
      <c r="AO57" s="1304"/>
      <c r="AP57" s="1304"/>
      <c r="AQ57" s="1304"/>
      <c r="AR57" s="1304"/>
      <c r="AS57" s="1304"/>
      <c r="AT57" s="1304"/>
      <c r="AU57" s="1305"/>
      <c r="AV57" s="437"/>
      <c r="AW57" s="426"/>
      <c r="AX57" s="426" t="str">
        <f t="shared" si="3"/>
        <v/>
      </c>
      <c r="AY57" s="426"/>
      <c r="AZ57" s="426"/>
    </row>
    <row r="58" spans="1:52" s="2550" customFormat="1" ht="0" hidden="1" customHeight="1">
      <c r="A58" s="1260" t="s">
        <v>202</v>
      </c>
      <c r="B58" s="1260" t="s">
        <v>203</v>
      </c>
      <c r="C58" s="1260" t="s">
        <v>204</v>
      </c>
      <c r="D58" s="1232"/>
      <c r="E58" s="4075"/>
      <c r="F58" s="4075"/>
      <c r="G58" s="4074"/>
      <c r="H58" s="1232"/>
      <c r="I58" s="1232"/>
      <c r="J58" s="1232"/>
      <c r="K58" s="1232"/>
      <c r="L58" s="1256"/>
      <c r="M58" s="1233"/>
      <c r="N58" s="1233"/>
      <c r="P58" s="1234"/>
      <c r="Q58" s="1235"/>
      <c r="R58" s="1234"/>
      <c r="S58" s="1240"/>
      <c r="T58" s="1243" t="s">
        <v>166</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06"/>
      <c r="AX58" s="706" t="str">
        <f t="shared" si="3"/>
        <v>Добавить источник для дифференциации</v>
      </c>
      <c r="AY58" s="706"/>
      <c r="AZ58" s="706"/>
    </row>
    <row r="59" spans="1:52" s="2550" customFormat="1" ht="0" hidden="1" customHeight="1">
      <c r="A59" s="1260" t="s">
        <v>202</v>
      </c>
      <c r="B59" s="1260" t="s">
        <v>203</v>
      </c>
      <c r="C59" s="1232"/>
      <c r="D59" s="1232"/>
      <c r="E59" s="4075"/>
      <c r="F59" s="4074"/>
      <c r="G59" s="1232"/>
      <c r="H59" s="1232"/>
      <c r="I59" s="1232"/>
      <c r="J59" s="1232"/>
      <c r="K59" s="1232"/>
      <c r="L59" s="1256"/>
      <c r="M59" s="1239"/>
      <c r="N59" s="1239"/>
      <c r="P59" s="1234"/>
      <c r="Q59" s="1235"/>
      <c r="R59" s="1234"/>
      <c r="S59" s="1240"/>
      <c r="T59" s="1243" t="s">
        <v>167</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06"/>
      <c r="AX59" s="706" t="str">
        <f t="shared" si="3"/>
        <v>Добавить централизованную систему для дифференциации</v>
      </c>
      <c r="AY59" s="706"/>
      <c r="AZ59" s="706"/>
    </row>
    <row r="60" spans="1:52" s="1821" customFormat="1" ht="0" hidden="1" customHeight="1">
      <c r="A60" s="1260" t="s">
        <v>202</v>
      </c>
      <c r="B60" s="1260"/>
      <c r="C60" s="1260"/>
      <c r="D60" s="1260"/>
      <c r="E60" s="4075"/>
      <c r="F60" s="1260"/>
      <c r="G60" s="1260"/>
      <c r="H60" s="1260"/>
      <c r="I60" s="1260"/>
      <c r="J60" s="1260"/>
      <c r="K60" s="1260"/>
      <c r="L60" s="1263"/>
      <c r="M60" s="1239"/>
      <c r="N60" s="1239"/>
      <c r="O60" s="444"/>
      <c r="P60" s="313"/>
      <c r="Q60" s="1261"/>
      <c r="R60" s="313"/>
      <c r="S60" s="1240"/>
      <c r="T60" s="1243" t="s">
        <v>168</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26"/>
      <c r="AX60" s="426" t="str">
        <f t="shared" si="3"/>
        <v>Добавить территорию для дифференциации</v>
      </c>
      <c r="AY60" s="426"/>
      <c r="AZ60" s="426"/>
    </row>
    <row r="61" spans="1:52" s="1821" customFormat="1" ht="0" hidden="1" customHeight="1">
      <c r="A61" s="1260" t="s">
        <v>202</v>
      </c>
      <c r="B61" s="1260"/>
      <c r="C61" s="1260"/>
      <c r="D61" s="1260"/>
      <c r="E61" s="4074"/>
      <c r="F61" s="1260"/>
      <c r="G61" s="1260"/>
      <c r="H61" s="1260"/>
      <c r="I61" s="1260"/>
      <c r="J61" s="1260"/>
      <c r="K61" s="1260"/>
      <c r="L61" s="1263"/>
      <c r="M61" s="1239"/>
      <c r="N61" s="1239"/>
      <c r="O61" s="444"/>
      <c r="P61" s="313"/>
      <c r="Q61" s="1261"/>
      <c r="R61" s="313"/>
      <c r="S61" s="1240"/>
      <c r="T61" s="1243" t="s">
        <v>168</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26"/>
      <c r="AX61" s="426" t="str">
        <f t="shared" si="3"/>
        <v>Добавить территорию для дифференциации</v>
      </c>
      <c r="AY61" s="426"/>
      <c r="AZ61" s="426"/>
    </row>
    <row r="62" spans="1:52" s="2550" customFormat="1" ht="0" hidden="1" customHeight="1">
      <c r="A62" s="1232"/>
      <c r="B62" s="1232"/>
      <c r="C62" s="1232"/>
      <c r="D62" s="1232"/>
      <c r="E62" s="1260"/>
      <c r="F62" s="1232"/>
      <c r="G62" s="1232"/>
      <c r="H62" s="1232"/>
      <c r="I62" s="1232"/>
      <c r="J62" s="1232"/>
      <c r="K62" s="1232"/>
      <c r="L62" s="1256"/>
      <c r="M62" s="1239"/>
      <c r="N62" s="1239"/>
      <c r="P62" s="1234"/>
      <c r="Q62" s="1235"/>
      <c r="R62" s="1234"/>
      <c r="S62" s="1240"/>
      <c r="T62" s="1243" t="s">
        <v>169</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06"/>
      <c r="AX62" s="706" t="str">
        <f t="shared" si="3"/>
        <v>Добавить наименование тарифа</v>
      </c>
      <c r="AY62" s="706"/>
      <c r="AZ62" s="706"/>
    </row>
    <row r="63" spans="1:52" ht="11.25" customHeight="1">
      <c r="M63" s="1060"/>
      <c r="N63" s="1060"/>
      <c r="O63" s="462"/>
      <c r="P63" s="1060"/>
      <c r="Q63" s="1060"/>
      <c r="R63" s="1055"/>
      <c r="S63" s="1055"/>
      <c r="AV63" s="1055"/>
      <c r="AW63" s="1055"/>
      <c r="AX63" s="1055"/>
      <c r="AY63" s="1055"/>
      <c r="AZ63" s="1055"/>
    </row>
    <row r="64" spans="1:52" ht="18.75" customHeight="1">
      <c r="O64" s="462"/>
      <c r="S64" s="1164"/>
      <c r="T64" s="4094"/>
      <c r="U64" s="4094"/>
      <c r="V64" s="4094"/>
      <c r="W64" s="4094"/>
      <c r="X64" s="4094"/>
      <c r="Y64" s="4094"/>
      <c r="Z64" s="4094"/>
      <c r="AA64" s="4094"/>
      <c r="AB64" s="4094"/>
      <c r="AC64" s="4094"/>
      <c r="AD64" s="4094"/>
      <c r="AE64" s="4094"/>
      <c r="AF64" s="4094"/>
      <c r="AG64" s="4094"/>
      <c r="AH64" s="4094"/>
      <c r="AI64" s="4094"/>
      <c r="AJ64" s="4094"/>
      <c r="AK64" s="4094"/>
      <c r="AL64" s="4094"/>
      <c r="AM64" s="4094"/>
      <c r="AN64" s="4094"/>
      <c r="AO64" s="4094"/>
      <c r="AP64" s="4094"/>
      <c r="AQ64" s="4094"/>
      <c r="AR64" s="4094"/>
      <c r="AS64" s="4094"/>
      <c r="AT64" s="4094"/>
      <c r="AU64" s="4094"/>
    </row>
    <row r="65" spans="15:47" ht="19.5" customHeight="1">
      <c r="O65" s="462"/>
      <c r="T65" s="4094"/>
      <c r="U65" s="4094"/>
      <c r="V65" s="4094"/>
      <c r="W65" s="4094"/>
      <c r="X65" s="4094"/>
      <c r="Y65" s="4094"/>
      <c r="Z65" s="4094"/>
      <c r="AA65" s="4094"/>
      <c r="AB65" s="4094"/>
      <c r="AC65" s="4094"/>
      <c r="AD65" s="4094"/>
      <c r="AE65" s="4094"/>
      <c r="AF65" s="4094"/>
      <c r="AG65" s="4094"/>
      <c r="AH65" s="4094"/>
      <c r="AI65" s="4094"/>
      <c r="AJ65" s="4094"/>
      <c r="AK65" s="4094"/>
      <c r="AL65" s="4094"/>
      <c r="AM65" s="4094"/>
      <c r="AN65" s="4094"/>
      <c r="AO65" s="4094"/>
      <c r="AP65" s="4094"/>
      <c r="AQ65" s="4094"/>
      <c r="AR65" s="4094"/>
      <c r="AS65" s="4094"/>
      <c r="AT65" s="4094"/>
      <c r="AU65" s="4094"/>
    </row>
    <row r="66" spans="15:47" ht="14.25" customHeight="1">
      <c r="O66" s="462"/>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row>
    <row r="67" spans="15:47" ht="18.75" customHeight="1">
      <c r="O67" s="462"/>
      <c r="T67" s="4094"/>
      <c r="U67" s="4094"/>
      <c r="V67" s="4094"/>
      <c r="W67" s="4094"/>
      <c r="X67" s="4094"/>
      <c r="Y67" s="4094"/>
      <c r="Z67" s="4094"/>
      <c r="AA67" s="4094"/>
      <c r="AB67" s="4094"/>
      <c r="AC67" s="4094"/>
      <c r="AD67" s="4094"/>
      <c r="AE67" s="4094"/>
      <c r="AF67" s="4094"/>
      <c r="AG67" s="4094"/>
      <c r="AH67" s="4094"/>
      <c r="AI67" s="4094"/>
      <c r="AJ67" s="4094"/>
      <c r="AK67" s="4094"/>
      <c r="AL67" s="4094"/>
      <c r="AM67" s="4094"/>
      <c r="AN67" s="4094"/>
      <c r="AO67" s="4094"/>
      <c r="AP67" s="4094"/>
      <c r="AQ67" s="4094"/>
      <c r="AR67" s="4094"/>
      <c r="AS67" s="4094"/>
      <c r="AT67" s="4094"/>
      <c r="AU67" s="4094"/>
    </row>
    <row r="68" spans="15:47" ht="15.75" customHeight="1">
      <c r="O68" s="462"/>
      <c r="T68" s="4094"/>
      <c r="U68" s="4094"/>
      <c r="V68" s="4094"/>
      <c r="W68" s="4094"/>
      <c r="X68" s="4094"/>
      <c r="Y68" s="4094"/>
      <c r="Z68" s="4094"/>
      <c r="AA68" s="4094"/>
      <c r="AB68" s="4094"/>
      <c r="AC68" s="4094"/>
      <c r="AD68" s="4094"/>
      <c r="AE68" s="4094"/>
      <c r="AF68" s="4094"/>
      <c r="AG68" s="4094"/>
      <c r="AH68" s="4094"/>
      <c r="AI68" s="4094"/>
      <c r="AJ68" s="4094"/>
      <c r="AK68" s="4094"/>
      <c r="AL68" s="4094"/>
      <c r="AM68" s="4094"/>
      <c r="AN68" s="4094"/>
      <c r="AO68" s="4094"/>
      <c r="AP68" s="4094"/>
      <c r="AQ68" s="4094"/>
      <c r="AR68" s="4094"/>
      <c r="AS68" s="4094"/>
      <c r="AT68" s="4094"/>
      <c r="AU68" s="4094"/>
    </row>
    <row r="69" spans="15:47" ht="14.25" customHeight="1">
      <c r="O69" s="462"/>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553" hidden="1"/>
    <col min="2" max="2" width="11" style="2553" hidden="1" customWidth="1"/>
    <col min="3" max="3" width="10.5703125" style="2553" hidden="1"/>
    <col min="4" max="4" width="11.85546875" style="2553" hidden="1" customWidth="1"/>
    <col min="5" max="5" width="10" style="2553" hidden="1" customWidth="1"/>
    <col min="6" max="6" width="8.7109375" style="2553" hidden="1" customWidth="1"/>
    <col min="7" max="7" width="7.5703125" style="2553" hidden="1" customWidth="1"/>
    <col min="8" max="8" width="11.42578125" style="2553" hidden="1" customWidth="1"/>
    <col min="9" max="9" width="14.140625" style="2553" hidden="1" customWidth="1"/>
    <col min="10" max="10" width="9.85546875" style="2553" hidden="1" customWidth="1"/>
    <col min="11" max="11" width="14.7109375" style="2553" hidden="1" customWidth="1"/>
    <col min="12" max="12" width="19.140625" style="3803" hidden="1" customWidth="1"/>
    <col min="13" max="14" width="12.28515625" style="2555" hidden="1" customWidth="1"/>
    <col min="15" max="15" width="23.42578125" style="2555" hidden="1" customWidth="1"/>
    <col min="16" max="16" width="3.7109375" style="3804" customWidth="1"/>
    <col min="17" max="18" width="3.7109375" style="3173" customWidth="1"/>
    <col min="19" max="19" width="12.7109375" style="3174" customWidth="1"/>
    <col min="20" max="20" width="35.7109375" style="1920" customWidth="1"/>
    <col min="21" max="21" width="0.140625" style="1920" customWidth="1"/>
    <col min="22" max="24" width="24.7109375" style="1920" hidden="1" customWidth="1"/>
    <col min="25" max="25" width="11.7109375" style="1920" hidden="1" customWidth="1"/>
    <col min="26" max="26" width="3.7109375" style="1920" hidden="1" customWidth="1"/>
    <col min="27" max="27" width="11.7109375" style="1920" hidden="1" customWidth="1"/>
    <col min="28" max="28" width="8.5703125" style="1920" hidden="1" customWidth="1"/>
    <col min="29" max="31" width="24.7109375" style="1920" customWidth="1"/>
    <col min="32" max="32" width="11.7109375" style="1920" customWidth="1"/>
    <col min="33" max="33" width="3.7109375" style="1920" customWidth="1"/>
    <col min="34" max="34" width="11.7109375" style="1920" customWidth="1"/>
    <col min="35" max="35" width="8.5703125" style="1920" hidden="1" customWidth="1"/>
    <col min="36" max="36" width="4.7109375" style="1920" customWidth="1"/>
    <col min="37" max="37" width="115.7109375" style="1920" customWidth="1"/>
    <col min="38" max="39" width="10.5703125" style="1821"/>
    <col min="40" max="40" width="11.140625" style="1821" customWidth="1"/>
    <col min="41" max="42" width="10.5703125" style="1821"/>
  </cols>
  <sheetData>
    <row r="1" spans="1:42" ht="14.25" hidden="1" customHeight="1">
      <c r="X1" s="254"/>
      <c r="Y1" s="254"/>
      <c r="AE1" s="254"/>
      <c r="AF1" s="254"/>
    </row>
    <row r="2" spans="1:42" ht="23.25" hidden="1" customHeight="1">
      <c r="A2" s="1279"/>
      <c r="B2" s="1279"/>
      <c r="C2" s="1279"/>
      <c r="D2" s="1279"/>
      <c r="E2" s="4074">
        <v>1</v>
      </c>
      <c r="F2" s="1279"/>
      <c r="G2" s="1279"/>
      <c r="H2" s="1279"/>
      <c r="I2" s="1279"/>
      <c r="J2" s="1279"/>
      <c r="K2" s="1279"/>
      <c r="L2" s="1280"/>
      <c r="M2" s="1281"/>
      <c r="N2" s="1281"/>
      <c r="O2" s="1281"/>
      <c r="P2" s="286"/>
      <c r="Q2" s="285"/>
      <c r="R2" s="280"/>
      <c r="S2" s="1340" t="e">
        <f>INDEX(PT_DIFFERENTIATION_NUM_NTAR,MATCH(A2,PT_DIFFERENTIATION_NTAR_ID,0))</f>
        <v>#N/A</v>
      </c>
      <c r="T2" s="217" t="s">
        <v>121</v>
      </c>
      <c r="U2" s="219"/>
      <c r="V2" s="4060"/>
      <c r="W2" s="4061"/>
      <c r="X2" s="4061"/>
      <c r="Y2" s="4061"/>
      <c r="Z2" s="4061"/>
      <c r="AA2" s="4061"/>
      <c r="AB2" s="4062"/>
      <c r="AC2" s="4060" t="e">
        <f>INDEX(PT_DIFFERENTIATION_NTAR,MATCH(A2,PT_DIFFERENTIATION_NTAR_ID,0))</f>
        <v>#N/A</v>
      </c>
      <c r="AD2" s="4061"/>
      <c r="AE2" s="4061"/>
      <c r="AF2" s="4061"/>
      <c r="AG2" s="4061"/>
      <c r="AH2" s="4061"/>
      <c r="AI2" s="4061"/>
      <c r="AJ2" s="4062"/>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4075"/>
      <c r="F3" s="4074">
        <v>1</v>
      </c>
      <c r="G3" s="1279"/>
      <c r="H3" s="1279"/>
      <c r="I3" s="1279"/>
      <c r="J3" s="1279"/>
      <c r="K3" s="1279"/>
      <c r="L3" s="1280"/>
      <c r="M3" s="1281"/>
      <c r="N3" s="1281"/>
      <c r="O3" s="1281"/>
      <c r="P3" s="1338"/>
      <c r="Q3" s="277"/>
      <c r="R3" s="278"/>
      <c r="S3" s="1340" t="e">
        <f>INDEX(PT_DIFFERENTIATION_NUM_TER,MATCH(B3,PT_DIFFERENTIATION_TER_ID,0))</f>
        <v>#N/A</v>
      </c>
      <c r="T3" s="229" t="s">
        <v>389</v>
      </c>
      <c r="U3" s="219"/>
      <c r="V3" s="4060"/>
      <c r="W3" s="4061"/>
      <c r="X3" s="4061"/>
      <c r="Y3" s="4061"/>
      <c r="Z3" s="4061"/>
      <c r="AA3" s="4061"/>
      <c r="AB3" s="4062"/>
      <c r="AC3" s="4060" t="e">
        <f>INDEX(PT_DIFFERENTIATION_TER,MATCH(B3,PT_DIFFERENTIATION_TER_ID,0))</f>
        <v>#N/A</v>
      </c>
      <c r="AD3" s="4061"/>
      <c r="AE3" s="4061"/>
      <c r="AF3" s="4061"/>
      <c r="AG3" s="4061"/>
      <c r="AH3" s="4061"/>
      <c r="AI3" s="4061"/>
      <c r="AJ3" s="4062"/>
      <c r="AK3" s="1177" t="s">
        <v>390</v>
      </c>
      <c r="AM3" s="426"/>
      <c r="AN3" s="426" t="str">
        <f t="shared" si="0"/>
        <v>Территория действия тарифа</v>
      </c>
      <c r="AO3" s="426"/>
      <c r="AP3" s="426"/>
    </row>
    <row r="4" spans="1:42" ht="23.25" hidden="1" customHeight="1">
      <c r="A4" s="1279"/>
      <c r="B4" s="1279"/>
      <c r="C4" s="1279"/>
      <c r="D4" s="1279"/>
      <c r="E4" s="4075"/>
      <c r="F4" s="4075"/>
      <c r="G4" s="4074">
        <v>1</v>
      </c>
      <c r="H4" s="1279"/>
      <c r="I4" s="1279"/>
      <c r="J4" s="1279"/>
      <c r="K4" s="1279"/>
      <c r="L4" s="1280"/>
      <c r="M4" s="1281"/>
      <c r="N4" s="1281"/>
      <c r="O4" s="1281"/>
      <c r="P4" s="279"/>
      <c r="Q4" s="277"/>
      <c r="R4" s="278"/>
      <c r="S4" s="1340" t="e">
        <f>INDEX(PT_DIFFERENTIATION_NUM_CS,MATCH(C4,PT_DIFFERENTIATION_CS_ID,0))</f>
        <v>#N/A</v>
      </c>
      <c r="T4" s="230" t="s">
        <v>472</v>
      </c>
      <c r="U4" s="219"/>
      <c r="V4" s="4060"/>
      <c r="W4" s="4061"/>
      <c r="X4" s="4061"/>
      <c r="Y4" s="4061"/>
      <c r="Z4" s="4061"/>
      <c r="AA4" s="4061"/>
      <c r="AB4" s="4062"/>
      <c r="AC4" s="4060" t="e">
        <f>INDEX(PT_DIFFERENTIATION_CS,MATCH(C4,PT_DIFFERENTIATION_CS_ID,0))</f>
        <v>#N/A</v>
      </c>
      <c r="AD4" s="4061"/>
      <c r="AE4" s="4061"/>
      <c r="AF4" s="4061"/>
      <c r="AG4" s="4061"/>
      <c r="AH4" s="4061"/>
      <c r="AI4" s="4061"/>
      <c r="AJ4" s="4062"/>
      <c r="AK4" s="1177" t="s">
        <v>473</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4075"/>
      <c r="F5" s="4075"/>
      <c r="G5" s="4075"/>
      <c r="H5" s="4075"/>
      <c r="I5" s="4072" t="e">
        <f>S4&amp;".1"</f>
        <v>#N/A</v>
      </c>
      <c r="J5" s="1279"/>
      <c r="K5" s="1279"/>
      <c r="L5" s="1280"/>
      <c r="P5" s="4073">
        <v>1</v>
      </c>
      <c r="Q5" s="1337"/>
      <c r="R5" s="281"/>
      <c r="S5" s="1340" t="e">
        <f>$I5</f>
        <v>#N/A</v>
      </c>
      <c r="T5" s="204" t="s">
        <v>474</v>
      </c>
      <c r="U5" s="219"/>
      <c r="V5" s="4133"/>
      <c r="W5" s="4134"/>
      <c r="X5" s="4134"/>
      <c r="Y5" s="4134"/>
      <c r="Z5" s="4134"/>
      <c r="AA5" s="4134"/>
      <c r="AB5" s="4135"/>
      <c r="AC5" s="4136"/>
      <c r="AD5" s="4137"/>
      <c r="AE5" s="4137"/>
      <c r="AF5" s="4137"/>
      <c r="AG5" s="4137"/>
      <c r="AH5" s="4137"/>
      <c r="AI5" s="4137"/>
      <c r="AJ5" s="4138"/>
      <c r="AK5" s="1177" t="s">
        <v>475</v>
      </c>
      <c r="AM5" s="426"/>
      <c r="AN5" s="426" t="str">
        <f t="shared" si="0"/>
        <v>Наименование признака дифференциации</v>
      </c>
      <c r="AO5" s="426"/>
      <c r="AP5" s="426"/>
    </row>
    <row r="6" spans="1:42" ht="23.25" hidden="1" customHeight="1">
      <c r="A6" s="1279"/>
      <c r="B6" s="1279"/>
      <c r="C6" s="1279"/>
      <c r="D6" s="1279"/>
      <c r="E6" s="4075"/>
      <c r="F6" s="4075"/>
      <c r="G6" s="4075"/>
      <c r="H6" s="4075"/>
      <c r="I6" s="4095"/>
      <c r="J6" s="4072" t="e">
        <f>I5&amp;".1"</f>
        <v>#N/A</v>
      </c>
      <c r="K6" s="1279"/>
      <c r="L6" s="1280" t="s">
        <v>398</v>
      </c>
      <c r="P6" s="4073"/>
      <c r="Q6" s="4073">
        <v>1</v>
      </c>
      <c r="R6" s="282"/>
      <c r="S6" s="1340" t="e">
        <f>$J6</f>
        <v>#N/A</v>
      </c>
      <c r="T6" s="205" t="s">
        <v>399</v>
      </c>
      <c r="U6" s="219"/>
      <c r="V6" s="4063"/>
      <c r="W6" s="4064"/>
      <c r="X6" s="4064"/>
      <c r="Y6" s="4064"/>
      <c r="Z6" s="4064"/>
      <c r="AA6" s="4064"/>
      <c r="AB6" s="4065"/>
      <c r="AC6" s="4063"/>
      <c r="AD6" s="4064"/>
      <c r="AE6" s="4064"/>
      <c r="AF6" s="4064"/>
      <c r="AG6" s="4064"/>
      <c r="AH6" s="4064"/>
      <c r="AI6" s="4064"/>
      <c r="AJ6" s="4065"/>
      <c r="AK6" s="1226" t="s">
        <v>476</v>
      </c>
      <c r="AM6" s="426"/>
      <c r="AN6" s="426" t="str">
        <f t="shared" si="0"/>
        <v>Группа потребителей</v>
      </c>
      <c r="AO6" s="426"/>
      <c r="AP6" s="426"/>
    </row>
    <row r="7" spans="1:42" ht="23.25" hidden="1" customHeight="1">
      <c r="A7" s="1279"/>
      <c r="B7" s="1279"/>
      <c r="C7" s="1279"/>
      <c r="D7" s="1279"/>
      <c r="E7" s="4075"/>
      <c r="F7" s="4075"/>
      <c r="G7" s="4075"/>
      <c r="H7" s="4075"/>
      <c r="I7" s="4095"/>
      <c r="J7" s="4095"/>
      <c r="K7" s="4072" t="e">
        <f>J6&amp;".1"</f>
        <v>#N/A</v>
      </c>
      <c r="L7" s="1280"/>
      <c r="P7" s="4073"/>
      <c r="Q7" s="4073"/>
      <c r="R7" s="282">
        <v>1</v>
      </c>
      <c r="S7" s="1340" t="e">
        <f>$K7</f>
        <v>#N/A</v>
      </c>
      <c r="T7" s="1352"/>
      <c r="U7" s="219"/>
      <c r="V7" s="668"/>
      <c r="W7" s="668"/>
      <c r="X7" s="1176"/>
      <c r="Y7" s="4077"/>
      <c r="Z7" s="3927" t="s">
        <v>65</v>
      </c>
      <c r="AA7" s="4077"/>
      <c r="AB7" s="3927" t="s">
        <v>65</v>
      </c>
      <c r="AC7" s="668"/>
      <c r="AD7" s="668"/>
      <c r="AE7" s="1176"/>
      <c r="AF7" s="4077"/>
      <c r="AG7" s="3927" t="s">
        <v>65</v>
      </c>
      <c r="AH7" s="4096"/>
      <c r="AI7" s="3927" t="s">
        <v>65</v>
      </c>
      <c r="AJ7" s="1353"/>
      <c r="AK7" s="41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4075"/>
      <c r="F8" s="4075"/>
      <c r="G8" s="4075"/>
      <c r="H8" s="4075"/>
      <c r="I8" s="4095"/>
      <c r="J8" s="4095"/>
      <c r="K8" s="4072"/>
      <c r="L8" s="1280"/>
      <c r="P8" s="4073"/>
      <c r="Q8" s="4073"/>
      <c r="R8" s="282"/>
      <c r="S8" s="1339"/>
      <c r="T8" s="219"/>
      <c r="U8" s="219"/>
      <c r="V8" s="251"/>
      <c r="W8" s="251"/>
      <c r="X8" s="255" t="str">
        <f>Y7&amp;"-"&amp;AA7</f>
        <v>-</v>
      </c>
      <c r="Y8" s="4078"/>
      <c r="Z8" s="3927"/>
      <c r="AA8" s="4078"/>
      <c r="AB8" s="3927"/>
      <c r="AC8" s="251"/>
      <c r="AD8" s="251"/>
      <c r="AE8" s="255" t="str">
        <f>AF7&amp;"-"&amp;AH7</f>
        <v>-</v>
      </c>
      <c r="AF8" s="4078"/>
      <c r="AG8" s="3927"/>
      <c r="AH8" s="4097"/>
      <c r="AI8" s="3927"/>
      <c r="AJ8" s="1354"/>
      <c r="AK8" s="4132"/>
      <c r="AM8" s="426"/>
      <c r="AN8" s="426" t="str">
        <f t="shared" si="0"/>
        <v/>
      </c>
      <c r="AO8" s="426"/>
      <c r="AP8" s="426"/>
    </row>
    <row r="9" spans="1:42" ht="21" hidden="1" customHeight="1">
      <c r="A9" s="1279"/>
      <c r="B9" s="1279"/>
      <c r="C9" s="1279"/>
      <c r="D9" s="1279"/>
      <c r="E9" s="4075"/>
      <c r="F9" s="4075"/>
      <c r="G9" s="4075"/>
      <c r="H9" s="4075"/>
      <c r="I9" s="4095"/>
      <c r="J9" s="4072"/>
      <c r="K9" s="1279"/>
      <c r="L9" s="1280"/>
      <c r="P9" s="4073"/>
      <c r="Q9" s="4073"/>
      <c r="R9" s="281"/>
      <c r="S9" s="1198"/>
      <c r="T9" s="206" t="s">
        <v>477</v>
      </c>
      <c r="U9" s="295"/>
      <c r="V9" s="295"/>
      <c r="W9" s="295"/>
      <c r="X9" s="295"/>
      <c r="Y9" s="295"/>
      <c r="Z9" s="295"/>
      <c r="AA9" s="295"/>
      <c r="AB9" s="295"/>
      <c r="AC9" s="295"/>
      <c r="AD9" s="295"/>
      <c r="AE9" s="295"/>
      <c r="AF9" s="295"/>
      <c r="AG9" s="295"/>
      <c r="AH9" s="295"/>
      <c r="AI9" s="295"/>
      <c r="AJ9" s="295"/>
      <c r="AK9" s="1177" t="s">
        <v>478</v>
      </c>
      <c r="AM9" s="426"/>
      <c r="AN9" s="426" t="str">
        <f t="shared" si="0"/>
        <v>Добавить значение признака дифференциации</v>
      </c>
      <c r="AO9" s="426"/>
      <c r="AP9" s="426"/>
    </row>
    <row r="10" spans="1:42" ht="21" hidden="1" customHeight="1">
      <c r="A10" s="1279"/>
      <c r="B10" s="1279"/>
      <c r="C10" s="1279"/>
      <c r="D10" s="1279"/>
      <c r="E10" s="4075"/>
      <c r="F10" s="4075"/>
      <c r="G10" s="4075"/>
      <c r="H10" s="4075"/>
      <c r="I10" s="4072"/>
      <c r="J10" s="1279"/>
      <c r="K10" s="1279"/>
      <c r="L10" s="1280"/>
      <c r="P10" s="4073"/>
      <c r="Q10" s="1337"/>
      <c r="R10" s="281"/>
      <c r="S10" s="1198"/>
      <c r="T10" s="292" t="s">
        <v>404</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14.25" hidden="1" customHeight="1">
      <c r="A11" s="1279"/>
      <c r="B11" s="1279"/>
      <c r="C11" s="1279"/>
      <c r="D11" s="1279"/>
      <c r="E11" s="4075"/>
      <c r="F11" s="4075"/>
      <c r="G11" s="4075"/>
      <c r="H11" s="4074"/>
      <c r="I11" s="1279"/>
      <c r="J11" s="1279"/>
      <c r="K11" s="1279"/>
      <c r="L11" s="1280"/>
      <c r="M11" s="1281"/>
      <c r="N11" s="1281"/>
      <c r="O11" s="462"/>
      <c r="P11" s="285"/>
      <c r="Q11" s="304"/>
      <c r="R11" s="280"/>
      <c r="S11" s="1198"/>
      <c r="T11" s="300" t="s">
        <v>479</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2550" customFormat="1" ht="14.25" hidden="1" customHeight="1">
      <c r="A12" s="1260"/>
      <c r="B12" s="1260"/>
      <c r="C12" s="1232"/>
      <c r="D12" s="1232"/>
      <c r="E12" s="4075"/>
      <c r="F12" s="4074"/>
      <c r="G12" s="1232"/>
      <c r="H12" s="1232"/>
      <c r="I12" s="1232"/>
      <c r="J12" s="1232"/>
      <c r="K12" s="1232"/>
      <c r="L12" s="1341"/>
      <c r="M12" s="1239"/>
      <c r="N12" s="1239"/>
      <c r="P12" s="1234"/>
      <c r="Q12" s="1235"/>
      <c r="R12" s="1234"/>
      <c r="S12" s="1240"/>
      <c r="T12" s="1243" t="s">
        <v>167</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1" customFormat="1" ht="14.25" hidden="1" customHeight="1">
      <c r="A13" s="1260"/>
      <c r="B13" s="1260"/>
      <c r="C13" s="1260"/>
      <c r="D13" s="1260"/>
      <c r="E13" s="4074"/>
      <c r="F13" s="1260"/>
      <c r="G13" s="1260"/>
      <c r="H13" s="1260"/>
      <c r="I13" s="1260"/>
      <c r="J13" s="1260"/>
      <c r="K13" s="1260"/>
      <c r="L13" s="1263"/>
      <c r="M13" s="1239"/>
      <c r="N13" s="1239"/>
      <c r="O13" s="444"/>
      <c r="P13" s="313"/>
      <c r="Q13" s="1261"/>
      <c r="R13" s="313"/>
      <c r="S13" s="1240"/>
      <c r="T13" s="1243" t="s">
        <v>168</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4079"/>
      <c r="AG15" s="4080" t="s">
        <v>65</v>
      </c>
      <c r="AH15" s="4079"/>
      <c r="AI15" s="4080" t="s">
        <v>65</v>
      </c>
    </row>
    <row r="16" spans="1:42" ht="14.25" hidden="1" customHeight="1">
      <c r="AC16" s="1276"/>
      <c r="AD16" s="1276"/>
      <c r="AE16" s="255" t="str">
        <f>AF15&amp;"-"&amp;AH15</f>
        <v>-</v>
      </c>
      <c r="AF16" s="4080"/>
      <c r="AG16" s="4080"/>
      <c r="AH16" s="4080"/>
      <c r="AI16" s="4080"/>
    </row>
    <row r="17" spans="1:42" ht="14.25" hidden="1" customHeight="1">
      <c r="AI17" s="254"/>
    </row>
    <row r="18" spans="1:42" s="2553" customFormat="1" ht="22.5" hidden="1" customHeight="1">
      <c r="L18" s="1336"/>
      <c r="M18" s="1278"/>
      <c r="N18" s="1278"/>
      <c r="O18" s="1283" t="s">
        <v>406</v>
      </c>
      <c r="P18" s="1278"/>
      <c r="Q18" s="1287"/>
      <c r="R18" s="1287"/>
      <c r="S18" s="648"/>
      <c r="Y18" s="1283"/>
      <c r="AA18" s="1283"/>
      <c r="AB18" s="1282"/>
      <c r="AF18" s="1283"/>
      <c r="AH18" s="1283"/>
      <c r="AI18" s="1282"/>
      <c r="AL18" s="437"/>
      <c r="AM18" s="437"/>
      <c r="AN18" s="437"/>
      <c r="AO18" s="437"/>
      <c r="AP18" s="437"/>
    </row>
    <row r="19" spans="1:42" s="2553" customFormat="1" ht="14.25" hidden="1" customHeight="1">
      <c r="L19" s="1336"/>
      <c r="M19" s="1278"/>
      <c r="N19" s="1278"/>
      <c r="O19" s="1278"/>
      <c r="P19" s="1278"/>
      <c r="Q19" s="1287"/>
      <c r="R19" s="1287"/>
      <c r="S19" s="648"/>
      <c r="AB19" s="1282"/>
      <c r="AI19" s="1282"/>
      <c r="AL19" s="437"/>
      <c r="AM19" s="437"/>
      <c r="AN19" s="437"/>
      <c r="AO19" s="437"/>
      <c r="AP19" s="437"/>
    </row>
    <row r="20" spans="1:42" s="2553" customFormat="1" ht="12" hidden="1" customHeight="1">
      <c r="L20" s="1336"/>
      <c r="M20" s="1278"/>
      <c r="N20" s="1278"/>
      <c r="O20" s="1280" t="s">
        <v>407</v>
      </c>
      <c r="P20" s="1278"/>
      <c r="Q20" s="1356"/>
      <c r="R20" s="1356"/>
      <c r="S20" s="648"/>
      <c r="T20" s="1060" t="s">
        <v>408</v>
      </c>
      <c r="Z20" s="107" t="s">
        <v>409</v>
      </c>
      <c r="AB20" s="107" t="s">
        <v>410</v>
      </c>
      <c r="AC20" s="1060" t="s">
        <v>408</v>
      </c>
      <c r="AG20" s="107" t="s">
        <v>411</v>
      </c>
      <c r="AI20" s="107" t="s">
        <v>410</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405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4058"/>
      <c r="U24" s="4058"/>
      <c r="V24" s="4058"/>
      <c r="W24" s="4058"/>
      <c r="X24" s="4058"/>
      <c r="Y24" s="4058"/>
      <c r="Z24" s="4058"/>
      <c r="AA24" s="4058"/>
      <c r="AB24" s="4058"/>
      <c r="AC24" s="4058"/>
      <c r="AD24" s="4058"/>
      <c r="AE24" s="4058"/>
      <c r="AF24" s="4058"/>
      <c r="AG24" s="4058"/>
      <c r="AH24" s="4058"/>
      <c r="AI24" s="1152"/>
    </row>
    <row r="25" spans="1:42" ht="14.25" customHeight="1">
      <c r="Q25" s="305"/>
      <c r="R25" s="305"/>
      <c r="S25" s="4004" t="str">
        <f>IF(org=0,"Не определено",org)</f>
        <v>ООО «РИР-Сахалин»</v>
      </c>
      <c r="T25" s="4004"/>
      <c r="U25" s="4004"/>
      <c r="V25" s="4004"/>
      <c r="W25" s="4004"/>
      <c r="X25" s="4004"/>
      <c r="Y25" s="4004"/>
      <c r="Z25" s="4004"/>
      <c r="AA25" s="4004"/>
      <c r="AB25" s="4004"/>
      <c r="AC25" s="4004"/>
      <c r="AD25" s="4004"/>
      <c r="AE25" s="4004"/>
      <c r="AF25" s="4004"/>
      <c r="AG25" s="4004"/>
      <c r="AH25" s="4004"/>
      <c r="AI25" s="1152"/>
    </row>
    <row r="26" spans="1:42" ht="14.25" hidden="1"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2564" customFormat="1" ht="25.5" hidden="1" customHeight="1">
      <c r="A27" s="1284"/>
      <c r="B27" s="1284"/>
      <c r="C27" s="1284"/>
      <c r="D27" s="1284"/>
      <c r="E27" s="1284"/>
      <c r="F27" s="1284"/>
      <c r="G27" s="1284"/>
      <c r="H27" s="1284"/>
      <c r="I27" s="1284"/>
      <c r="J27" s="1284"/>
      <c r="K27" s="1284"/>
      <c r="L27" s="1285"/>
      <c r="M27" s="1284"/>
      <c r="N27" s="1284"/>
      <c r="O27" s="1284"/>
      <c r="S27" s="4066" t="s">
        <v>38</v>
      </c>
      <c r="T27" s="4066"/>
      <c r="U27" s="1288"/>
      <c r="V27" s="4067" t="str">
        <f>IF(TITLE_NAME_OR_PR_CHANGE="",IF(TITLE_NAME_OR_PR="","",TITLE_NAME_OR_PR),TITLE_NAME_OR_PR_CHANGE)</f>
        <v/>
      </c>
      <c r="W27" s="4067"/>
      <c r="X27" s="4067"/>
      <c r="Y27" s="4067"/>
      <c r="Z27" s="4067"/>
      <c r="AA27" s="4067"/>
      <c r="AB27" s="253"/>
      <c r="AC27" s="4067" t="str">
        <f>IF(TITLE_NAME_OR_PR_CHANGE="",IF(TITLE_NAME_OR_PR="","",TITLE_NAME_OR_PR),TITLE_NAME_OR_PR_CHANGE)</f>
        <v/>
      </c>
      <c r="AD27" s="4067"/>
      <c r="AE27" s="4067"/>
      <c r="AF27" s="4067"/>
      <c r="AG27" s="4067"/>
      <c r="AH27" s="4067"/>
      <c r="AI27" s="253"/>
      <c r="AJ27" s="253"/>
      <c r="AK27" s="200"/>
      <c r="AL27" s="296"/>
      <c r="AM27" s="296"/>
      <c r="AN27" s="296"/>
      <c r="AO27" s="296"/>
      <c r="AP27" s="296"/>
    </row>
    <row r="28" spans="1:42" s="2564" customFormat="1" ht="18.75" hidden="1" customHeight="1">
      <c r="A28" s="1284"/>
      <c r="B28" s="1284"/>
      <c r="C28" s="1284"/>
      <c r="D28" s="1284"/>
      <c r="E28" s="1284"/>
      <c r="F28" s="1284"/>
      <c r="G28" s="1284"/>
      <c r="H28" s="1284"/>
      <c r="I28" s="1284"/>
      <c r="J28" s="1284"/>
      <c r="K28" s="1284"/>
      <c r="L28" s="1285"/>
      <c r="M28" s="1284"/>
      <c r="N28" s="1284"/>
      <c r="O28" s="1284"/>
      <c r="S28" s="4066" t="s">
        <v>412</v>
      </c>
      <c r="T28" s="4066"/>
      <c r="U28" s="1288"/>
      <c r="V28" s="4076">
        <f>IF(TITLE_DATE_PR_CHANGE="",IF(TITLE_DATE_PR="","",TITLE_DATE_PR),TITLE_DATE_PR_CHANGE)</f>
        <v>45289.465104166666</v>
      </c>
      <c r="W28" s="4076"/>
      <c r="X28" s="4076"/>
      <c r="Y28" s="4076"/>
      <c r="Z28" s="4076"/>
      <c r="AA28" s="4076"/>
      <c r="AB28" s="253"/>
      <c r="AC28" s="4076">
        <f>IF(TITLE_DATE_PR_CHANGE="",IF(TITLE_DATE_PR="","",TITLE_DATE_PR),TITLE_DATE_PR_CHANGE)</f>
        <v>45289.465104166666</v>
      </c>
      <c r="AD28" s="4076"/>
      <c r="AE28" s="4076"/>
      <c r="AF28" s="4076"/>
      <c r="AG28" s="4076"/>
      <c r="AH28" s="4076"/>
      <c r="AI28" s="253"/>
      <c r="AJ28" s="253"/>
      <c r="AK28" s="200"/>
      <c r="AL28" s="296"/>
      <c r="AM28" s="296"/>
      <c r="AN28" s="296"/>
      <c r="AO28" s="296"/>
      <c r="AP28" s="296"/>
    </row>
    <row r="29" spans="1:42" s="2564" customFormat="1" ht="18.75" hidden="1" customHeight="1">
      <c r="A29" s="1284"/>
      <c r="B29" s="1284"/>
      <c r="C29" s="1284"/>
      <c r="D29" s="1284"/>
      <c r="E29" s="1284"/>
      <c r="F29" s="1284"/>
      <c r="G29" s="1284"/>
      <c r="H29" s="1284"/>
      <c r="I29" s="1284"/>
      <c r="J29" s="1284"/>
      <c r="K29" s="1284"/>
      <c r="L29" s="1285"/>
      <c r="M29" s="1284"/>
      <c r="N29" s="1284"/>
      <c r="O29" s="1284"/>
      <c r="S29" s="4066" t="s">
        <v>413</v>
      </c>
      <c r="T29" s="4066"/>
      <c r="U29" s="1288"/>
      <c r="V29" s="4067" t="str">
        <f>IF(TITLE_NUMBER_PR_CHANGE="",IF(TITLE_NUMBER_PR="","",TITLE_NUMBER_PR),TITLE_NUMBER_PR_CHANGE)</f>
        <v>761-1/201-1</v>
      </c>
      <c r="W29" s="4067"/>
      <c r="X29" s="4067"/>
      <c r="Y29" s="4067"/>
      <c r="Z29" s="4067"/>
      <c r="AA29" s="4067"/>
      <c r="AB29" s="253"/>
      <c r="AC29" s="4067" t="str">
        <f>IF(TITLE_NUMBER_PR_CHANGE="",IF(TITLE_NUMBER_PR="","",TITLE_NUMBER_PR),TITLE_NUMBER_PR_CHANGE)</f>
        <v>761-1/201-1</v>
      </c>
      <c r="AD29" s="4067"/>
      <c r="AE29" s="4067"/>
      <c r="AF29" s="4067"/>
      <c r="AG29" s="4067"/>
      <c r="AH29" s="4067"/>
      <c r="AI29" s="253"/>
      <c r="AJ29" s="253"/>
      <c r="AK29" s="200"/>
      <c r="AL29" s="296"/>
      <c r="AM29" s="296"/>
      <c r="AN29" s="296"/>
      <c r="AO29" s="296"/>
      <c r="AP29" s="296"/>
    </row>
    <row r="30" spans="1:42" s="2564" customFormat="1" ht="18.75" hidden="1" customHeight="1">
      <c r="A30" s="1284"/>
      <c r="B30" s="1284"/>
      <c r="C30" s="1284"/>
      <c r="D30" s="1284"/>
      <c r="E30" s="1284"/>
      <c r="F30" s="1284"/>
      <c r="G30" s="1284"/>
      <c r="H30" s="1284"/>
      <c r="I30" s="1284"/>
      <c r="J30" s="1284"/>
      <c r="K30" s="1284"/>
      <c r="L30" s="1285"/>
      <c r="M30" s="1284"/>
      <c r="N30" s="1284"/>
      <c r="O30" s="1284"/>
      <c r="S30" s="4066" t="s">
        <v>39</v>
      </c>
      <c r="T30" s="4066"/>
      <c r="U30" s="1288"/>
      <c r="V30" s="4067" t="str">
        <f>IF(TITLE_IST_PUB_CHANGE="",IF(TITLE_IST_PUB="","",TITLE_IST_PUB),TITLE_IST_PUB_CHANGE)</f>
        <v/>
      </c>
      <c r="W30" s="4067"/>
      <c r="X30" s="4067"/>
      <c r="Y30" s="4067"/>
      <c r="Z30" s="4067"/>
      <c r="AA30" s="4067"/>
      <c r="AB30" s="253"/>
      <c r="AC30" s="4067" t="str">
        <f>IF(TITLE_IST_PUB_CHANGE="",IF(TITLE_IST_PUB="","",TITLE_IST_PUB),TITLE_IST_PUB_CHANGE)</f>
        <v/>
      </c>
      <c r="AD30" s="4067"/>
      <c r="AE30" s="4067"/>
      <c r="AF30" s="4067"/>
      <c r="AG30" s="4067"/>
      <c r="AH30" s="4067"/>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2564" customFormat="1" ht="18.75" customHeight="1">
      <c r="A32" s="1284"/>
      <c r="B32" s="1284"/>
      <c r="C32" s="1284"/>
      <c r="D32" s="1284"/>
      <c r="E32" s="1284"/>
      <c r="F32" s="1284"/>
      <c r="G32" s="1284"/>
      <c r="H32" s="1284"/>
      <c r="I32" s="1284"/>
      <c r="J32" s="1284"/>
      <c r="K32" s="1284"/>
      <c r="L32" s="1285"/>
      <c r="M32" s="1284"/>
      <c r="N32" s="1284"/>
      <c r="O32" s="1284"/>
      <c r="S32" s="4066" t="s">
        <v>414</v>
      </c>
      <c r="T32" s="4066"/>
      <c r="U32" s="1288"/>
      <c r="V32" s="4076">
        <f>IF(TITLE_DATE_PR_CHANGE="",IF(TITLE_DATE_PR="","",TITLE_DATE_PR),TITLE_DATE_PR_CHANGE)</f>
        <v>45289.465104166666</v>
      </c>
      <c r="W32" s="4076"/>
      <c r="X32" s="4076"/>
      <c r="Y32" s="4076"/>
      <c r="Z32" s="4076"/>
      <c r="AA32" s="4076"/>
      <c r="AB32" s="253"/>
      <c r="AC32" s="4076">
        <f>IF(TITLE_DATE_PR_CHANGE="",IF(TITLE_DATE_PR="","",TITLE_DATE_PR),TITLE_DATE_PR_CHANGE)</f>
        <v>45289.465104166666</v>
      </c>
      <c r="AD32" s="4076"/>
      <c r="AE32" s="4076"/>
      <c r="AF32" s="4076"/>
      <c r="AG32" s="4076"/>
      <c r="AH32" s="4076"/>
      <c r="AI32" s="253"/>
      <c r="AJ32" s="253"/>
      <c r="AK32" s="200"/>
      <c r="AL32" s="296"/>
      <c r="AM32" s="296"/>
      <c r="AN32" s="296"/>
      <c r="AO32" s="296"/>
      <c r="AP32" s="296"/>
    </row>
    <row r="33" spans="1:42" s="2564" customFormat="1" ht="18.75" customHeight="1">
      <c r="A33" s="1284"/>
      <c r="B33" s="1284"/>
      <c r="C33" s="1284"/>
      <c r="D33" s="1284"/>
      <c r="E33" s="1284"/>
      <c r="F33" s="1284"/>
      <c r="G33" s="1284"/>
      <c r="H33" s="1284"/>
      <c r="I33" s="1284"/>
      <c r="J33" s="1284"/>
      <c r="K33" s="1284"/>
      <c r="L33" s="1285"/>
      <c r="M33" s="1284"/>
      <c r="N33" s="1284"/>
      <c r="O33" s="1284"/>
      <c r="S33" s="4066" t="s">
        <v>415</v>
      </c>
      <c r="T33" s="4066"/>
      <c r="U33" s="1288"/>
      <c r="V33" s="4067" t="str">
        <f>IF(TITLE_NUMBER_PR_CHANGE="",IF(TITLE_NUMBER_PR="","",TITLE_NUMBER_PR),TITLE_NUMBER_PR_CHANGE)</f>
        <v>761-1/201-1</v>
      </c>
      <c r="W33" s="4067"/>
      <c r="X33" s="4067"/>
      <c r="Y33" s="4067"/>
      <c r="Z33" s="4067"/>
      <c r="AA33" s="4067"/>
      <c r="AB33" s="253"/>
      <c r="AC33" s="4067" t="str">
        <f>IF(TITLE_NUMBER_PR_CHANGE="",IF(TITLE_NUMBER_PR="","",TITLE_NUMBER_PR),TITLE_NUMBER_PR_CHANGE)</f>
        <v>761-1/201-1</v>
      </c>
      <c r="AD33" s="4067"/>
      <c r="AE33" s="4067"/>
      <c r="AF33" s="4067"/>
      <c r="AG33" s="4067"/>
      <c r="AH33" s="4067"/>
      <c r="AI33" s="253"/>
      <c r="AJ33" s="253"/>
      <c r="AK33" s="200"/>
      <c r="AL33" s="296"/>
      <c r="AM33" s="296"/>
      <c r="AN33" s="296"/>
      <c r="AO33" s="296"/>
      <c r="AP33" s="296"/>
    </row>
    <row r="34" spans="1:42" s="2564" customFormat="1" ht="0.75" customHeight="1">
      <c r="A34" s="1284"/>
      <c r="B34" s="1284"/>
      <c r="C34" s="1284"/>
      <c r="D34" s="1284"/>
      <c r="E34" s="1284"/>
      <c r="F34" s="1284"/>
      <c r="G34" s="1284"/>
      <c r="H34" s="1284"/>
      <c r="I34" s="1284"/>
      <c r="J34" s="1284"/>
      <c r="K34" s="1284"/>
      <c r="L34" s="1285"/>
      <c r="M34" s="1284"/>
      <c r="N34" s="1284"/>
      <c r="O34" s="1284"/>
      <c r="S34" s="249"/>
      <c r="T34" s="249"/>
      <c r="U34" s="1271"/>
      <c r="V34" s="253"/>
      <c r="W34" s="253"/>
      <c r="X34" s="253"/>
      <c r="Y34" s="253"/>
      <c r="Z34" s="253"/>
      <c r="AA34" s="253"/>
      <c r="AB34" s="198" t="s">
        <v>416</v>
      </c>
      <c r="AC34" s="253"/>
      <c r="AD34" s="253"/>
      <c r="AE34" s="253"/>
      <c r="AF34" s="253"/>
      <c r="AG34" s="253"/>
      <c r="AH34" s="253"/>
      <c r="AI34" s="198" t="s">
        <v>416</v>
      </c>
      <c r="AL34" s="296"/>
      <c r="AM34" s="296"/>
      <c r="AN34" s="296"/>
      <c r="AO34" s="296"/>
      <c r="AP34" s="296"/>
    </row>
    <row r="35" spans="1:42" ht="14.25" customHeight="1">
      <c r="Q35" s="305"/>
      <c r="R35" s="305"/>
      <c r="S35" s="1195"/>
      <c r="T35" s="290"/>
      <c r="U35" s="1153"/>
      <c r="V35" s="4068"/>
      <c r="W35" s="4068"/>
      <c r="X35" s="4068"/>
      <c r="Y35" s="4068"/>
      <c r="Z35" s="4068"/>
      <c r="AA35" s="4068"/>
      <c r="AB35" s="4068"/>
      <c r="AC35" s="4068"/>
      <c r="AD35" s="4068"/>
      <c r="AE35" s="4068"/>
      <c r="AF35" s="4068"/>
      <c r="AG35" s="4068"/>
      <c r="AH35" s="4068"/>
      <c r="AI35" s="4068"/>
    </row>
    <row r="36" spans="1:42" ht="14.25" customHeight="1">
      <c r="Q36" s="305"/>
      <c r="R36" s="305"/>
      <c r="S36" s="3946" t="s">
        <v>290</v>
      </c>
      <c r="T36" s="3946"/>
      <c r="U36" s="3946"/>
      <c r="V36" s="3946"/>
      <c r="W36" s="3946"/>
      <c r="X36" s="3946"/>
      <c r="Y36" s="3946"/>
      <c r="Z36" s="3946"/>
      <c r="AA36" s="3946"/>
      <c r="AB36" s="3946"/>
      <c r="AC36" s="3946"/>
      <c r="AD36" s="3946"/>
      <c r="AE36" s="3946"/>
      <c r="AF36" s="3946"/>
      <c r="AG36" s="3946"/>
      <c r="AH36" s="3946"/>
      <c r="AI36" s="3946"/>
      <c r="AJ36" s="3946"/>
      <c r="AK36" s="3946" t="s">
        <v>291</v>
      </c>
    </row>
    <row r="37" spans="1:42" ht="14.25" customHeight="1">
      <c r="Q37" s="305"/>
      <c r="R37" s="305"/>
      <c r="S37" s="4082" t="s">
        <v>86</v>
      </c>
      <c r="T37" s="4033" t="s">
        <v>418</v>
      </c>
      <c r="U37" s="220"/>
      <c r="V37" s="4083" t="s">
        <v>419</v>
      </c>
      <c r="W37" s="4084"/>
      <c r="X37" s="4084"/>
      <c r="Y37" s="4084"/>
      <c r="Z37" s="4084"/>
      <c r="AA37" s="4085"/>
      <c r="AB37" s="4086" t="s">
        <v>420</v>
      </c>
      <c r="AC37" s="4083" t="s">
        <v>419</v>
      </c>
      <c r="AD37" s="4084"/>
      <c r="AE37" s="4084"/>
      <c r="AF37" s="4084"/>
      <c r="AG37" s="4084"/>
      <c r="AH37" s="4085"/>
      <c r="AI37" s="4086" t="s">
        <v>421</v>
      </c>
      <c r="AJ37" s="4089" t="s">
        <v>422</v>
      </c>
      <c r="AK37" s="3946"/>
    </row>
    <row r="38" spans="1:42" ht="33.75" customHeight="1">
      <c r="Q38" s="305"/>
      <c r="R38" s="305"/>
      <c r="S38" s="4082"/>
      <c r="T38" s="4033"/>
      <c r="U38" s="938"/>
      <c r="V38" s="1268" t="s">
        <v>480</v>
      </c>
      <c r="W38" s="3918" t="s">
        <v>425</v>
      </c>
      <c r="X38" s="3917"/>
      <c r="Y38" s="3918" t="s">
        <v>426</v>
      </c>
      <c r="Z38" s="3923"/>
      <c r="AA38" s="3917"/>
      <c r="AB38" s="4087"/>
      <c r="AC38" s="1268" t="s">
        <v>480</v>
      </c>
      <c r="AD38" s="3918" t="s">
        <v>425</v>
      </c>
      <c r="AE38" s="3917"/>
      <c r="AF38" s="3918" t="s">
        <v>426</v>
      </c>
      <c r="AG38" s="3923"/>
      <c r="AH38" s="3917"/>
      <c r="AI38" s="4087"/>
      <c r="AJ38" s="4090"/>
      <c r="AK38" s="3946"/>
    </row>
    <row r="39" spans="1:42" ht="33.75" customHeight="1">
      <c r="A39" s="1286"/>
      <c r="B39" s="1286" t="s">
        <v>133</v>
      </c>
      <c r="C39" s="1286" t="s">
        <v>134</v>
      </c>
      <c r="D39" s="1286" t="s">
        <v>135</v>
      </c>
      <c r="E39" s="1280" t="s">
        <v>427</v>
      </c>
      <c r="F39" s="1280" t="s">
        <v>428</v>
      </c>
      <c r="G39" s="1280" t="s">
        <v>429</v>
      </c>
      <c r="H39" s="1280"/>
      <c r="I39" s="1280" t="s">
        <v>481</v>
      </c>
      <c r="J39" s="1280" t="s">
        <v>432</v>
      </c>
      <c r="K39" s="1280" t="s">
        <v>482</v>
      </c>
      <c r="L39" s="1280" t="s">
        <v>407</v>
      </c>
      <c r="Q39" s="305"/>
      <c r="R39" s="305"/>
      <c r="S39" s="4082"/>
      <c r="T39" s="4033"/>
      <c r="U39" s="221"/>
      <c r="V39" s="1268" t="s">
        <v>483</v>
      </c>
      <c r="W39" s="1128" t="s">
        <v>484</v>
      </c>
      <c r="X39" s="1128" t="s">
        <v>485</v>
      </c>
      <c r="Y39" s="1273" t="s">
        <v>436</v>
      </c>
      <c r="Z39" s="4042" t="s">
        <v>437</v>
      </c>
      <c r="AA39" s="4044"/>
      <c r="AB39" s="4088"/>
      <c r="AC39" s="1268" t="s">
        <v>483</v>
      </c>
      <c r="AD39" s="1128" t="s">
        <v>484</v>
      </c>
      <c r="AE39" s="1128" t="s">
        <v>485</v>
      </c>
      <c r="AF39" s="1273" t="s">
        <v>436</v>
      </c>
      <c r="AG39" s="4042" t="s">
        <v>437</v>
      </c>
      <c r="AH39" s="4044"/>
      <c r="AI39" s="4088"/>
      <c r="AJ39" s="4091"/>
      <c r="AK39" s="3946"/>
    </row>
    <row r="40" spans="1:42" s="1820"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107</v>
      </c>
      <c r="T40" s="1172" t="s">
        <v>108</v>
      </c>
      <c r="U40" s="1154" t="str">
        <f ca="1">OFFSET(U40,0,-1)</f>
        <v>2</v>
      </c>
      <c r="V40" s="1269">
        <f ca="1">OFFSET(V40,0,-1)+1</f>
        <v>3</v>
      </c>
      <c r="W40" s="1269">
        <f ca="1">OFFSET(W40,0,-1)+1</f>
        <v>4</v>
      </c>
      <c r="X40" s="1269">
        <f ca="1">OFFSET(X40,0,-1)+1</f>
        <v>5</v>
      </c>
      <c r="Y40" s="1269">
        <f ca="1">OFFSET(Y40,0,-1)+1</f>
        <v>6</v>
      </c>
      <c r="Z40" s="4081">
        <f ca="1">OFFSET(Z40,0,-1)+1</f>
        <v>7</v>
      </c>
      <c r="AA40" s="4081"/>
      <c r="AB40" s="1269">
        <f ca="1">OFFSET(AB40,0,-2)+1</f>
        <v>8</v>
      </c>
      <c r="AC40" s="1269">
        <f ca="1">OFFSET(AC40,0,-1)+1</f>
        <v>9</v>
      </c>
      <c r="AD40" s="1269">
        <f ca="1">OFFSET(AD40,0,-1)+1</f>
        <v>10</v>
      </c>
      <c r="AE40" s="1269">
        <f ca="1">OFFSET(AE40,0,-1)+1</f>
        <v>11</v>
      </c>
      <c r="AF40" s="1269">
        <f ca="1">OFFSET(AF40,0,-1)+1</f>
        <v>12</v>
      </c>
      <c r="AG40" s="4081">
        <f ca="1">OFFSET(AG40,0,-1)+1</f>
        <v>13</v>
      </c>
      <c r="AH40" s="4081"/>
      <c r="AI40" s="1269">
        <f ca="1">OFFSET(AI40,0,-2)+1</f>
        <v>14</v>
      </c>
      <c r="AJ40" s="1154">
        <f ca="1">OFFSET(AJ40,0,-1)</f>
        <v>14</v>
      </c>
      <c r="AK40" s="1269">
        <f ca="1">OFFSET(AK40,0,-1)+1</f>
        <v>15</v>
      </c>
      <c r="AL40" s="437"/>
      <c r="AM40" s="437"/>
      <c r="AN40" s="437"/>
      <c r="AO40" s="437"/>
      <c r="AP40" s="437"/>
    </row>
    <row r="41" spans="1:42" ht="23.25" customHeight="1">
      <c r="A41" s="1279" t="s">
        <v>216</v>
      </c>
      <c r="B41" s="1279"/>
      <c r="C41" s="1279"/>
      <c r="D41" s="1279"/>
      <c r="E41" s="4074">
        <v>1</v>
      </c>
      <c r="F41" s="1279"/>
      <c r="G41" s="1279"/>
      <c r="H41" s="1279"/>
      <c r="I41" s="1279"/>
      <c r="J41" s="1279"/>
      <c r="K41" s="1279"/>
      <c r="L41" s="1280"/>
      <c r="M41" s="1281"/>
      <c r="N41" s="1281"/>
      <c r="O41" s="1281"/>
      <c r="P41" s="286"/>
      <c r="Q41" s="285"/>
      <c r="R41" s="280"/>
      <c r="S41" s="1274">
        <f>INDEX(PT_DIFFERENTIATION_NUM_NTAR,MATCH(A41,PT_DIFFERENTIATION_NTAR_ID,0))</f>
        <v>0</v>
      </c>
      <c r="T41" s="217" t="s">
        <v>121</v>
      </c>
      <c r="U41" s="219"/>
      <c r="V41" s="4060"/>
      <c r="W41" s="4061"/>
      <c r="X41" s="4061"/>
      <c r="Y41" s="4061"/>
      <c r="Z41" s="4061"/>
      <c r="AA41" s="4061"/>
      <c r="AB41" s="4062"/>
      <c r="AC41" s="4060" t="str">
        <f>INDEX(PT_DIFFERENTIATION_NTAR,MATCH(A41,PT_DIFFERENTIATION_NTAR_ID,0))</f>
        <v/>
      </c>
      <c r="AD41" s="4061"/>
      <c r="AE41" s="4061"/>
      <c r="AF41" s="4061"/>
      <c r="AG41" s="4061"/>
      <c r="AH41" s="4061"/>
      <c r="AI41" s="4061"/>
      <c r="AJ41" s="4062"/>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216</v>
      </c>
      <c r="B42" s="1279" t="s">
        <v>217</v>
      </c>
      <c r="C42" s="1279"/>
      <c r="D42" s="1279"/>
      <c r="E42" s="4075"/>
      <c r="F42" s="4074">
        <v>1</v>
      </c>
      <c r="G42" s="1279"/>
      <c r="H42" s="1279"/>
      <c r="I42" s="1279"/>
      <c r="J42" s="1279"/>
      <c r="K42" s="1279"/>
      <c r="L42" s="1280"/>
      <c r="M42" s="1281"/>
      <c r="N42" s="1281"/>
      <c r="O42" s="1281"/>
      <c r="P42" s="1272"/>
      <c r="Q42" s="277"/>
      <c r="R42" s="278"/>
      <c r="S42" s="1274" t="str">
        <f>INDEX(PT_DIFFERENTIATION_NUM_TER,MATCH(B42,PT_DIFFERENTIATION_TER_ID,0))</f>
        <v>.</v>
      </c>
      <c r="T42" s="229" t="s">
        <v>389</v>
      </c>
      <c r="U42" s="219"/>
      <c r="V42" s="4060"/>
      <c r="W42" s="4061"/>
      <c r="X42" s="4061"/>
      <c r="Y42" s="4061"/>
      <c r="Z42" s="4061"/>
      <c r="AA42" s="4061"/>
      <c r="AB42" s="4062"/>
      <c r="AC42" s="4060" t="str">
        <f>INDEX(PT_DIFFERENTIATION_TER,MATCH(B42,PT_DIFFERENTIATION_TER_ID,0))</f>
        <v/>
      </c>
      <c r="AD42" s="4061"/>
      <c r="AE42" s="4061"/>
      <c r="AF42" s="4061"/>
      <c r="AG42" s="4061"/>
      <c r="AH42" s="4061"/>
      <c r="AI42" s="4061"/>
      <c r="AJ42" s="4062"/>
      <c r="AK42" s="1177" t="s">
        <v>390</v>
      </c>
      <c r="AM42" s="426"/>
      <c r="AN42" s="426" t="str">
        <f t="shared" si="1"/>
        <v>Территория действия тарифа</v>
      </c>
      <c r="AO42" s="426"/>
      <c r="AP42" s="426"/>
    </row>
    <row r="43" spans="1:42" ht="23.25" customHeight="1">
      <c r="A43" s="1279" t="s">
        <v>216</v>
      </c>
      <c r="B43" s="1279" t="s">
        <v>217</v>
      </c>
      <c r="C43" s="1279" t="s">
        <v>218</v>
      </c>
      <c r="D43" s="1279"/>
      <c r="E43" s="4075"/>
      <c r="F43" s="4075"/>
      <c r="G43" s="4074">
        <v>1</v>
      </c>
      <c r="H43" s="1279"/>
      <c r="I43" s="1279"/>
      <c r="J43" s="1279"/>
      <c r="K43" s="1279"/>
      <c r="L43" s="1280"/>
      <c r="M43" s="1281"/>
      <c r="N43" s="1281"/>
      <c r="O43" s="1281"/>
      <c r="P43" s="279"/>
      <c r="Q43" s="277"/>
      <c r="R43" s="278"/>
      <c r="S43" s="1274" t="str">
        <f>INDEX(PT_DIFFERENTIATION_NUM_CS,MATCH(C43,PT_DIFFERENTIATION_CS_ID,0))</f>
        <v>..</v>
      </c>
      <c r="T43" s="230" t="s">
        <v>472</v>
      </c>
      <c r="U43" s="219"/>
      <c r="V43" s="4060"/>
      <c r="W43" s="4061"/>
      <c r="X43" s="4061"/>
      <c r="Y43" s="4061"/>
      <c r="Z43" s="4061"/>
      <c r="AA43" s="4061"/>
      <c r="AB43" s="4062"/>
      <c r="AC43" s="4060" t="str">
        <f>INDEX(PT_DIFFERENTIATION_CS,MATCH(C43,PT_DIFFERENTIATION_CS_ID,0))</f>
        <v/>
      </c>
      <c r="AD43" s="4061"/>
      <c r="AE43" s="4061"/>
      <c r="AF43" s="4061"/>
      <c r="AG43" s="4061"/>
      <c r="AH43" s="4061"/>
      <c r="AI43" s="4061"/>
      <c r="AJ43" s="4062"/>
      <c r="AK43" s="1177" t="s">
        <v>473</v>
      </c>
      <c r="AM43" s="426"/>
      <c r="AN43" s="426" t="str">
        <f t="shared" si="1"/>
        <v>Наименование централизованной системы холодного водоснабжения</v>
      </c>
      <c r="AO43" s="426"/>
      <c r="AP43" s="426"/>
    </row>
    <row r="44" spans="1:42" ht="23.25" customHeight="1">
      <c r="A44" s="1279" t="s">
        <v>216</v>
      </c>
      <c r="B44" s="1279" t="s">
        <v>217</v>
      </c>
      <c r="C44" s="1279" t="s">
        <v>218</v>
      </c>
      <c r="D44" s="1279" t="s">
        <v>486</v>
      </c>
      <c r="E44" s="4075"/>
      <c r="F44" s="4075"/>
      <c r="G44" s="4075"/>
      <c r="H44" s="4075"/>
      <c r="I44" s="4072" t="str">
        <f>S43&amp;".1"</f>
        <v>...1</v>
      </c>
      <c r="J44" s="1279"/>
      <c r="K44" s="1279"/>
      <c r="L44" s="1280"/>
      <c r="P44" s="4073">
        <v>1</v>
      </c>
      <c r="Q44" s="1270"/>
      <c r="R44" s="281"/>
      <c r="S44" s="1274" t="str">
        <f>$I44</f>
        <v>...1</v>
      </c>
      <c r="T44" s="204" t="s">
        <v>474</v>
      </c>
      <c r="U44" s="219"/>
      <c r="V44" s="4133"/>
      <c r="W44" s="4134"/>
      <c r="X44" s="4134"/>
      <c r="Y44" s="4134"/>
      <c r="Z44" s="4134"/>
      <c r="AA44" s="4134"/>
      <c r="AB44" s="4135"/>
      <c r="AC44" s="4136"/>
      <c r="AD44" s="4137"/>
      <c r="AE44" s="4137"/>
      <c r="AF44" s="4137"/>
      <c r="AG44" s="4137"/>
      <c r="AH44" s="4137"/>
      <c r="AI44" s="4137"/>
      <c r="AJ44" s="4138"/>
      <c r="AK44" s="1177" t="s">
        <v>475</v>
      </c>
      <c r="AM44" s="426"/>
      <c r="AN44" s="426" t="str">
        <f t="shared" si="1"/>
        <v>Наименование признака дифференциации</v>
      </c>
      <c r="AO44" s="426"/>
      <c r="AP44" s="426"/>
    </row>
    <row r="45" spans="1:42" ht="23.25" customHeight="1">
      <c r="A45" s="1279" t="s">
        <v>216</v>
      </c>
      <c r="B45" s="1279" t="s">
        <v>217</v>
      </c>
      <c r="C45" s="1279" t="s">
        <v>218</v>
      </c>
      <c r="D45" s="1279" t="s">
        <v>486</v>
      </c>
      <c r="E45" s="4075"/>
      <c r="F45" s="4075"/>
      <c r="G45" s="4075"/>
      <c r="H45" s="4075"/>
      <c r="I45" s="4095"/>
      <c r="J45" s="4072" t="str">
        <f>I44&amp;".1"</f>
        <v>...1.1</v>
      </c>
      <c r="K45" s="1279"/>
      <c r="L45" s="1280" t="s">
        <v>398</v>
      </c>
      <c r="P45" s="4073"/>
      <c r="Q45" s="4073">
        <v>1</v>
      </c>
      <c r="R45" s="282"/>
      <c r="S45" s="1274" t="str">
        <f>$J45</f>
        <v>...1.1</v>
      </c>
      <c r="T45" s="205" t="s">
        <v>399</v>
      </c>
      <c r="U45" s="219"/>
      <c r="V45" s="4063"/>
      <c r="W45" s="4064"/>
      <c r="X45" s="4064"/>
      <c r="Y45" s="4064"/>
      <c r="Z45" s="4064"/>
      <c r="AA45" s="4064"/>
      <c r="AB45" s="4065"/>
      <c r="AC45" s="4063"/>
      <c r="AD45" s="4064"/>
      <c r="AE45" s="4064"/>
      <c r="AF45" s="4064"/>
      <c r="AG45" s="4064"/>
      <c r="AH45" s="4064"/>
      <c r="AI45" s="4064"/>
      <c r="AJ45" s="4065"/>
      <c r="AK45" s="1226" t="s">
        <v>476</v>
      </c>
      <c r="AM45" s="426"/>
      <c r="AN45" s="426" t="str">
        <f t="shared" si="1"/>
        <v>Группа потребителей</v>
      </c>
      <c r="AO45" s="426"/>
      <c r="AP45" s="426"/>
    </row>
    <row r="46" spans="1:42" ht="23.25" customHeight="1">
      <c r="A46" s="1279" t="s">
        <v>216</v>
      </c>
      <c r="B46" s="1279" t="s">
        <v>217</v>
      </c>
      <c r="C46" s="1279" t="s">
        <v>218</v>
      </c>
      <c r="D46" s="1279" t="s">
        <v>486</v>
      </c>
      <c r="E46" s="4075"/>
      <c r="F46" s="4075"/>
      <c r="G46" s="4075"/>
      <c r="H46" s="4075"/>
      <c r="I46" s="4095"/>
      <c r="J46" s="4095"/>
      <c r="K46" s="4072" t="str">
        <f>J45&amp;".1"</f>
        <v>...1.1.1</v>
      </c>
      <c r="L46" s="1280"/>
      <c r="P46" s="4073"/>
      <c r="Q46" s="4073"/>
      <c r="R46" s="282">
        <v>1</v>
      </c>
      <c r="S46" s="1274" t="str">
        <f>$K46</f>
        <v>...1.1.1</v>
      </c>
      <c r="T46" s="1352"/>
      <c r="U46" s="219"/>
      <c r="V46" s="1276"/>
      <c r="W46" s="1276"/>
      <c r="X46" s="1277"/>
      <c r="Y46" s="4079"/>
      <c r="Z46" s="4080" t="s">
        <v>65</v>
      </c>
      <c r="AA46" s="4079"/>
      <c r="AB46" s="4080" t="s">
        <v>65</v>
      </c>
      <c r="AC46" s="668"/>
      <c r="AD46" s="668"/>
      <c r="AE46" s="1176"/>
      <c r="AF46" s="4077"/>
      <c r="AG46" s="3927" t="s">
        <v>65</v>
      </c>
      <c r="AH46" s="4096"/>
      <c r="AI46" s="3927" t="s">
        <v>55</v>
      </c>
      <c r="AJ46" s="1353"/>
      <c r="AK46" s="41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216</v>
      </c>
      <c r="B47" s="1279" t="s">
        <v>217</v>
      </c>
      <c r="C47" s="1279" t="s">
        <v>218</v>
      </c>
      <c r="D47" s="1279" t="s">
        <v>486</v>
      </c>
      <c r="E47" s="4075"/>
      <c r="F47" s="4075"/>
      <c r="G47" s="4075"/>
      <c r="H47" s="4075"/>
      <c r="I47" s="4095"/>
      <c r="J47" s="4095"/>
      <c r="K47" s="4072"/>
      <c r="L47" s="1280"/>
      <c r="P47" s="4073"/>
      <c r="Q47" s="4073"/>
      <c r="R47" s="282"/>
      <c r="S47" s="1275"/>
      <c r="T47" s="219"/>
      <c r="U47" s="219"/>
      <c r="V47" s="1276"/>
      <c r="W47" s="1276"/>
      <c r="X47" s="255" t="str">
        <f>Y46&amp;"-"&amp;AA46</f>
        <v>-</v>
      </c>
      <c r="Y47" s="4080"/>
      <c r="Z47" s="4080"/>
      <c r="AA47" s="4080"/>
      <c r="AB47" s="4080"/>
      <c r="AC47" s="251"/>
      <c r="AD47" s="251"/>
      <c r="AE47" s="255" t="str">
        <f>AF46&amp;"-"&amp;AH46</f>
        <v>-</v>
      </c>
      <c r="AF47" s="4078"/>
      <c r="AG47" s="3927"/>
      <c r="AH47" s="4097"/>
      <c r="AI47" s="3927"/>
      <c r="AJ47" s="1354"/>
      <c r="AK47" s="4132"/>
      <c r="AM47" s="426"/>
      <c r="AN47" s="426" t="str">
        <f t="shared" si="1"/>
        <v/>
      </c>
      <c r="AO47" s="426"/>
      <c r="AP47" s="426"/>
    </row>
    <row r="48" spans="1:42" ht="21" customHeight="1">
      <c r="A48" s="1279" t="s">
        <v>216</v>
      </c>
      <c r="B48" s="1279" t="s">
        <v>217</v>
      </c>
      <c r="C48" s="1279" t="s">
        <v>218</v>
      </c>
      <c r="D48" s="1279" t="s">
        <v>486</v>
      </c>
      <c r="E48" s="4075"/>
      <c r="F48" s="4075"/>
      <c r="G48" s="4075"/>
      <c r="H48" s="4075"/>
      <c r="I48" s="4095"/>
      <c r="J48" s="4072"/>
      <c r="K48" s="1279"/>
      <c r="L48" s="1280"/>
      <c r="P48" s="4073"/>
      <c r="Q48" s="4073"/>
      <c r="R48" s="281"/>
      <c r="S48" s="1198"/>
      <c r="T48" s="206" t="s">
        <v>477</v>
      </c>
      <c r="U48" s="295"/>
      <c r="V48" s="295"/>
      <c r="W48" s="295"/>
      <c r="X48" s="295"/>
      <c r="Y48" s="295"/>
      <c r="Z48" s="295"/>
      <c r="AA48" s="295"/>
      <c r="AB48" s="295"/>
      <c r="AC48" s="295"/>
      <c r="AD48" s="295"/>
      <c r="AE48" s="295"/>
      <c r="AF48" s="295"/>
      <c r="AG48" s="295"/>
      <c r="AH48" s="295"/>
      <c r="AI48" s="295"/>
      <c r="AJ48" s="295"/>
      <c r="AK48" s="1177" t="s">
        <v>478</v>
      </c>
      <c r="AM48" s="426"/>
      <c r="AN48" s="426" t="str">
        <f t="shared" si="1"/>
        <v>Добавить значение признака дифференциации</v>
      </c>
      <c r="AO48" s="426"/>
      <c r="AP48" s="426"/>
    </row>
    <row r="49" spans="1:42" ht="21" customHeight="1">
      <c r="A49" s="1279" t="s">
        <v>216</v>
      </c>
      <c r="B49" s="1279" t="s">
        <v>217</v>
      </c>
      <c r="C49" s="1279" t="s">
        <v>218</v>
      </c>
      <c r="D49" s="1279" t="s">
        <v>486</v>
      </c>
      <c r="E49" s="4075"/>
      <c r="F49" s="4075"/>
      <c r="G49" s="4075"/>
      <c r="H49" s="4075"/>
      <c r="I49" s="4072"/>
      <c r="J49" s="1279"/>
      <c r="K49" s="1279"/>
      <c r="L49" s="1280"/>
      <c r="P49" s="4073"/>
      <c r="Q49" s="1270"/>
      <c r="R49" s="281"/>
      <c r="S49" s="1198"/>
      <c r="T49" s="292" t="s">
        <v>404</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216</v>
      </c>
      <c r="B50" s="1279" t="s">
        <v>217</v>
      </c>
      <c r="C50" s="1279" t="s">
        <v>218</v>
      </c>
      <c r="D50" s="1279" t="s">
        <v>486</v>
      </c>
      <c r="E50" s="4075"/>
      <c r="F50" s="4075"/>
      <c r="G50" s="4075"/>
      <c r="H50" s="4074"/>
      <c r="I50" s="1279"/>
      <c r="J50" s="1279"/>
      <c r="K50" s="1279"/>
      <c r="L50" s="1280"/>
      <c r="M50" s="1281"/>
      <c r="N50" s="1281"/>
      <c r="O50" s="462"/>
      <c r="P50" s="285"/>
      <c r="Q50" s="304"/>
      <c r="R50" s="280"/>
      <c r="S50" s="1198"/>
      <c r="T50" s="300" t="s">
        <v>479</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2550" customFormat="1" ht="0" hidden="1" customHeight="1">
      <c r="A51" s="1260" t="s">
        <v>216</v>
      </c>
      <c r="B51" s="1260" t="s">
        <v>217</v>
      </c>
      <c r="C51" s="1232"/>
      <c r="D51" s="1232"/>
      <c r="E51" s="4075"/>
      <c r="F51" s="4074"/>
      <c r="G51" s="1232"/>
      <c r="H51" s="1232"/>
      <c r="I51" s="1232"/>
      <c r="J51" s="1232"/>
      <c r="K51" s="1232"/>
      <c r="L51" s="1341"/>
      <c r="M51" s="1239"/>
      <c r="N51" s="1239"/>
      <c r="P51" s="1234"/>
      <c r="Q51" s="1235"/>
      <c r="R51" s="1234"/>
      <c r="S51" s="1240"/>
      <c r="T51" s="1243" t="s">
        <v>167</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1" customFormat="1" ht="0" hidden="1" customHeight="1">
      <c r="A52" s="1260" t="s">
        <v>216</v>
      </c>
      <c r="B52" s="1260"/>
      <c r="C52" s="1260"/>
      <c r="D52" s="1260"/>
      <c r="E52" s="4074"/>
      <c r="F52" s="1260"/>
      <c r="G52" s="1260"/>
      <c r="H52" s="1260"/>
      <c r="I52" s="1260"/>
      <c r="J52" s="1260"/>
      <c r="K52" s="1260"/>
      <c r="L52" s="1263"/>
      <c r="M52" s="1239"/>
      <c r="N52" s="1239"/>
      <c r="O52" s="444"/>
      <c r="P52" s="313"/>
      <c r="Q52" s="1261"/>
      <c r="R52" s="313"/>
      <c r="S52" s="1240"/>
      <c r="T52" s="1243" t="s">
        <v>168</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2550" customFormat="1" ht="0" hidden="1" customHeight="1">
      <c r="A53" s="1232"/>
      <c r="B53" s="1232"/>
      <c r="C53" s="1232"/>
      <c r="D53" s="1232"/>
      <c r="E53" s="1260"/>
      <c r="F53" s="1232"/>
      <c r="G53" s="1232"/>
      <c r="H53" s="1232"/>
      <c r="I53" s="1232"/>
      <c r="J53" s="1232"/>
      <c r="K53" s="1232"/>
      <c r="L53" s="1341"/>
      <c r="M53" s="1239"/>
      <c r="N53" s="1239"/>
      <c r="P53" s="1234"/>
      <c r="Q53" s="1235"/>
      <c r="R53" s="1234"/>
      <c r="S53" s="1240"/>
      <c r="T53" s="1243" t="s">
        <v>169</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4094"/>
      <c r="U55" s="4094"/>
      <c r="V55" s="4094"/>
      <c r="W55" s="4094"/>
      <c r="X55" s="4094"/>
      <c r="Y55" s="4094"/>
      <c r="Z55" s="4094"/>
      <c r="AA55" s="4094"/>
      <c r="AB55" s="4094"/>
      <c r="AC55" s="4094"/>
      <c r="AD55" s="4094"/>
      <c r="AE55" s="4094"/>
      <c r="AF55" s="4094"/>
      <c r="AG55" s="4094"/>
      <c r="AH55" s="4094"/>
      <c r="AI55" s="4094"/>
      <c r="AJ55" s="4094"/>
      <c r="AK55" s="4094"/>
    </row>
    <row r="56" spans="1:42" ht="14.25" customHeight="1">
      <c r="O56" s="462"/>
    </row>
    <row r="57" spans="1:42" ht="14.25" customHeight="1">
      <c r="O57" s="462"/>
      <c r="S57" s="1164"/>
      <c r="T57" s="4094"/>
      <c r="U57" s="4094"/>
      <c r="V57" s="4094"/>
      <c r="W57" s="4094"/>
      <c r="X57" s="4094"/>
      <c r="Y57" s="4094"/>
      <c r="Z57" s="4094"/>
      <c r="AA57" s="4094"/>
      <c r="AB57" s="4094"/>
      <c r="AC57" s="4094"/>
      <c r="AD57" s="4094"/>
      <c r="AE57" s="4094"/>
      <c r="AF57" s="4094"/>
      <c r="AG57" s="4094"/>
      <c r="AH57" s="4094"/>
      <c r="AI57" s="4094"/>
      <c r="AJ57" s="4094"/>
      <c r="AK57" s="409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553" hidden="1"/>
    <col min="2" max="2" width="11" style="2553" hidden="1" customWidth="1"/>
    <col min="3" max="3" width="10.5703125" style="2553" hidden="1"/>
    <col min="4" max="4" width="11.85546875" style="2553" hidden="1" customWidth="1"/>
    <col min="5" max="5" width="10" style="2553" hidden="1" customWidth="1"/>
    <col min="6" max="6" width="8.7109375" style="2553" hidden="1" customWidth="1"/>
    <col min="7" max="7" width="7.5703125" style="2553" hidden="1" customWidth="1"/>
    <col min="8" max="8" width="11.42578125" style="2553" hidden="1" customWidth="1"/>
    <col min="9" max="9" width="14.140625" style="2553" hidden="1" customWidth="1"/>
    <col min="10" max="10" width="9.85546875" style="2553" hidden="1" customWidth="1"/>
    <col min="11" max="11" width="14.7109375" style="2553" hidden="1" customWidth="1"/>
    <col min="12" max="12" width="19.140625" style="3805" hidden="1" customWidth="1"/>
    <col min="13" max="14" width="12.28515625" style="2555" hidden="1" customWidth="1"/>
    <col min="15" max="15" width="23.42578125" style="2555" hidden="1" customWidth="1"/>
    <col min="16" max="16" width="3.7109375" style="3806" customWidth="1"/>
    <col min="17" max="18" width="3.7109375" style="3173" customWidth="1"/>
    <col min="19" max="19" width="12.7109375" style="3174" customWidth="1"/>
    <col min="20" max="20" width="35.7109375" style="1920" customWidth="1"/>
    <col min="21" max="21" width="0.140625" style="1920" customWidth="1"/>
    <col min="22" max="24" width="24.7109375" style="1920" hidden="1" customWidth="1"/>
    <col min="25" max="25" width="11.7109375" style="1920" hidden="1" customWidth="1"/>
    <col min="26" max="26" width="3.7109375" style="1920" hidden="1" customWidth="1"/>
    <col min="27" max="27" width="11.7109375" style="1920" hidden="1" customWidth="1"/>
    <col min="28" max="28" width="8.5703125" style="1920" hidden="1" customWidth="1"/>
    <col min="29" max="31" width="24.7109375" style="1920" customWidth="1"/>
    <col min="32" max="32" width="11.7109375" style="1920" customWidth="1"/>
    <col min="33" max="33" width="3.7109375" style="1920" customWidth="1"/>
    <col min="34" max="34" width="11.7109375" style="1920" customWidth="1"/>
    <col min="35" max="35" width="8.5703125" style="1920" hidden="1" customWidth="1"/>
    <col min="36" max="36" width="4.7109375" style="1920" customWidth="1"/>
    <col min="37" max="37" width="115.7109375" style="1920" customWidth="1"/>
    <col min="38" max="39" width="10.5703125" style="1821"/>
    <col min="40" max="40" width="11.140625" style="1821" customWidth="1"/>
    <col min="41" max="42" width="10.5703125" style="1821"/>
  </cols>
  <sheetData>
    <row r="1" spans="1:42" ht="14.25" hidden="1" customHeight="1">
      <c r="X1" s="254"/>
      <c r="Y1" s="254"/>
      <c r="AE1" s="254"/>
      <c r="AF1" s="254"/>
    </row>
    <row r="2" spans="1:42" ht="23.25" hidden="1" customHeight="1">
      <c r="A2" s="1279"/>
      <c r="B2" s="1279"/>
      <c r="C2" s="1279"/>
      <c r="D2" s="1279"/>
      <c r="E2" s="4074">
        <v>1</v>
      </c>
      <c r="F2" s="1279"/>
      <c r="G2" s="1279"/>
      <c r="H2" s="1279"/>
      <c r="I2" s="1279"/>
      <c r="J2" s="1279"/>
      <c r="K2" s="1279"/>
      <c r="L2" s="1280"/>
      <c r="M2" s="1281"/>
      <c r="N2" s="1281"/>
      <c r="O2" s="1281"/>
      <c r="P2" s="286"/>
      <c r="Q2" s="285"/>
      <c r="R2" s="280"/>
      <c r="S2" s="1370" t="e">
        <f>INDEX(PT_DIFFERENTIATION_NUM_NTAR,MATCH(A2,PT_DIFFERENTIATION_NTAR_ID,0))</f>
        <v>#N/A</v>
      </c>
      <c r="T2" s="217" t="s">
        <v>121</v>
      </c>
      <c r="U2" s="219"/>
      <c r="V2" s="4060"/>
      <c r="W2" s="4061"/>
      <c r="X2" s="4061"/>
      <c r="Y2" s="4061"/>
      <c r="Z2" s="4061"/>
      <c r="AA2" s="4061"/>
      <c r="AB2" s="4062"/>
      <c r="AC2" s="4060" t="e">
        <f>INDEX(PT_DIFFERENTIATION_NTAR,MATCH(A2,PT_DIFFERENTIATION_NTAR_ID,0))</f>
        <v>#N/A</v>
      </c>
      <c r="AD2" s="4061"/>
      <c r="AE2" s="4061"/>
      <c r="AF2" s="4061"/>
      <c r="AG2" s="4061"/>
      <c r="AH2" s="4061"/>
      <c r="AI2" s="4061"/>
      <c r="AJ2" s="4062"/>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4075"/>
      <c r="F3" s="4074">
        <v>1</v>
      </c>
      <c r="G3" s="1279"/>
      <c r="H3" s="1279"/>
      <c r="I3" s="1279"/>
      <c r="J3" s="1279"/>
      <c r="K3" s="1279"/>
      <c r="L3" s="1280"/>
      <c r="M3" s="1281"/>
      <c r="N3" s="1281"/>
      <c r="O3" s="1281"/>
      <c r="P3" s="1366"/>
      <c r="Q3" s="277"/>
      <c r="R3" s="278"/>
      <c r="S3" s="1370" t="e">
        <f>INDEX(PT_DIFFERENTIATION_NUM_TER,MATCH(B3,PT_DIFFERENTIATION_TER_ID,0))</f>
        <v>#N/A</v>
      </c>
      <c r="T3" s="229" t="s">
        <v>389</v>
      </c>
      <c r="U3" s="219"/>
      <c r="V3" s="4060"/>
      <c r="W3" s="4061"/>
      <c r="X3" s="4061"/>
      <c r="Y3" s="4061"/>
      <c r="Z3" s="4061"/>
      <c r="AA3" s="4061"/>
      <c r="AB3" s="4062"/>
      <c r="AC3" s="4060" t="e">
        <f>INDEX(PT_DIFFERENTIATION_TER,MATCH(B3,PT_DIFFERENTIATION_TER_ID,0))</f>
        <v>#N/A</v>
      </c>
      <c r="AD3" s="4061"/>
      <c r="AE3" s="4061"/>
      <c r="AF3" s="4061"/>
      <c r="AG3" s="4061"/>
      <c r="AH3" s="4061"/>
      <c r="AI3" s="4061"/>
      <c r="AJ3" s="4062"/>
      <c r="AK3" s="1177" t="s">
        <v>390</v>
      </c>
      <c r="AM3" s="426"/>
      <c r="AN3" s="426" t="str">
        <f t="shared" si="0"/>
        <v>Территория действия тарифа</v>
      </c>
      <c r="AO3" s="426"/>
      <c r="AP3" s="426"/>
    </row>
    <row r="4" spans="1:42" ht="23.25" hidden="1" customHeight="1">
      <c r="A4" s="1279"/>
      <c r="B4" s="1279"/>
      <c r="C4" s="1279"/>
      <c r="D4" s="1279"/>
      <c r="E4" s="4075"/>
      <c r="F4" s="4075"/>
      <c r="G4" s="4074">
        <v>1</v>
      </c>
      <c r="H4" s="1279"/>
      <c r="I4" s="1279"/>
      <c r="J4" s="1279"/>
      <c r="K4" s="1279"/>
      <c r="L4" s="1280"/>
      <c r="M4" s="1281"/>
      <c r="N4" s="1281"/>
      <c r="O4" s="1281"/>
      <c r="P4" s="279"/>
      <c r="Q4" s="277"/>
      <c r="R4" s="278"/>
      <c r="S4" s="1370" t="e">
        <f>INDEX(PT_DIFFERENTIATION_NUM_CS,MATCH(C4,PT_DIFFERENTIATION_CS_ID,0))</f>
        <v>#N/A</v>
      </c>
      <c r="T4" s="230" t="s">
        <v>472</v>
      </c>
      <c r="U4" s="219"/>
      <c r="V4" s="4060"/>
      <c r="W4" s="4061"/>
      <c r="X4" s="4061"/>
      <c r="Y4" s="4061"/>
      <c r="Z4" s="4061"/>
      <c r="AA4" s="4061"/>
      <c r="AB4" s="4062"/>
      <c r="AC4" s="4060" t="e">
        <f>INDEX(PT_DIFFERENTIATION_CS,MATCH(C4,PT_DIFFERENTIATION_CS_ID,0))</f>
        <v>#N/A</v>
      </c>
      <c r="AD4" s="4061"/>
      <c r="AE4" s="4061"/>
      <c r="AF4" s="4061"/>
      <c r="AG4" s="4061"/>
      <c r="AH4" s="4061"/>
      <c r="AI4" s="4061"/>
      <c r="AJ4" s="4062"/>
      <c r="AK4" s="1177" t="s">
        <v>473</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4075"/>
      <c r="F5" s="4075"/>
      <c r="G5" s="4075"/>
      <c r="H5" s="4075"/>
      <c r="I5" s="4072" t="e">
        <f>S4&amp;".1"</f>
        <v>#N/A</v>
      </c>
      <c r="J5" s="1279"/>
      <c r="K5" s="1279"/>
      <c r="L5" s="1280"/>
      <c r="P5" s="4073">
        <v>1</v>
      </c>
      <c r="Q5" s="1363"/>
      <c r="R5" s="281"/>
      <c r="S5" s="1370" t="e">
        <f>$I5</f>
        <v>#N/A</v>
      </c>
      <c r="T5" s="204" t="s">
        <v>474</v>
      </c>
      <c r="U5" s="219"/>
      <c r="V5" s="4133"/>
      <c r="W5" s="4134"/>
      <c r="X5" s="4134"/>
      <c r="Y5" s="4134"/>
      <c r="Z5" s="4134"/>
      <c r="AA5" s="4134"/>
      <c r="AB5" s="4135"/>
      <c r="AC5" s="4136"/>
      <c r="AD5" s="4137"/>
      <c r="AE5" s="4137"/>
      <c r="AF5" s="4137"/>
      <c r="AG5" s="4137"/>
      <c r="AH5" s="4137"/>
      <c r="AI5" s="4137"/>
      <c r="AJ5" s="4138"/>
      <c r="AK5" s="1177" t="s">
        <v>475</v>
      </c>
      <c r="AM5" s="426"/>
      <c r="AN5" s="426" t="str">
        <f t="shared" si="0"/>
        <v>Наименование признака дифференциации</v>
      </c>
      <c r="AO5" s="426"/>
      <c r="AP5" s="426"/>
    </row>
    <row r="6" spans="1:42" ht="23.25" hidden="1" customHeight="1">
      <c r="A6" s="1279"/>
      <c r="B6" s="1279"/>
      <c r="C6" s="1279"/>
      <c r="D6" s="1279"/>
      <c r="E6" s="4075"/>
      <c r="F6" s="4075"/>
      <c r="G6" s="4075"/>
      <c r="H6" s="4075"/>
      <c r="I6" s="4095"/>
      <c r="J6" s="4072" t="e">
        <f>I5&amp;".1"</f>
        <v>#N/A</v>
      </c>
      <c r="K6" s="1279"/>
      <c r="L6" s="1280" t="s">
        <v>398</v>
      </c>
      <c r="P6" s="4073"/>
      <c r="Q6" s="4073">
        <v>1</v>
      </c>
      <c r="R6" s="282"/>
      <c r="S6" s="1370" t="e">
        <f>$J6</f>
        <v>#N/A</v>
      </c>
      <c r="T6" s="205" t="s">
        <v>399</v>
      </c>
      <c r="U6" s="219"/>
      <c r="V6" s="4063"/>
      <c r="W6" s="4064"/>
      <c r="X6" s="4064"/>
      <c r="Y6" s="4064"/>
      <c r="Z6" s="4064"/>
      <c r="AA6" s="4064"/>
      <c r="AB6" s="4065"/>
      <c r="AC6" s="4063"/>
      <c r="AD6" s="4064"/>
      <c r="AE6" s="4064"/>
      <c r="AF6" s="4064"/>
      <c r="AG6" s="4064"/>
      <c r="AH6" s="4064"/>
      <c r="AI6" s="4064"/>
      <c r="AJ6" s="4065"/>
      <c r="AK6" s="1226" t="s">
        <v>476</v>
      </c>
      <c r="AM6" s="426"/>
      <c r="AN6" s="426" t="str">
        <f t="shared" si="0"/>
        <v>Группа потребителей</v>
      </c>
      <c r="AO6" s="426"/>
      <c r="AP6" s="426"/>
    </row>
    <row r="7" spans="1:42" ht="23.25" hidden="1" customHeight="1">
      <c r="A7" s="1279"/>
      <c r="B7" s="1279"/>
      <c r="C7" s="1279"/>
      <c r="D7" s="1279"/>
      <c r="E7" s="4075"/>
      <c r="F7" s="4075"/>
      <c r="G7" s="4075"/>
      <c r="H7" s="4075"/>
      <c r="I7" s="4095"/>
      <c r="J7" s="4095"/>
      <c r="K7" s="4072" t="e">
        <f>J6&amp;".1"</f>
        <v>#N/A</v>
      </c>
      <c r="L7" s="1280"/>
      <c r="P7" s="4073"/>
      <c r="Q7" s="4073"/>
      <c r="R7" s="282">
        <v>1</v>
      </c>
      <c r="S7" s="1370" t="e">
        <f>$K7</f>
        <v>#N/A</v>
      </c>
      <c r="T7" s="1352"/>
      <c r="U7" s="219"/>
      <c r="V7" s="668"/>
      <c r="W7" s="668"/>
      <c r="X7" s="1176"/>
      <c r="Y7" s="4077"/>
      <c r="Z7" s="3927" t="s">
        <v>65</v>
      </c>
      <c r="AA7" s="4077"/>
      <c r="AB7" s="3927" t="s">
        <v>65</v>
      </c>
      <c r="AC7" s="668"/>
      <c r="AD7" s="668"/>
      <c r="AE7" s="1176"/>
      <c r="AF7" s="4077"/>
      <c r="AG7" s="3927" t="s">
        <v>65</v>
      </c>
      <c r="AH7" s="4096"/>
      <c r="AI7" s="3927" t="s">
        <v>65</v>
      </c>
      <c r="AJ7" s="1353"/>
      <c r="AK7" s="41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4075"/>
      <c r="F8" s="4075"/>
      <c r="G8" s="4075"/>
      <c r="H8" s="4075"/>
      <c r="I8" s="4095"/>
      <c r="J8" s="4095"/>
      <c r="K8" s="4072"/>
      <c r="L8" s="1280"/>
      <c r="P8" s="4073"/>
      <c r="Q8" s="4073"/>
      <c r="R8" s="282"/>
      <c r="S8" s="1369"/>
      <c r="T8" s="219"/>
      <c r="U8" s="219"/>
      <c r="V8" s="251"/>
      <c r="W8" s="251"/>
      <c r="X8" s="255" t="str">
        <f>Y7&amp;"-"&amp;AA7</f>
        <v>-</v>
      </c>
      <c r="Y8" s="4078"/>
      <c r="Z8" s="3927"/>
      <c r="AA8" s="4078"/>
      <c r="AB8" s="3927"/>
      <c r="AC8" s="251"/>
      <c r="AD8" s="251"/>
      <c r="AE8" s="255" t="str">
        <f>AF7&amp;"-"&amp;AH7</f>
        <v>-</v>
      </c>
      <c r="AF8" s="4078"/>
      <c r="AG8" s="3927"/>
      <c r="AH8" s="4097"/>
      <c r="AI8" s="3927"/>
      <c r="AJ8" s="1354"/>
      <c r="AK8" s="4132"/>
      <c r="AM8" s="426"/>
      <c r="AN8" s="426" t="str">
        <f t="shared" si="0"/>
        <v/>
      </c>
      <c r="AO8" s="426"/>
      <c r="AP8" s="426"/>
    </row>
    <row r="9" spans="1:42" ht="21" hidden="1" customHeight="1">
      <c r="A9" s="1279"/>
      <c r="B9" s="1279"/>
      <c r="C9" s="1279"/>
      <c r="D9" s="1279"/>
      <c r="E9" s="4075"/>
      <c r="F9" s="4075"/>
      <c r="G9" s="4075"/>
      <c r="H9" s="4075"/>
      <c r="I9" s="4095"/>
      <c r="J9" s="4072"/>
      <c r="K9" s="1279"/>
      <c r="L9" s="1280"/>
      <c r="P9" s="4073"/>
      <c r="Q9" s="4073"/>
      <c r="R9" s="281"/>
      <c r="S9" s="1198"/>
      <c r="T9" s="206" t="s">
        <v>477</v>
      </c>
      <c r="U9" s="295"/>
      <c r="V9" s="295"/>
      <c r="W9" s="295"/>
      <c r="X9" s="295"/>
      <c r="Y9" s="295"/>
      <c r="Z9" s="295"/>
      <c r="AA9" s="295"/>
      <c r="AB9" s="295"/>
      <c r="AC9" s="295"/>
      <c r="AD9" s="295"/>
      <c r="AE9" s="295"/>
      <c r="AF9" s="295"/>
      <c r="AG9" s="295"/>
      <c r="AH9" s="295"/>
      <c r="AI9" s="295"/>
      <c r="AJ9" s="295"/>
      <c r="AK9" s="1177" t="s">
        <v>478</v>
      </c>
      <c r="AM9" s="426"/>
      <c r="AN9" s="426" t="str">
        <f t="shared" si="0"/>
        <v>Добавить значение признака дифференциации</v>
      </c>
      <c r="AO9" s="426"/>
      <c r="AP9" s="426"/>
    </row>
    <row r="10" spans="1:42" ht="21" hidden="1" customHeight="1">
      <c r="A10" s="1279"/>
      <c r="B10" s="1279"/>
      <c r="C10" s="1279"/>
      <c r="D10" s="1279"/>
      <c r="E10" s="4075"/>
      <c r="F10" s="4075"/>
      <c r="G10" s="4075"/>
      <c r="H10" s="4075"/>
      <c r="I10" s="4072"/>
      <c r="J10" s="1279"/>
      <c r="K10" s="1279"/>
      <c r="L10" s="1280"/>
      <c r="P10" s="4073"/>
      <c r="Q10" s="1363"/>
      <c r="R10" s="281"/>
      <c r="S10" s="1198"/>
      <c r="T10" s="292" t="s">
        <v>404</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4075"/>
      <c r="F11" s="4075"/>
      <c r="G11" s="4075"/>
      <c r="H11" s="4074"/>
      <c r="I11" s="1279"/>
      <c r="J11" s="1279"/>
      <c r="K11" s="1279"/>
      <c r="L11" s="1280"/>
      <c r="M11" s="1281"/>
      <c r="N11" s="1281"/>
      <c r="O11" s="462"/>
      <c r="P11" s="285"/>
      <c r="Q11" s="304"/>
      <c r="R11" s="280"/>
      <c r="S11" s="1198"/>
      <c r="T11" s="300" t="s">
        <v>479</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2550" customFormat="1" ht="14.25" hidden="1" customHeight="1">
      <c r="A12" s="1260"/>
      <c r="B12" s="1260"/>
      <c r="C12" s="1232"/>
      <c r="D12" s="1232"/>
      <c r="E12" s="4075"/>
      <c r="F12" s="4074"/>
      <c r="G12" s="1232"/>
      <c r="H12" s="1232"/>
      <c r="I12" s="1232"/>
      <c r="J12" s="1232"/>
      <c r="K12" s="1232"/>
      <c r="L12" s="1371"/>
      <c r="M12" s="1239"/>
      <c r="N12" s="1239"/>
      <c r="P12" s="1234"/>
      <c r="Q12" s="1235"/>
      <c r="R12" s="1234"/>
      <c r="S12" s="1240"/>
      <c r="T12" s="1243" t="s">
        <v>167</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1" customFormat="1" ht="14.25" hidden="1" customHeight="1">
      <c r="A13" s="1260"/>
      <c r="B13" s="1260"/>
      <c r="C13" s="1260"/>
      <c r="D13" s="1260"/>
      <c r="E13" s="4074"/>
      <c r="F13" s="1260"/>
      <c r="G13" s="1260"/>
      <c r="H13" s="1260"/>
      <c r="I13" s="1260"/>
      <c r="J13" s="1260"/>
      <c r="K13" s="1260"/>
      <c r="L13" s="1263"/>
      <c r="M13" s="1239"/>
      <c r="N13" s="1239"/>
      <c r="O13" s="444"/>
      <c r="P13" s="313"/>
      <c r="Q13" s="1261"/>
      <c r="R13" s="313"/>
      <c r="S13" s="1240"/>
      <c r="T13" s="1243" t="s">
        <v>168</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4079"/>
      <c r="AG15" s="4080" t="s">
        <v>65</v>
      </c>
      <c r="AH15" s="4079"/>
      <c r="AI15" s="4080" t="s">
        <v>65</v>
      </c>
    </row>
    <row r="16" spans="1:42" ht="14.25" hidden="1" customHeight="1">
      <c r="AC16" s="1276"/>
      <c r="AD16" s="1276"/>
      <c r="AE16" s="255" t="str">
        <f>AF15&amp;"-"&amp;AH15</f>
        <v>-</v>
      </c>
      <c r="AF16" s="4080"/>
      <c r="AG16" s="4080"/>
      <c r="AH16" s="4080"/>
      <c r="AI16" s="4080"/>
    </row>
    <row r="17" spans="1:42" ht="14.25" hidden="1" customHeight="1">
      <c r="AI17" s="254"/>
    </row>
    <row r="18" spans="1:42" s="2553" customFormat="1" ht="22.5" hidden="1" customHeight="1">
      <c r="L18" s="1360"/>
      <c r="M18" s="1278"/>
      <c r="N18" s="1278"/>
      <c r="O18" s="1283" t="s">
        <v>406</v>
      </c>
      <c r="P18" s="1278"/>
      <c r="Q18" s="1287"/>
      <c r="R18" s="1287"/>
      <c r="S18" s="648"/>
      <c r="Y18" s="1283"/>
      <c r="AA18" s="1283"/>
      <c r="AB18" s="1282"/>
      <c r="AF18" s="1283"/>
      <c r="AH18" s="1283"/>
      <c r="AI18" s="1282"/>
      <c r="AL18" s="437"/>
      <c r="AM18" s="437"/>
      <c r="AN18" s="437"/>
      <c r="AO18" s="437"/>
      <c r="AP18" s="437"/>
    </row>
    <row r="19" spans="1:42" s="2553" customFormat="1" ht="14.25" hidden="1" customHeight="1">
      <c r="L19" s="1360"/>
      <c r="M19" s="1278"/>
      <c r="N19" s="1278"/>
      <c r="O19" s="1278"/>
      <c r="P19" s="1278"/>
      <c r="Q19" s="1287"/>
      <c r="R19" s="1287"/>
      <c r="S19" s="648"/>
      <c r="AB19" s="1282"/>
      <c r="AI19" s="1282"/>
      <c r="AL19" s="437"/>
      <c r="AM19" s="437"/>
      <c r="AN19" s="437"/>
      <c r="AO19" s="437"/>
      <c r="AP19" s="437"/>
    </row>
    <row r="20" spans="1:42" s="2553" customFormat="1" ht="12" hidden="1" customHeight="1">
      <c r="L20" s="1360"/>
      <c r="M20" s="1278"/>
      <c r="N20" s="1278"/>
      <c r="O20" s="1280" t="s">
        <v>407</v>
      </c>
      <c r="P20" s="1278"/>
      <c r="Q20" s="1356"/>
      <c r="R20" s="1356"/>
      <c r="S20" s="648"/>
      <c r="T20" s="1060" t="s">
        <v>408</v>
      </c>
      <c r="Z20" s="107" t="s">
        <v>409</v>
      </c>
      <c r="AB20" s="107" t="s">
        <v>410</v>
      </c>
      <c r="AC20" s="1060" t="s">
        <v>408</v>
      </c>
      <c r="AG20" s="107" t="s">
        <v>411</v>
      </c>
      <c r="AI20" s="107" t="s">
        <v>410</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405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4058"/>
      <c r="U24" s="4058"/>
      <c r="V24" s="4058"/>
      <c r="W24" s="4058"/>
      <c r="X24" s="4058"/>
      <c r="Y24" s="4058"/>
      <c r="Z24" s="4058"/>
      <c r="AA24" s="4058"/>
      <c r="AB24" s="4058"/>
      <c r="AC24" s="4058"/>
      <c r="AD24" s="4058"/>
      <c r="AE24" s="4058"/>
      <c r="AF24" s="4058"/>
      <c r="AG24" s="4058"/>
      <c r="AH24" s="4058"/>
      <c r="AI24" s="1152"/>
    </row>
    <row r="25" spans="1:42" ht="14.25" customHeight="1">
      <c r="Q25" s="305"/>
      <c r="R25" s="305"/>
      <c r="S25" s="4004" t="str">
        <f>IF(org=0,"Не определено",org)</f>
        <v>ООО «РИР-Сахалин»</v>
      </c>
      <c r="T25" s="4004"/>
      <c r="U25" s="4004"/>
      <c r="V25" s="4004"/>
      <c r="W25" s="4004"/>
      <c r="X25" s="4004"/>
      <c r="Y25" s="4004"/>
      <c r="Z25" s="4004"/>
      <c r="AA25" s="4004"/>
      <c r="AB25" s="4004"/>
      <c r="AC25" s="4004"/>
      <c r="AD25" s="4004"/>
      <c r="AE25" s="4004"/>
      <c r="AF25" s="4004"/>
      <c r="AG25" s="4004"/>
      <c r="AH25" s="4004"/>
      <c r="AI25" s="1152"/>
    </row>
    <row r="26" spans="1:42" ht="14.25" hidden="1"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2564" customFormat="1" ht="25.5" hidden="1" customHeight="1">
      <c r="A27" s="1284"/>
      <c r="B27" s="1284"/>
      <c r="C27" s="1284"/>
      <c r="D27" s="1284"/>
      <c r="E27" s="1284"/>
      <c r="F27" s="1284"/>
      <c r="G27" s="1284"/>
      <c r="H27" s="1284"/>
      <c r="I27" s="1284"/>
      <c r="J27" s="1284"/>
      <c r="K27" s="1284"/>
      <c r="L27" s="1285"/>
      <c r="M27" s="1284"/>
      <c r="N27" s="1284"/>
      <c r="O27" s="1284"/>
      <c r="S27" s="4066" t="s">
        <v>38</v>
      </c>
      <c r="T27" s="4066"/>
      <c r="U27" s="1288"/>
      <c r="V27" s="4067" t="str">
        <f>IF(TITLE_NAME_OR_PR_CHANGE="",IF(TITLE_NAME_OR_PR="","",TITLE_NAME_OR_PR),TITLE_NAME_OR_PR_CHANGE)</f>
        <v/>
      </c>
      <c r="W27" s="4067"/>
      <c r="X27" s="4067"/>
      <c r="Y27" s="4067"/>
      <c r="Z27" s="4067"/>
      <c r="AA27" s="4067"/>
      <c r="AB27" s="253"/>
      <c r="AC27" s="4067" t="str">
        <f>IF(TITLE_NAME_OR_PR_CHANGE="",IF(TITLE_NAME_OR_PR="","",TITLE_NAME_OR_PR),TITLE_NAME_OR_PR_CHANGE)</f>
        <v/>
      </c>
      <c r="AD27" s="4067"/>
      <c r="AE27" s="4067"/>
      <c r="AF27" s="4067"/>
      <c r="AG27" s="4067"/>
      <c r="AH27" s="4067"/>
      <c r="AI27" s="253"/>
      <c r="AJ27" s="253"/>
      <c r="AK27" s="200"/>
      <c r="AL27" s="296"/>
      <c r="AM27" s="296"/>
      <c r="AN27" s="296"/>
      <c r="AO27" s="296"/>
      <c r="AP27" s="296"/>
    </row>
    <row r="28" spans="1:42" s="2564" customFormat="1" ht="18.75" hidden="1" customHeight="1">
      <c r="A28" s="1284"/>
      <c r="B28" s="1284"/>
      <c r="C28" s="1284"/>
      <c r="D28" s="1284"/>
      <c r="E28" s="1284"/>
      <c r="F28" s="1284"/>
      <c r="G28" s="1284"/>
      <c r="H28" s="1284"/>
      <c r="I28" s="1284"/>
      <c r="J28" s="1284"/>
      <c r="K28" s="1284"/>
      <c r="L28" s="1285"/>
      <c r="M28" s="1284"/>
      <c r="N28" s="1284"/>
      <c r="O28" s="1284"/>
      <c r="S28" s="4066" t="s">
        <v>412</v>
      </c>
      <c r="T28" s="4066"/>
      <c r="U28" s="1288"/>
      <c r="V28" s="4076">
        <f>IF(TITLE_DATE_PR_CHANGE="",IF(TITLE_DATE_PR="","",TITLE_DATE_PR),TITLE_DATE_PR_CHANGE)</f>
        <v>45289.465104166666</v>
      </c>
      <c r="W28" s="4076"/>
      <c r="X28" s="4076"/>
      <c r="Y28" s="4076"/>
      <c r="Z28" s="4076"/>
      <c r="AA28" s="4076"/>
      <c r="AB28" s="253"/>
      <c r="AC28" s="4076">
        <f>IF(TITLE_DATE_PR_CHANGE="",IF(TITLE_DATE_PR="","",TITLE_DATE_PR),TITLE_DATE_PR_CHANGE)</f>
        <v>45289.465104166666</v>
      </c>
      <c r="AD28" s="4076"/>
      <c r="AE28" s="4076"/>
      <c r="AF28" s="4076"/>
      <c r="AG28" s="4076"/>
      <c r="AH28" s="4076"/>
      <c r="AI28" s="253"/>
      <c r="AJ28" s="253"/>
      <c r="AK28" s="200"/>
      <c r="AL28" s="296"/>
      <c r="AM28" s="296"/>
      <c r="AN28" s="296"/>
      <c r="AO28" s="296"/>
      <c r="AP28" s="296"/>
    </row>
    <row r="29" spans="1:42" s="2564" customFormat="1" ht="18.75" hidden="1" customHeight="1">
      <c r="A29" s="1284"/>
      <c r="B29" s="1284"/>
      <c r="C29" s="1284"/>
      <c r="D29" s="1284"/>
      <c r="E29" s="1284"/>
      <c r="F29" s="1284"/>
      <c r="G29" s="1284"/>
      <c r="H29" s="1284"/>
      <c r="I29" s="1284"/>
      <c r="J29" s="1284"/>
      <c r="K29" s="1284"/>
      <c r="L29" s="1285"/>
      <c r="M29" s="1284"/>
      <c r="N29" s="1284"/>
      <c r="O29" s="1284"/>
      <c r="S29" s="4066" t="s">
        <v>413</v>
      </c>
      <c r="T29" s="4066"/>
      <c r="U29" s="1288"/>
      <c r="V29" s="4067" t="str">
        <f>IF(TITLE_NUMBER_PR_CHANGE="",IF(TITLE_NUMBER_PR="","",TITLE_NUMBER_PR),TITLE_NUMBER_PR_CHANGE)</f>
        <v>761-1/201-1</v>
      </c>
      <c r="W29" s="4067"/>
      <c r="X29" s="4067"/>
      <c r="Y29" s="4067"/>
      <c r="Z29" s="4067"/>
      <c r="AA29" s="4067"/>
      <c r="AB29" s="253"/>
      <c r="AC29" s="4067" t="str">
        <f>IF(TITLE_NUMBER_PR_CHANGE="",IF(TITLE_NUMBER_PR="","",TITLE_NUMBER_PR),TITLE_NUMBER_PR_CHANGE)</f>
        <v>761-1/201-1</v>
      </c>
      <c r="AD29" s="4067"/>
      <c r="AE29" s="4067"/>
      <c r="AF29" s="4067"/>
      <c r="AG29" s="4067"/>
      <c r="AH29" s="4067"/>
      <c r="AI29" s="253"/>
      <c r="AJ29" s="253"/>
      <c r="AK29" s="200"/>
      <c r="AL29" s="296"/>
      <c r="AM29" s="296"/>
      <c r="AN29" s="296"/>
      <c r="AO29" s="296"/>
      <c r="AP29" s="296"/>
    </row>
    <row r="30" spans="1:42" s="2564" customFormat="1" ht="18.75" hidden="1" customHeight="1">
      <c r="A30" s="1284"/>
      <c r="B30" s="1284"/>
      <c r="C30" s="1284"/>
      <c r="D30" s="1284"/>
      <c r="E30" s="1284"/>
      <c r="F30" s="1284"/>
      <c r="G30" s="1284"/>
      <c r="H30" s="1284"/>
      <c r="I30" s="1284"/>
      <c r="J30" s="1284"/>
      <c r="K30" s="1284"/>
      <c r="L30" s="1285"/>
      <c r="M30" s="1284"/>
      <c r="N30" s="1284"/>
      <c r="O30" s="1284"/>
      <c r="S30" s="4066" t="s">
        <v>39</v>
      </c>
      <c r="T30" s="4066"/>
      <c r="U30" s="1288"/>
      <c r="V30" s="4067" t="str">
        <f>IF(TITLE_IST_PUB_CHANGE="",IF(TITLE_IST_PUB="","",TITLE_IST_PUB),TITLE_IST_PUB_CHANGE)</f>
        <v/>
      </c>
      <c r="W30" s="4067"/>
      <c r="X30" s="4067"/>
      <c r="Y30" s="4067"/>
      <c r="Z30" s="4067"/>
      <c r="AA30" s="4067"/>
      <c r="AB30" s="253"/>
      <c r="AC30" s="4067" t="str">
        <f>IF(TITLE_IST_PUB_CHANGE="",IF(TITLE_IST_PUB="","",TITLE_IST_PUB),TITLE_IST_PUB_CHANGE)</f>
        <v/>
      </c>
      <c r="AD30" s="4067"/>
      <c r="AE30" s="4067"/>
      <c r="AF30" s="4067"/>
      <c r="AG30" s="4067"/>
      <c r="AH30" s="4067"/>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2564" customFormat="1" ht="18.75" customHeight="1">
      <c r="A32" s="1284"/>
      <c r="B32" s="1284"/>
      <c r="C32" s="1284"/>
      <c r="D32" s="1284"/>
      <c r="E32" s="1284"/>
      <c r="F32" s="1284"/>
      <c r="G32" s="1284"/>
      <c r="H32" s="1284"/>
      <c r="I32" s="1284"/>
      <c r="J32" s="1284"/>
      <c r="K32" s="1284"/>
      <c r="L32" s="1285"/>
      <c r="M32" s="1284"/>
      <c r="N32" s="1284"/>
      <c r="O32" s="1284"/>
      <c r="S32" s="4066" t="s">
        <v>414</v>
      </c>
      <c r="T32" s="4066"/>
      <c r="U32" s="1288"/>
      <c r="V32" s="4076">
        <f>IF(TITLE_DATE_PR_CHANGE="",IF(TITLE_DATE_PR="","",TITLE_DATE_PR),TITLE_DATE_PR_CHANGE)</f>
        <v>45289.465104166666</v>
      </c>
      <c r="W32" s="4076"/>
      <c r="X32" s="4076"/>
      <c r="Y32" s="4076"/>
      <c r="Z32" s="4076"/>
      <c r="AA32" s="4076"/>
      <c r="AB32" s="253"/>
      <c r="AC32" s="4076">
        <f>IF(TITLE_DATE_PR_CHANGE="",IF(TITLE_DATE_PR="","",TITLE_DATE_PR),TITLE_DATE_PR_CHANGE)</f>
        <v>45289.465104166666</v>
      </c>
      <c r="AD32" s="4076"/>
      <c r="AE32" s="4076"/>
      <c r="AF32" s="4076"/>
      <c r="AG32" s="4076"/>
      <c r="AH32" s="4076"/>
      <c r="AI32" s="253"/>
      <c r="AJ32" s="253"/>
      <c r="AK32" s="200"/>
      <c r="AL32" s="296"/>
      <c r="AM32" s="296"/>
      <c r="AN32" s="296"/>
      <c r="AO32" s="296"/>
      <c r="AP32" s="296"/>
    </row>
    <row r="33" spans="1:42" s="2564" customFormat="1" ht="18.75" customHeight="1">
      <c r="A33" s="1284"/>
      <c r="B33" s="1284"/>
      <c r="C33" s="1284"/>
      <c r="D33" s="1284"/>
      <c r="E33" s="1284"/>
      <c r="F33" s="1284"/>
      <c r="G33" s="1284"/>
      <c r="H33" s="1284"/>
      <c r="I33" s="1284"/>
      <c r="J33" s="1284"/>
      <c r="K33" s="1284"/>
      <c r="L33" s="1285"/>
      <c r="M33" s="1284"/>
      <c r="N33" s="1284"/>
      <c r="O33" s="1284"/>
      <c r="S33" s="4066" t="s">
        <v>415</v>
      </c>
      <c r="T33" s="4066"/>
      <c r="U33" s="1288"/>
      <c r="V33" s="4067" t="str">
        <f>IF(TITLE_NUMBER_PR_CHANGE="",IF(TITLE_NUMBER_PR="","",TITLE_NUMBER_PR),TITLE_NUMBER_PR_CHANGE)</f>
        <v>761-1/201-1</v>
      </c>
      <c r="W33" s="4067"/>
      <c r="X33" s="4067"/>
      <c r="Y33" s="4067"/>
      <c r="Z33" s="4067"/>
      <c r="AA33" s="4067"/>
      <c r="AB33" s="253"/>
      <c r="AC33" s="4067" t="str">
        <f>IF(TITLE_NUMBER_PR_CHANGE="",IF(TITLE_NUMBER_PR="","",TITLE_NUMBER_PR),TITLE_NUMBER_PR_CHANGE)</f>
        <v>761-1/201-1</v>
      </c>
      <c r="AD33" s="4067"/>
      <c r="AE33" s="4067"/>
      <c r="AF33" s="4067"/>
      <c r="AG33" s="4067"/>
      <c r="AH33" s="4067"/>
      <c r="AI33" s="253"/>
      <c r="AJ33" s="253"/>
      <c r="AK33" s="200"/>
      <c r="AL33" s="296"/>
      <c r="AM33" s="296"/>
      <c r="AN33" s="296"/>
      <c r="AO33" s="296"/>
      <c r="AP33" s="296"/>
    </row>
    <row r="34" spans="1:42" s="2564"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416</v>
      </c>
      <c r="AC34" s="253"/>
      <c r="AD34" s="253"/>
      <c r="AE34" s="253"/>
      <c r="AF34" s="253"/>
      <c r="AG34" s="253"/>
      <c r="AH34" s="253"/>
      <c r="AI34" s="198" t="s">
        <v>416</v>
      </c>
      <c r="AL34" s="296"/>
      <c r="AM34" s="296"/>
      <c r="AN34" s="296"/>
      <c r="AO34" s="296"/>
      <c r="AP34" s="296"/>
    </row>
    <row r="35" spans="1:42" ht="14.25" customHeight="1">
      <c r="Q35" s="305"/>
      <c r="R35" s="305"/>
      <c r="S35" s="1195"/>
      <c r="T35" s="290"/>
      <c r="U35" s="1153"/>
      <c r="V35" s="4068"/>
      <c r="W35" s="4068"/>
      <c r="X35" s="4068"/>
      <c r="Y35" s="4068"/>
      <c r="Z35" s="4068"/>
      <c r="AA35" s="4068"/>
      <c r="AB35" s="4068"/>
      <c r="AC35" s="4068"/>
      <c r="AD35" s="4068"/>
      <c r="AE35" s="4068"/>
      <c r="AF35" s="4068"/>
      <c r="AG35" s="4068"/>
      <c r="AH35" s="4068"/>
      <c r="AI35" s="4068"/>
    </row>
    <row r="36" spans="1:42" ht="14.25" customHeight="1">
      <c r="Q36" s="305"/>
      <c r="R36" s="305"/>
      <c r="S36" s="3946" t="s">
        <v>290</v>
      </c>
      <c r="T36" s="3946"/>
      <c r="U36" s="3946"/>
      <c r="V36" s="3946"/>
      <c r="W36" s="3946"/>
      <c r="X36" s="3946"/>
      <c r="Y36" s="3946"/>
      <c r="Z36" s="3946"/>
      <c r="AA36" s="3946"/>
      <c r="AB36" s="3946"/>
      <c r="AC36" s="3946"/>
      <c r="AD36" s="3946"/>
      <c r="AE36" s="3946"/>
      <c r="AF36" s="3946"/>
      <c r="AG36" s="3946"/>
      <c r="AH36" s="3946"/>
      <c r="AI36" s="3946"/>
      <c r="AJ36" s="3946"/>
      <c r="AK36" s="3946" t="s">
        <v>291</v>
      </c>
    </row>
    <row r="37" spans="1:42" ht="14.25" customHeight="1">
      <c r="Q37" s="305"/>
      <c r="R37" s="305"/>
      <c r="S37" s="4082" t="s">
        <v>86</v>
      </c>
      <c r="T37" s="4033" t="s">
        <v>418</v>
      </c>
      <c r="U37" s="220"/>
      <c r="V37" s="4083" t="s">
        <v>419</v>
      </c>
      <c r="W37" s="4084"/>
      <c r="X37" s="4084"/>
      <c r="Y37" s="4084"/>
      <c r="Z37" s="4084"/>
      <c r="AA37" s="4085"/>
      <c r="AB37" s="4086" t="s">
        <v>420</v>
      </c>
      <c r="AC37" s="4083" t="s">
        <v>419</v>
      </c>
      <c r="AD37" s="4084"/>
      <c r="AE37" s="4084"/>
      <c r="AF37" s="4084"/>
      <c r="AG37" s="4084"/>
      <c r="AH37" s="4085"/>
      <c r="AI37" s="4086" t="s">
        <v>421</v>
      </c>
      <c r="AJ37" s="4089" t="s">
        <v>422</v>
      </c>
      <c r="AK37" s="3946"/>
    </row>
    <row r="38" spans="1:42" ht="33.75" customHeight="1">
      <c r="Q38" s="305"/>
      <c r="R38" s="305"/>
      <c r="S38" s="4082"/>
      <c r="T38" s="4033"/>
      <c r="U38" s="938"/>
      <c r="V38" s="1365" t="s">
        <v>480</v>
      </c>
      <c r="W38" s="3918" t="s">
        <v>425</v>
      </c>
      <c r="X38" s="3917"/>
      <c r="Y38" s="3918" t="s">
        <v>426</v>
      </c>
      <c r="Z38" s="3923"/>
      <c r="AA38" s="3917"/>
      <c r="AB38" s="4087"/>
      <c r="AC38" s="1365" t="s">
        <v>480</v>
      </c>
      <c r="AD38" s="3918" t="s">
        <v>425</v>
      </c>
      <c r="AE38" s="3917"/>
      <c r="AF38" s="3918" t="s">
        <v>426</v>
      </c>
      <c r="AG38" s="3923"/>
      <c r="AH38" s="3917"/>
      <c r="AI38" s="4087"/>
      <c r="AJ38" s="4090"/>
      <c r="AK38" s="3946"/>
    </row>
    <row r="39" spans="1:42" ht="33.75" customHeight="1">
      <c r="A39" s="1286"/>
      <c r="B39" s="1286" t="s">
        <v>133</v>
      </c>
      <c r="C39" s="1286" t="s">
        <v>134</v>
      </c>
      <c r="D39" s="1286" t="s">
        <v>135</v>
      </c>
      <c r="E39" s="1280" t="s">
        <v>427</v>
      </c>
      <c r="F39" s="1280" t="s">
        <v>428</v>
      </c>
      <c r="G39" s="1280" t="s">
        <v>429</v>
      </c>
      <c r="H39" s="1280"/>
      <c r="I39" s="1280" t="s">
        <v>481</v>
      </c>
      <c r="J39" s="1280" t="s">
        <v>432</v>
      </c>
      <c r="K39" s="1280" t="s">
        <v>482</v>
      </c>
      <c r="L39" s="1280" t="s">
        <v>407</v>
      </c>
      <c r="Q39" s="305"/>
      <c r="R39" s="305"/>
      <c r="S39" s="4082"/>
      <c r="T39" s="4033"/>
      <c r="U39" s="221"/>
      <c r="V39" s="1365" t="s">
        <v>483</v>
      </c>
      <c r="W39" s="1128" t="s">
        <v>484</v>
      </c>
      <c r="X39" s="1128" t="s">
        <v>485</v>
      </c>
      <c r="Y39" s="1368" t="s">
        <v>436</v>
      </c>
      <c r="Z39" s="4042" t="s">
        <v>437</v>
      </c>
      <c r="AA39" s="4044"/>
      <c r="AB39" s="4088"/>
      <c r="AC39" s="1365" t="s">
        <v>483</v>
      </c>
      <c r="AD39" s="1128" t="s">
        <v>484</v>
      </c>
      <c r="AE39" s="1128" t="s">
        <v>485</v>
      </c>
      <c r="AF39" s="1368" t="s">
        <v>436</v>
      </c>
      <c r="AG39" s="4042" t="s">
        <v>437</v>
      </c>
      <c r="AH39" s="4044"/>
      <c r="AI39" s="4088"/>
      <c r="AJ39" s="4091"/>
      <c r="AK39" s="3946"/>
    </row>
    <row r="40" spans="1:42" s="1820"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107</v>
      </c>
      <c r="T40" s="1172" t="s">
        <v>108</v>
      </c>
      <c r="U40" s="1154" t="str">
        <f ca="1">OFFSET(U40,0,-1)</f>
        <v>2</v>
      </c>
      <c r="V40" s="1364">
        <f ca="1">OFFSET(V40,0,-1)+1</f>
        <v>3</v>
      </c>
      <c r="W40" s="1364">
        <f ca="1">OFFSET(W40,0,-1)+1</f>
        <v>4</v>
      </c>
      <c r="X40" s="1364">
        <f ca="1">OFFSET(X40,0,-1)+1</f>
        <v>5</v>
      </c>
      <c r="Y40" s="1364">
        <f ca="1">OFFSET(Y40,0,-1)+1</f>
        <v>6</v>
      </c>
      <c r="Z40" s="4081">
        <f ca="1">OFFSET(Z40,0,-1)+1</f>
        <v>7</v>
      </c>
      <c r="AA40" s="4081"/>
      <c r="AB40" s="1364">
        <f ca="1">OFFSET(AB40,0,-2)+1</f>
        <v>8</v>
      </c>
      <c r="AC40" s="1364">
        <f ca="1">OFFSET(AC40,0,-1)+1</f>
        <v>9</v>
      </c>
      <c r="AD40" s="1364">
        <f ca="1">OFFSET(AD40,0,-1)+1</f>
        <v>10</v>
      </c>
      <c r="AE40" s="1364">
        <f ca="1">OFFSET(AE40,0,-1)+1</f>
        <v>11</v>
      </c>
      <c r="AF40" s="1364">
        <f ca="1">OFFSET(AF40,0,-1)+1</f>
        <v>12</v>
      </c>
      <c r="AG40" s="4081">
        <f ca="1">OFFSET(AG40,0,-1)+1</f>
        <v>13</v>
      </c>
      <c r="AH40" s="4081"/>
      <c r="AI40" s="1364">
        <f ca="1">OFFSET(AI40,0,-2)+1</f>
        <v>14</v>
      </c>
      <c r="AJ40" s="1154">
        <f ca="1">OFFSET(AJ40,0,-1)</f>
        <v>14</v>
      </c>
      <c r="AK40" s="1364">
        <f ca="1">OFFSET(AK40,0,-1)+1</f>
        <v>15</v>
      </c>
      <c r="AL40" s="437"/>
      <c r="AM40" s="437"/>
      <c r="AN40" s="437"/>
      <c r="AO40" s="437"/>
      <c r="AP40" s="437"/>
    </row>
    <row r="41" spans="1:42" ht="23.25" customHeight="1">
      <c r="A41" s="1279" t="s">
        <v>221</v>
      </c>
      <c r="B41" s="1279"/>
      <c r="C41" s="1279"/>
      <c r="D41" s="1279"/>
      <c r="E41" s="4074">
        <v>1</v>
      </c>
      <c r="F41" s="1279"/>
      <c r="G41" s="1279"/>
      <c r="H41" s="1279"/>
      <c r="I41" s="1279"/>
      <c r="J41" s="1279"/>
      <c r="K41" s="1279"/>
      <c r="L41" s="1280"/>
      <c r="M41" s="1281"/>
      <c r="N41" s="1281"/>
      <c r="O41" s="1281"/>
      <c r="P41" s="286"/>
      <c r="Q41" s="285"/>
      <c r="R41" s="280"/>
      <c r="S41" s="1370">
        <f>INDEX(PT_DIFFERENTIATION_NUM_NTAR,MATCH(A41,PT_DIFFERENTIATION_NTAR_ID,0))</f>
        <v>0</v>
      </c>
      <c r="T41" s="217" t="s">
        <v>121</v>
      </c>
      <c r="U41" s="219"/>
      <c r="V41" s="4060"/>
      <c r="W41" s="4061"/>
      <c r="X41" s="4061"/>
      <c r="Y41" s="4061"/>
      <c r="Z41" s="4061"/>
      <c r="AA41" s="4061"/>
      <c r="AB41" s="4062"/>
      <c r="AC41" s="4060" t="str">
        <f>INDEX(PT_DIFFERENTIATION_NTAR,MATCH(A41,PT_DIFFERENTIATION_NTAR_ID,0))</f>
        <v/>
      </c>
      <c r="AD41" s="4061"/>
      <c r="AE41" s="4061"/>
      <c r="AF41" s="4061"/>
      <c r="AG41" s="4061"/>
      <c r="AH41" s="4061"/>
      <c r="AI41" s="4061"/>
      <c r="AJ41" s="4062"/>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221</v>
      </c>
      <c r="B42" s="1279" t="s">
        <v>222</v>
      </c>
      <c r="C42" s="1279"/>
      <c r="D42" s="1279"/>
      <c r="E42" s="4075"/>
      <c r="F42" s="4074">
        <v>1</v>
      </c>
      <c r="G42" s="1279"/>
      <c r="H42" s="1279"/>
      <c r="I42" s="1279"/>
      <c r="J42" s="1279"/>
      <c r="K42" s="1279"/>
      <c r="L42" s="1280"/>
      <c r="M42" s="1281"/>
      <c r="N42" s="1281"/>
      <c r="O42" s="1281"/>
      <c r="P42" s="1366"/>
      <c r="Q42" s="277"/>
      <c r="R42" s="278"/>
      <c r="S42" s="1370" t="str">
        <f>INDEX(PT_DIFFERENTIATION_NUM_TER,MATCH(B42,PT_DIFFERENTIATION_TER_ID,0))</f>
        <v>.</v>
      </c>
      <c r="T42" s="229" t="s">
        <v>389</v>
      </c>
      <c r="U42" s="219"/>
      <c r="V42" s="4060"/>
      <c r="W42" s="4061"/>
      <c r="X42" s="4061"/>
      <c r="Y42" s="4061"/>
      <c r="Z42" s="4061"/>
      <c r="AA42" s="4061"/>
      <c r="AB42" s="4062"/>
      <c r="AC42" s="4060" t="str">
        <f>INDEX(PT_DIFFERENTIATION_TER,MATCH(B42,PT_DIFFERENTIATION_TER_ID,0))</f>
        <v/>
      </c>
      <c r="AD42" s="4061"/>
      <c r="AE42" s="4061"/>
      <c r="AF42" s="4061"/>
      <c r="AG42" s="4061"/>
      <c r="AH42" s="4061"/>
      <c r="AI42" s="4061"/>
      <c r="AJ42" s="4062"/>
      <c r="AK42" s="1177" t="s">
        <v>390</v>
      </c>
      <c r="AM42" s="426"/>
      <c r="AN42" s="426" t="str">
        <f t="shared" si="1"/>
        <v>Территория действия тарифа</v>
      </c>
      <c r="AO42" s="426"/>
      <c r="AP42" s="426"/>
    </row>
    <row r="43" spans="1:42" ht="23.25" customHeight="1">
      <c r="A43" s="1279" t="s">
        <v>221</v>
      </c>
      <c r="B43" s="1279" t="s">
        <v>222</v>
      </c>
      <c r="C43" s="1279" t="s">
        <v>223</v>
      </c>
      <c r="D43" s="1279"/>
      <c r="E43" s="4075"/>
      <c r="F43" s="4075"/>
      <c r="G43" s="4074">
        <v>1</v>
      </c>
      <c r="H43" s="1279"/>
      <c r="I43" s="1279"/>
      <c r="J43" s="1279"/>
      <c r="K43" s="1279"/>
      <c r="L43" s="1280"/>
      <c r="M43" s="1281"/>
      <c r="N43" s="1281"/>
      <c r="O43" s="1281"/>
      <c r="P43" s="279"/>
      <c r="Q43" s="277"/>
      <c r="R43" s="278"/>
      <c r="S43" s="1370" t="str">
        <f>INDEX(PT_DIFFERENTIATION_NUM_CS,MATCH(C43,PT_DIFFERENTIATION_CS_ID,0))</f>
        <v>..</v>
      </c>
      <c r="T43" s="230" t="s">
        <v>472</v>
      </c>
      <c r="U43" s="219"/>
      <c r="V43" s="4060"/>
      <c r="W43" s="4061"/>
      <c r="X43" s="4061"/>
      <c r="Y43" s="4061"/>
      <c r="Z43" s="4061"/>
      <c r="AA43" s="4061"/>
      <c r="AB43" s="4062"/>
      <c r="AC43" s="4060" t="str">
        <f>INDEX(PT_DIFFERENTIATION_CS,MATCH(C43,PT_DIFFERENTIATION_CS_ID,0))</f>
        <v/>
      </c>
      <c r="AD43" s="4061"/>
      <c r="AE43" s="4061"/>
      <c r="AF43" s="4061"/>
      <c r="AG43" s="4061"/>
      <c r="AH43" s="4061"/>
      <c r="AI43" s="4061"/>
      <c r="AJ43" s="4062"/>
      <c r="AK43" s="1177" t="s">
        <v>473</v>
      </c>
      <c r="AM43" s="426"/>
      <c r="AN43" s="426" t="str">
        <f t="shared" si="1"/>
        <v>Наименование централизованной системы холодного водоснабжения</v>
      </c>
      <c r="AO43" s="426"/>
      <c r="AP43" s="426"/>
    </row>
    <row r="44" spans="1:42" ht="23.25" customHeight="1">
      <c r="A44" s="1279" t="s">
        <v>221</v>
      </c>
      <c r="B44" s="1279" t="s">
        <v>222</v>
      </c>
      <c r="C44" s="1279" t="s">
        <v>223</v>
      </c>
      <c r="D44" s="1279" t="s">
        <v>487</v>
      </c>
      <c r="E44" s="4075"/>
      <c r="F44" s="4075"/>
      <c r="G44" s="4075"/>
      <c r="H44" s="4075"/>
      <c r="I44" s="4072" t="str">
        <f>S43&amp;".1"</f>
        <v>...1</v>
      </c>
      <c r="J44" s="1279"/>
      <c r="K44" s="1279"/>
      <c r="L44" s="1280"/>
      <c r="P44" s="4073">
        <v>1</v>
      </c>
      <c r="Q44" s="1363"/>
      <c r="R44" s="281"/>
      <c r="S44" s="1370" t="str">
        <f>$I44</f>
        <v>...1</v>
      </c>
      <c r="T44" s="204" t="s">
        <v>474</v>
      </c>
      <c r="U44" s="219"/>
      <c r="V44" s="4133"/>
      <c r="W44" s="4134"/>
      <c r="X44" s="4134"/>
      <c r="Y44" s="4134"/>
      <c r="Z44" s="4134"/>
      <c r="AA44" s="4134"/>
      <c r="AB44" s="4135"/>
      <c r="AC44" s="4136"/>
      <c r="AD44" s="4137"/>
      <c r="AE44" s="4137"/>
      <c r="AF44" s="4137"/>
      <c r="AG44" s="4137"/>
      <c r="AH44" s="4137"/>
      <c r="AI44" s="4137"/>
      <c r="AJ44" s="4138"/>
      <c r="AK44" s="1177" t="s">
        <v>475</v>
      </c>
      <c r="AM44" s="426"/>
      <c r="AN44" s="426" t="str">
        <f t="shared" si="1"/>
        <v>Наименование признака дифференциации</v>
      </c>
      <c r="AO44" s="426"/>
      <c r="AP44" s="426"/>
    </row>
    <row r="45" spans="1:42" ht="23.25" customHeight="1">
      <c r="A45" s="1279" t="s">
        <v>221</v>
      </c>
      <c r="B45" s="1279" t="s">
        <v>222</v>
      </c>
      <c r="C45" s="1279" t="s">
        <v>223</v>
      </c>
      <c r="D45" s="1279" t="s">
        <v>487</v>
      </c>
      <c r="E45" s="4075"/>
      <c r="F45" s="4075"/>
      <c r="G45" s="4075"/>
      <c r="H45" s="4075"/>
      <c r="I45" s="4095"/>
      <c r="J45" s="4072" t="str">
        <f>I44&amp;".1"</f>
        <v>...1.1</v>
      </c>
      <c r="K45" s="1279"/>
      <c r="L45" s="1280" t="s">
        <v>398</v>
      </c>
      <c r="P45" s="4073"/>
      <c r="Q45" s="4073">
        <v>1</v>
      </c>
      <c r="R45" s="282"/>
      <c r="S45" s="1370" t="str">
        <f>$J45</f>
        <v>...1.1</v>
      </c>
      <c r="T45" s="205" t="s">
        <v>399</v>
      </c>
      <c r="U45" s="219"/>
      <c r="V45" s="4063"/>
      <c r="W45" s="4064"/>
      <c r="X45" s="4064"/>
      <c r="Y45" s="4064"/>
      <c r="Z45" s="4064"/>
      <c r="AA45" s="4064"/>
      <c r="AB45" s="4065"/>
      <c r="AC45" s="4063"/>
      <c r="AD45" s="4064"/>
      <c r="AE45" s="4064"/>
      <c r="AF45" s="4064"/>
      <c r="AG45" s="4064"/>
      <c r="AH45" s="4064"/>
      <c r="AI45" s="4064"/>
      <c r="AJ45" s="4065"/>
      <c r="AK45" s="1226" t="s">
        <v>476</v>
      </c>
      <c r="AM45" s="426"/>
      <c r="AN45" s="426" t="str">
        <f t="shared" si="1"/>
        <v>Группа потребителей</v>
      </c>
      <c r="AO45" s="426"/>
      <c r="AP45" s="426"/>
    </row>
    <row r="46" spans="1:42" ht="23.25" customHeight="1">
      <c r="A46" s="1279" t="s">
        <v>221</v>
      </c>
      <c r="B46" s="1279" t="s">
        <v>222</v>
      </c>
      <c r="C46" s="1279" t="s">
        <v>223</v>
      </c>
      <c r="D46" s="1279" t="s">
        <v>487</v>
      </c>
      <c r="E46" s="4075"/>
      <c r="F46" s="4075"/>
      <c r="G46" s="4075"/>
      <c r="H46" s="4075"/>
      <c r="I46" s="4095"/>
      <c r="J46" s="4095"/>
      <c r="K46" s="4072" t="str">
        <f>J45&amp;".1"</f>
        <v>...1.1.1</v>
      </c>
      <c r="L46" s="1280"/>
      <c r="P46" s="4073"/>
      <c r="Q46" s="4073"/>
      <c r="R46" s="282">
        <v>1</v>
      </c>
      <c r="S46" s="1370" t="str">
        <f>$K46</f>
        <v>...1.1.1</v>
      </c>
      <c r="T46" s="1352"/>
      <c r="U46" s="219"/>
      <c r="V46" s="668"/>
      <c r="W46" s="668"/>
      <c r="X46" s="1176"/>
      <c r="Y46" s="4077"/>
      <c r="Z46" s="3927" t="s">
        <v>65</v>
      </c>
      <c r="AA46" s="4077"/>
      <c r="AB46" s="3927" t="s">
        <v>65</v>
      </c>
      <c r="AC46" s="668"/>
      <c r="AD46" s="668"/>
      <c r="AE46" s="1176"/>
      <c r="AF46" s="4077"/>
      <c r="AG46" s="3927" t="s">
        <v>65</v>
      </c>
      <c r="AH46" s="4096"/>
      <c r="AI46" s="3927" t="s">
        <v>65</v>
      </c>
      <c r="AJ46" s="1353"/>
      <c r="AK46" s="41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221</v>
      </c>
      <c r="B47" s="1279" t="s">
        <v>222</v>
      </c>
      <c r="C47" s="1279" t="s">
        <v>223</v>
      </c>
      <c r="D47" s="1279" t="s">
        <v>487</v>
      </c>
      <c r="E47" s="4075"/>
      <c r="F47" s="4075"/>
      <c r="G47" s="4075"/>
      <c r="H47" s="4075"/>
      <c r="I47" s="4095"/>
      <c r="J47" s="4095"/>
      <c r="K47" s="4072"/>
      <c r="L47" s="1280"/>
      <c r="P47" s="4073"/>
      <c r="Q47" s="4073"/>
      <c r="R47" s="282"/>
      <c r="S47" s="1369"/>
      <c r="T47" s="219"/>
      <c r="U47" s="219"/>
      <c r="V47" s="251"/>
      <c r="W47" s="251"/>
      <c r="X47" s="255" t="str">
        <f>Y46&amp;"-"&amp;AA46</f>
        <v>-</v>
      </c>
      <c r="Y47" s="4078"/>
      <c r="Z47" s="3927"/>
      <c r="AA47" s="4078"/>
      <c r="AB47" s="3927"/>
      <c r="AC47" s="251"/>
      <c r="AD47" s="251"/>
      <c r="AE47" s="255" t="str">
        <f>AF46&amp;"-"&amp;AH46</f>
        <v>-</v>
      </c>
      <c r="AF47" s="4078"/>
      <c r="AG47" s="3927"/>
      <c r="AH47" s="4097"/>
      <c r="AI47" s="3927"/>
      <c r="AJ47" s="1354"/>
      <c r="AK47" s="4132"/>
      <c r="AM47" s="426"/>
      <c r="AN47" s="426" t="str">
        <f t="shared" si="1"/>
        <v/>
      </c>
      <c r="AO47" s="426"/>
      <c r="AP47" s="426"/>
    </row>
    <row r="48" spans="1:42" ht="21" customHeight="1">
      <c r="A48" s="1279" t="s">
        <v>221</v>
      </c>
      <c r="B48" s="1279" t="s">
        <v>222</v>
      </c>
      <c r="C48" s="1279" t="s">
        <v>223</v>
      </c>
      <c r="D48" s="1279" t="s">
        <v>487</v>
      </c>
      <c r="E48" s="4075"/>
      <c r="F48" s="4075"/>
      <c r="G48" s="4075"/>
      <c r="H48" s="4075"/>
      <c r="I48" s="4095"/>
      <c r="J48" s="4072"/>
      <c r="K48" s="1279"/>
      <c r="L48" s="1280"/>
      <c r="P48" s="4073"/>
      <c r="Q48" s="4073"/>
      <c r="R48" s="281"/>
      <c r="S48" s="1198"/>
      <c r="T48" s="206" t="s">
        <v>477</v>
      </c>
      <c r="U48" s="295"/>
      <c r="V48" s="295"/>
      <c r="W48" s="295"/>
      <c r="X48" s="295"/>
      <c r="Y48" s="295"/>
      <c r="Z48" s="295"/>
      <c r="AA48" s="295"/>
      <c r="AB48" s="295"/>
      <c r="AC48" s="295"/>
      <c r="AD48" s="295"/>
      <c r="AE48" s="295"/>
      <c r="AF48" s="295"/>
      <c r="AG48" s="295"/>
      <c r="AH48" s="295"/>
      <c r="AI48" s="295"/>
      <c r="AJ48" s="295"/>
      <c r="AK48" s="1177" t="s">
        <v>478</v>
      </c>
      <c r="AM48" s="426"/>
      <c r="AN48" s="426" t="str">
        <f t="shared" si="1"/>
        <v>Добавить значение признака дифференциации</v>
      </c>
      <c r="AO48" s="426"/>
      <c r="AP48" s="426"/>
    </row>
    <row r="49" spans="1:42" ht="21" customHeight="1">
      <c r="A49" s="1279" t="s">
        <v>221</v>
      </c>
      <c r="B49" s="1279" t="s">
        <v>222</v>
      </c>
      <c r="C49" s="1279" t="s">
        <v>223</v>
      </c>
      <c r="D49" s="1279" t="s">
        <v>487</v>
      </c>
      <c r="E49" s="4075"/>
      <c r="F49" s="4075"/>
      <c r="G49" s="4075"/>
      <c r="H49" s="4075"/>
      <c r="I49" s="4072"/>
      <c r="J49" s="1279"/>
      <c r="K49" s="1279"/>
      <c r="L49" s="1280"/>
      <c r="P49" s="4073"/>
      <c r="Q49" s="1363"/>
      <c r="R49" s="281"/>
      <c r="S49" s="1198"/>
      <c r="T49" s="292" t="s">
        <v>404</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221</v>
      </c>
      <c r="B50" s="1279" t="s">
        <v>222</v>
      </c>
      <c r="C50" s="1279" t="s">
        <v>223</v>
      </c>
      <c r="D50" s="1279" t="s">
        <v>487</v>
      </c>
      <c r="E50" s="4075"/>
      <c r="F50" s="4075"/>
      <c r="G50" s="4075"/>
      <c r="H50" s="4074"/>
      <c r="I50" s="1279"/>
      <c r="J50" s="1279"/>
      <c r="K50" s="1279"/>
      <c r="L50" s="1280"/>
      <c r="M50" s="1281"/>
      <c r="N50" s="1281"/>
      <c r="O50" s="462"/>
      <c r="P50" s="285"/>
      <c r="Q50" s="304"/>
      <c r="R50" s="280"/>
      <c r="S50" s="1198"/>
      <c r="T50" s="300" t="s">
        <v>479</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2550" customFormat="1" ht="0" hidden="1" customHeight="1">
      <c r="A51" s="1260" t="s">
        <v>221</v>
      </c>
      <c r="B51" s="1260" t="s">
        <v>222</v>
      </c>
      <c r="C51" s="1232"/>
      <c r="D51" s="1232"/>
      <c r="E51" s="4075"/>
      <c r="F51" s="4074"/>
      <c r="G51" s="1232"/>
      <c r="H51" s="1232"/>
      <c r="I51" s="1232"/>
      <c r="J51" s="1232"/>
      <c r="K51" s="1232"/>
      <c r="L51" s="1371"/>
      <c r="M51" s="1239"/>
      <c r="N51" s="1239"/>
      <c r="P51" s="1234"/>
      <c r="Q51" s="1235"/>
      <c r="R51" s="1234"/>
      <c r="S51" s="1240"/>
      <c r="T51" s="1243" t="s">
        <v>167</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1" customFormat="1" ht="0" hidden="1" customHeight="1">
      <c r="A52" s="1260" t="s">
        <v>221</v>
      </c>
      <c r="B52" s="1260"/>
      <c r="C52" s="1260"/>
      <c r="D52" s="1260"/>
      <c r="E52" s="4074"/>
      <c r="F52" s="1260"/>
      <c r="G52" s="1260"/>
      <c r="H52" s="1260"/>
      <c r="I52" s="1260"/>
      <c r="J52" s="1260"/>
      <c r="K52" s="1260"/>
      <c r="L52" s="1263"/>
      <c r="M52" s="1239"/>
      <c r="N52" s="1239"/>
      <c r="O52" s="444"/>
      <c r="P52" s="313"/>
      <c r="Q52" s="1261"/>
      <c r="R52" s="313"/>
      <c r="S52" s="1240"/>
      <c r="T52" s="1243" t="s">
        <v>168</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2550"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169</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4094"/>
      <c r="U55" s="4094"/>
      <c r="V55" s="4094"/>
      <c r="W55" s="4094"/>
      <c r="X55" s="4094"/>
      <c r="Y55" s="4094"/>
      <c r="Z55" s="4094"/>
      <c r="AA55" s="4094"/>
      <c r="AB55" s="4094"/>
      <c r="AC55" s="4094"/>
      <c r="AD55" s="4094"/>
      <c r="AE55" s="4094"/>
      <c r="AF55" s="4094"/>
      <c r="AG55" s="4094"/>
      <c r="AH55" s="4094"/>
      <c r="AI55" s="4094"/>
      <c r="AJ55" s="4094"/>
      <c r="AK55" s="4094"/>
    </row>
    <row r="56" spans="1:42" ht="14.25" customHeight="1">
      <c r="O56" s="462"/>
    </row>
    <row r="57" spans="1:42" ht="14.25" customHeight="1">
      <c r="O57" s="462"/>
      <c r="S57" s="1164"/>
      <c r="T57" s="4094"/>
      <c r="U57" s="4094"/>
      <c r="V57" s="4094"/>
      <c r="W57" s="4094"/>
      <c r="X57" s="4094"/>
      <c r="Y57" s="4094"/>
      <c r="Z57" s="4094"/>
      <c r="AA57" s="4094"/>
      <c r="AB57" s="4094"/>
      <c r="AC57" s="4094"/>
      <c r="AD57" s="4094"/>
      <c r="AE57" s="4094"/>
      <c r="AF57" s="4094"/>
      <c r="AG57" s="4094"/>
      <c r="AH57" s="4094"/>
      <c r="AI57" s="4094"/>
      <c r="AJ57" s="4094"/>
      <c r="AK57" s="4094"/>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553" hidden="1"/>
    <col min="2" max="2" width="11" style="2553" hidden="1" customWidth="1"/>
    <col min="3" max="3" width="10.5703125" style="2553" hidden="1"/>
    <col min="4" max="4" width="11.85546875" style="2553" hidden="1" customWidth="1"/>
    <col min="5" max="5" width="10" style="2553" hidden="1" customWidth="1"/>
    <col min="6" max="6" width="8.7109375" style="2553" hidden="1" customWidth="1"/>
    <col min="7" max="7" width="7.5703125" style="2553" hidden="1" customWidth="1"/>
    <col min="8" max="8" width="11.42578125" style="2553" hidden="1" customWidth="1"/>
    <col min="9" max="9" width="14.140625" style="2553" hidden="1" customWidth="1"/>
    <col min="10" max="10" width="9.85546875" style="2553" hidden="1" customWidth="1"/>
    <col min="11" max="11" width="14.7109375" style="2553" hidden="1" customWidth="1"/>
    <col min="12" max="12" width="19.140625" style="3805" hidden="1" customWidth="1"/>
    <col min="13" max="14" width="12.28515625" style="2555" hidden="1" customWidth="1"/>
    <col min="15" max="15" width="23.42578125" style="2555" hidden="1" customWidth="1"/>
    <col min="16" max="16" width="3.7109375" style="3806" customWidth="1"/>
    <col min="17" max="18" width="3.7109375" style="3173" customWidth="1"/>
    <col min="19" max="19" width="12.7109375" style="3174" customWidth="1"/>
    <col min="20" max="20" width="35.7109375" style="1920" customWidth="1"/>
    <col min="21" max="21" width="0.140625" style="1920" customWidth="1"/>
    <col min="22" max="24" width="24.7109375" style="1920" hidden="1" customWidth="1"/>
    <col min="25" max="25" width="11.7109375" style="1920" hidden="1" customWidth="1"/>
    <col min="26" max="26" width="3.7109375" style="1920" hidden="1" customWidth="1"/>
    <col min="27" max="27" width="11.7109375" style="1920" hidden="1" customWidth="1"/>
    <col min="28" max="28" width="8.5703125" style="1920" hidden="1" customWidth="1"/>
    <col min="29" max="31" width="24.7109375" style="1920" customWidth="1"/>
    <col min="32" max="32" width="11.7109375" style="1920" customWidth="1"/>
    <col min="33" max="33" width="3.7109375" style="1920" customWidth="1"/>
    <col min="34" max="34" width="11.7109375" style="1920" customWidth="1"/>
    <col min="35" max="35" width="8.5703125" style="1920" hidden="1" customWidth="1"/>
    <col min="36" max="36" width="4.7109375" style="1920" customWidth="1"/>
    <col min="37" max="37" width="115.7109375" style="1920" customWidth="1"/>
    <col min="38" max="39" width="10.5703125" style="1821"/>
    <col min="40" max="40" width="11.140625" style="1821" customWidth="1"/>
    <col min="41" max="42" width="10.5703125" style="1821"/>
  </cols>
  <sheetData>
    <row r="1" spans="1:42" ht="14.25" hidden="1" customHeight="1">
      <c r="X1" s="254"/>
      <c r="Y1" s="254"/>
      <c r="AE1" s="254"/>
      <c r="AF1" s="254"/>
    </row>
    <row r="2" spans="1:42" ht="23.25" hidden="1" customHeight="1">
      <c r="A2" s="1279"/>
      <c r="B2" s="1279"/>
      <c r="C2" s="1279"/>
      <c r="D2" s="1279"/>
      <c r="E2" s="4074">
        <v>1</v>
      </c>
      <c r="F2" s="1279"/>
      <c r="G2" s="1279"/>
      <c r="H2" s="1279"/>
      <c r="I2" s="1279"/>
      <c r="J2" s="1279"/>
      <c r="K2" s="1279"/>
      <c r="L2" s="1280"/>
      <c r="M2" s="1281"/>
      <c r="N2" s="1281"/>
      <c r="O2" s="1281"/>
      <c r="P2" s="286"/>
      <c r="Q2" s="285"/>
      <c r="R2" s="280"/>
      <c r="S2" s="1370" t="e">
        <f>INDEX(PT_DIFFERENTIATION_NUM_NTAR,MATCH(A2,PT_DIFFERENTIATION_NTAR_ID,0))</f>
        <v>#N/A</v>
      </c>
      <c r="T2" s="217" t="s">
        <v>121</v>
      </c>
      <c r="U2" s="219"/>
      <c r="V2" s="4060"/>
      <c r="W2" s="4061"/>
      <c r="X2" s="4061"/>
      <c r="Y2" s="4061"/>
      <c r="Z2" s="4061"/>
      <c r="AA2" s="4061"/>
      <c r="AB2" s="4062"/>
      <c r="AC2" s="4060" t="e">
        <f>INDEX(PT_DIFFERENTIATION_NTAR,MATCH(A2,PT_DIFFERENTIATION_NTAR_ID,0))</f>
        <v>#N/A</v>
      </c>
      <c r="AD2" s="4061"/>
      <c r="AE2" s="4061"/>
      <c r="AF2" s="4061"/>
      <c r="AG2" s="4061"/>
      <c r="AH2" s="4061"/>
      <c r="AI2" s="4061"/>
      <c r="AJ2" s="4062"/>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4075"/>
      <c r="F3" s="4074">
        <v>1</v>
      </c>
      <c r="G3" s="1279"/>
      <c r="H3" s="1279"/>
      <c r="I3" s="1279"/>
      <c r="J3" s="1279"/>
      <c r="K3" s="1279"/>
      <c r="L3" s="1280"/>
      <c r="M3" s="1281"/>
      <c r="N3" s="1281"/>
      <c r="O3" s="1281"/>
      <c r="P3" s="1366"/>
      <c r="Q3" s="277"/>
      <c r="R3" s="278"/>
      <c r="S3" s="1370" t="e">
        <f>INDEX(PT_DIFFERENTIATION_NUM_TER,MATCH(B3,PT_DIFFERENTIATION_TER_ID,0))</f>
        <v>#N/A</v>
      </c>
      <c r="T3" s="229" t="s">
        <v>389</v>
      </c>
      <c r="U3" s="219"/>
      <c r="V3" s="4060"/>
      <c r="W3" s="4061"/>
      <c r="X3" s="4061"/>
      <c r="Y3" s="4061"/>
      <c r="Z3" s="4061"/>
      <c r="AA3" s="4061"/>
      <c r="AB3" s="4062"/>
      <c r="AC3" s="4060" t="e">
        <f>INDEX(PT_DIFFERENTIATION_TER,MATCH(B3,PT_DIFFERENTIATION_TER_ID,0))</f>
        <v>#N/A</v>
      </c>
      <c r="AD3" s="4061"/>
      <c r="AE3" s="4061"/>
      <c r="AF3" s="4061"/>
      <c r="AG3" s="4061"/>
      <c r="AH3" s="4061"/>
      <c r="AI3" s="4061"/>
      <c r="AJ3" s="4062"/>
      <c r="AK3" s="1177" t="s">
        <v>390</v>
      </c>
      <c r="AM3" s="426"/>
      <c r="AN3" s="426" t="str">
        <f t="shared" si="0"/>
        <v>Территория действия тарифа</v>
      </c>
      <c r="AO3" s="426"/>
      <c r="AP3" s="426"/>
    </row>
    <row r="4" spans="1:42" ht="23.25" hidden="1" customHeight="1">
      <c r="A4" s="1279"/>
      <c r="B4" s="1279"/>
      <c r="C4" s="1279"/>
      <c r="D4" s="1279"/>
      <c r="E4" s="4075"/>
      <c r="F4" s="4075"/>
      <c r="G4" s="4074">
        <v>1</v>
      </c>
      <c r="H4" s="1279"/>
      <c r="I4" s="1279"/>
      <c r="J4" s="1279"/>
      <c r="K4" s="1279"/>
      <c r="L4" s="1280"/>
      <c r="M4" s="1281"/>
      <c r="N4" s="1281"/>
      <c r="O4" s="1281"/>
      <c r="P4" s="279"/>
      <c r="Q4" s="277"/>
      <c r="R4" s="278"/>
      <c r="S4" s="1370" t="e">
        <f>INDEX(PT_DIFFERENTIATION_NUM_CS,MATCH(C4,PT_DIFFERENTIATION_CS_ID,0))</f>
        <v>#N/A</v>
      </c>
      <c r="T4" s="230" t="s">
        <v>472</v>
      </c>
      <c r="U4" s="219"/>
      <c r="V4" s="4060"/>
      <c r="W4" s="4061"/>
      <c r="X4" s="4061"/>
      <c r="Y4" s="4061"/>
      <c r="Z4" s="4061"/>
      <c r="AA4" s="4061"/>
      <c r="AB4" s="4062"/>
      <c r="AC4" s="4060" t="e">
        <f>INDEX(PT_DIFFERENTIATION_CS,MATCH(C4,PT_DIFFERENTIATION_CS_ID,0))</f>
        <v>#N/A</v>
      </c>
      <c r="AD4" s="4061"/>
      <c r="AE4" s="4061"/>
      <c r="AF4" s="4061"/>
      <c r="AG4" s="4061"/>
      <c r="AH4" s="4061"/>
      <c r="AI4" s="4061"/>
      <c r="AJ4" s="4062"/>
      <c r="AK4" s="1177" t="s">
        <v>473</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4075"/>
      <c r="F5" s="4075"/>
      <c r="G5" s="4075"/>
      <c r="H5" s="4075"/>
      <c r="I5" s="4072" t="e">
        <f>S4&amp;".1"</f>
        <v>#N/A</v>
      </c>
      <c r="J5" s="1279"/>
      <c r="K5" s="1279"/>
      <c r="L5" s="1280"/>
      <c r="P5" s="4073">
        <v>1</v>
      </c>
      <c r="Q5" s="1363"/>
      <c r="R5" s="281"/>
      <c r="S5" s="1370" t="e">
        <f>$I5</f>
        <v>#N/A</v>
      </c>
      <c r="T5" s="204" t="s">
        <v>474</v>
      </c>
      <c r="U5" s="219"/>
      <c r="V5" s="4133"/>
      <c r="W5" s="4134"/>
      <c r="X5" s="4134"/>
      <c r="Y5" s="4134"/>
      <c r="Z5" s="4134"/>
      <c r="AA5" s="4134"/>
      <c r="AB5" s="4135"/>
      <c r="AC5" s="4136"/>
      <c r="AD5" s="4137"/>
      <c r="AE5" s="4137"/>
      <c r="AF5" s="4137"/>
      <c r="AG5" s="4137"/>
      <c r="AH5" s="4137"/>
      <c r="AI5" s="4137"/>
      <c r="AJ5" s="4138"/>
      <c r="AK5" s="1177" t="s">
        <v>475</v>
      </c>
      <c r="AM5" s="426"/>
      <c r="AN5" s="426" t="str">
        <f t="shared" si="0"/>
        <v>Наименование признака дифференциации</v>
      </c>
      <c r="AO5" s="426"/>
      <c r="AP5" s="426"/>
    </row>
    <row r="6" spans="1:42" ht="23.25" hidden="1" customHeight="1">
      <c r="A6" s="1279"/>
      <c r="B6" s="1279"/>
      <c r="C6" s="1279"/>
      <c r="D6" s="1279"/>
      <c r="E6" s="4075"/>
      <c r="F6" s="4075"/>
      <c r="G6" s="4075"/>
      <c r="H6" s="4075"/>
      <c r="I6" s="4095"/>
      <c r="J6" s="4072" t="e">
        <f>I5&amp;".1"</f>
        <v>#N/A</v>
      </c>
      <c r="K6" s="1279"/>
      <c r="L6" s="1280" t="s">
        <v>398</v>
      </c>
      <c r="P6" s="4073"/>
      <c r="Q6" s="4073">
        <v>1</v>
      </c>
      <c r="R6" s="282"/>
      <c r="S6" s="1370" t="e">
        <f>$J6</f>
        <v>#N/A</v>
      </c>
      <c r="T6" s="205" t="s">
        <v>399</v>
      </c>
      <c r="U6" s="219"/>
      <c r="V6" s="4063"/>
      <c r="W6" s="4064"/>
      <c r="X6" s="4064"/>
      <c r="Y6" s="4064"/>
      <c r="Z6" s="4064"/>
      <c r="AA6" s="4064"/>
      <c r="AB6" s="4065"/>
      <c r="AC6" s="4063"/>
      <c r="AD6" s="4064"/>
      <c r="AE6" s="4064"/>
      <c r="AF6" s="4064"/>
      <c r="AG6" s="4064"/>
      <c r="AH6" s="4064"/>
      <c r="AI6" s="4064"/>
      <c r="AJ6" s="4065"/>
      <c r="AK6" s="1226" t="s">
        <v>476</v>
      </c>
      <c r="AM6" s="426"/>
      <c r="AN6" s="426" t="str">
        <f t="shared" si="0"/>
        <v>Группа потребителей</v>
      </c>
      <c r="AO6" s="426"/>
      <c r="AP6" s="426"/>
    </row>
    <row r="7" spans="1:42" ht="23.25" hidden="1" customHeight="1">
      <c r="A7" s="1279"/>
      <c r="B7" s="1279"/>
      <c r="C7" s="1279"/>
      <c r="D7" s="1279"/>
      <c r="E7" s="4075"/>
      <c r="F7" s="4075"/>
      <c r="G7" s="4075"/>
      <c r="H7" s="4075"/>
      <c r="I7" s="4095"/>
      <c r="J7" s="4095"/>
      <c r="K7" s="4072" t="e">
        <f>J6&amp;".1"</f>
        <v>#N/A</v>
      </c>
      <c r="L7" s="1280"/>
      <c r="P7" s="4073"/>
      <c r="Q7" s="4073"/>
      <c r="R7" s="282">
        <v>1</v>
      </c>
      <c r="S7" s="1370" t="e">
        <f>$K7</f>
        <v>#N/A</v>
      </c>
      <c r="T7" s="1352"/>
      <c r="U7" s="219"/>
      <c r="V7" s="668"/>
      <c r="W7" s="668"/>
      <c r="X7" s="1176"/>
      <c r="Y7" s="4077"/>
      <c r="Z7" s="3927" t="s">
        <v>65</v>
      </c>
      <c r="AA7" s="4077"/>
      <c r="AB7" s="3927" t="s">
        <v>65</v>
      </c>
      <c r="AC7" s="668"/>
      <c r="AD7" s="668"/>
      <c r="AE7" s="1176"/>
      <c r="AF7" s="4077"/>
      <c r="AG7" s="3927" t="s">
        <v>65</v>
      </c>
      <c r="AH7" s="4096"/>
      <c r="AI7" s="3927" t="s">
        <v>65</v>
      </c>
      <c r="AJ7" s="1353"/>
      <c r="AK7" s="41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4075"/>
      <c r="F8" s="4075"/>
      <c r="G8" s="4075"/>
      <c r="H8" s="4075"/>
      <c r="I8" s="4095"/>
      <c r="J8" s="4095"/>
      <c r="K8" s="4072"/>
      <c r="L8" s="1280"/>
      <c r="P8" s="4073"/>
      <c r="Q8" s="4073"/>
      <c r="R8" s="282"/>
      <c r="S8" s="1369"/>
      <c r="T8" s="219"/>
      <c r="U8" s="219"/>
      <c r="V8" s="251"/>
      <c r="W8" s="251"/>
      <c r="X8" s="255" t="str">
        <f>Y7&amp;"-"&amp;AA7</f>
        <v>-</v>
      </c>
      <c r="Y8" s="4078"/>
      <c r="Z8" s="3927"/>
      <c r="AA8" s="4078"/>
      <c r="AB8" s="3927"/>
      <c r="AC8" s="251"/>
      <c r="AD8" s="251"/>
      <c r="AE8" s="255" t="str">
        <f>AF7&amp;"-"&amp;AH7</f>
        <v>-</v>
      </c>
      <c r="AF8" s="4078"/>
      <c r="AG8" s="3927"/>
      <c r="AH8" s="4097"/>
      <c r="AI8" s="3927"/>
      <c r="AJ8" s="1354"/>
      <c r="AK8" s="4132"/>
      <c r="AM8" s="426"/>
      <c r="AN8" s="426" t="str">
        <f t="shared" si="0"/>
        <v/>
      </c>
      <c r="AO8" s="426"/>
      <c r="AP8" s="426"/>
    </row>
    <row r="9" spans="1:42" ht="21" hidden="1" customHeight="1">
      <c r="A9" s="1279"/>
      <c r="B9" s="1279"/>
      <c r="C9" s="1279"/>
      <c r="D9" s="1279"/>
      <c r="E9" s="4075"/>
      <c r="F9" s="4075"/>
      <c r="G9" s="4075"/>
      <c r="H9" s="4075"/>
      <c r="I9" s="4095"/>
      <c r="J9" s="4072"/>
      <c r="K9" s="1279"/>
      <c r="L9" s="1280"/>
      <c r="P9" s="4073"/>
      <c r="Q9" s="4073"/>
      <c r="R9" s="281"/>
      <c r="S9" s="1198"/>
      <c r="T9" s="206" t="s">
        <v>477</v>
      </c>
      <c r="U9" s="295"/>
      <c r="V9" s="295"/>
      <c r="W9" s="295"/>
      <c r="X9" s="295"/>
      <c r="Y9" s="295"/>
      <c r="Z9" s="295"/>
      <c r="AA9" s="295"/>
      <c r="AB9" s="295"/>
      <c r="AC9" s="295"/>
      <c r="AD9" s="295"/>
      <c r="AE9" s="295"/>
      <c r="AF9" s="295"/>
      <c r="AG9" s="295"/>
      <c r="AH9" s="295"/>
      <c r="AI9" s="295"/>
      <c r="AJ9" s="295"/>
      <c r="AK9" s="1177" t="s">
        <v>478</v>
      </c>
      <c r="AM9" s="426"/>
      <c r="AN9" s="426" t="str">
        <f t="shared" si="0"/>
        <v>Добавить значение признака дифференциации</v>
      </c>
      <c r="AO9" s="426"/>
      <c r="AP9" s="426"/>
    </row>
    <row r="10" spans="1:42" ht="21" hidden="1" customHeight="1">
      <c r="A10" s="1279"/>
      <c r="B10" s="1279"/>
      <c r="C10" s="1279"/>
      <c r="D10" s="1279"/>
      <c r="E10" s="4075"/>
      <c r="F10" s="4075"/>
      <c r="G10" s="4075"/>
      <c r="H10" s="4075"/>
      <c r="I10" s="4072"/>
      <c r="J10" s="1279"/>
      <c r="K10" s="1279"/>
      <c r="L10" s="1280"/>
      <c r="P10" s="4073"/>
      <c r="Q10" s="1363"/>
      <c r="R10" s="281"/>
      <c r="S10" s="1198"/>
      <c r="T10" s="292" t="s">
        <v>404</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4075"/>
      <c r="F11" s="4075"/>
      <c r="G11" s="4075"/>
      <c r="H11" s="4074"/>
      <c r="I11" s="1279"/>
      <c r="J11" s="1279"/>
      <c r="K11" s="1279"/>
      <c r="L11" s="1280"/>
      <c r="M11" s="1281"/>
      <c r="N11" s="1281"/>
      <c r="O11" s="462"/>
      <c r="P11" s="285"/>
      <c r="Q11" s="304"/>
      <c r="R11" s="280"/>
      <c r="S11" s="1198"/>
      <c r="T11" s="300" t="s">
        <v>479</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2550" customFormat="1" ht="14.25" hidden="1" customHeight="1">
      <c r="A12" s="1260"/>
      <c r="B12" s="1260"/>
      <c r="C12" s="1232"/>
      <c r="D12" s="1232"/>
      <c r="E12" s="4075"/>
      <c r="F12" s="4074"/>
      <c r="G12" s="1232"/>
      <c r="H12" s="1232"/>
      <c r="I12" s="1232"/>
      <c r="J12" s="1232"/>
      <c r="K12" s="1232"/>
      <c r="L12" s="1371"/>
      <c r="M12" s="1239"/>
      <c r="N12" s="1239"/>
      <c r="P12" s="1234"/>
      <c r="Q12" s="1235"/>
      <c r="R12" s="1234"/>
      <c r="S12" s="1240"/>
      <c r="T12" s="1243" t="s">
        <v>167</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1" customFormat="1" ht="14.25" hidden="1" customHeight="1">
      <c r="A13" s="1260"/>
      <c r="B13" s="1260"/>
      <c r="C13" s="1260"/>
      <c r="D13" s="1260"/>
      <c r="E13" s="4074"/>
      <c r="F13" s="1260"/>
      <c r="G13" s="1260"/>
      <c r="H13" s="1260"/>
      <c r="I13" s="1260"/>
      <c r="J13" s="1260"/>
      <c r="K13" s="1260"/>
      <c r="L13" s="1263"/>
      <c r="M13" s="1239"/>
      <c r="N13" s="1239"/>
      <c r="O13" s="444"/>
      <c r="P13" s="313"/>
      <c r="Q13" s="1261"/>
      <c r="R13" s="313"/>
      <c r="S13" s="1240"/>
      <c r="T13" s="1243" t="s">
        <v>168</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4079"/>
      <c r="AG15" s="4080" t="s">
        <v>65</v>
      </c>
      <c r="AH15" s="4079"/>
      <c r="AI15" s="4080" t="s">
        <v>65</v>
      </c>
    </row>
    <row r="16" spans="1:42" ht="14.25" hidden="1" customHeight="1">
      <c r="AC16" s="1276"/>
      <c r="AD16" s="1276"/>
      <c r="AE16" s="255" t="str">
        <f>AF15&amp;"-"&amp;AH15</f>
        <v>-</v>
      </c>
      <c r="AF16" s="4080"/>
      <c r="AG16" s="4080"/>
      <c r="AH16" s="4080"/>
      <c r="AI16" s="4080"/>
    </row>
    <row r="17" spans="1:42" ht="14.25" hidden="1" customHeight="1">
      <c r="AI17" s="254"/>
    </row>
    <row r="18" spans="1:42" s="2553" customFormat="1" ht="22.5" hidden="1" customHeight="1">
      <c r="L18" s="1360"/>
      <c r="M18" s="1278"/>
      <c r="N18" s="1278"/>
      <c r="O18" s="1283" t="s">
        <v>406</v>
      </c>
      <c r="P18" s="1278"/>
      <c r="Q18" s="1287"/>
      <c r="R18" s="1287"/>
      <c r="S18" s="648"/>
      <c r="Y18" s="1283"/>
      <c r="AA18" s="1283"/>
      <c r="AB18" s="1282"/>
      <c r="AF18" s="1283"/>
      <c r="AH18" s="1283"/>
      <c r="AI18" s="1282"/>
      <c r="AL18" s="437"/>
      <c r="AM18" s="437"/>
      <c r="AN18" s="437"/>
      <c r="AO18" s="437"/>
      <c r="AP18" s="437"/>
    </row>
    <row r="19" spans="1:42" s="2553" customFormat="1" ht="14.25" hidden="1" customHeight="1">
      <c r="L19" s="1360"/>
      <c r="M19" s="1278"/>
      <c r="N19" s="1278"/>
      <c r="O19" s="1278"/>
      <c r="P19" s="1278"/>
      <c r="Q19" s="1287"/>
      <c r="R19" s="1287"/>
      <c r="S19" s="648"/>
      <c r="AB19" s="1282"/>
      <c r="AI19" s="1282"/>
      <c r="AL19" s="437"/>
      <c r="AM19" s="437"/>
      <c r="AN19" s="437"/>
      <c r="AO19" s="437"/>
      <c r="AP19" s="437"/>
    </row>
    <row r="20" spans="1:42" s="2553" customFormat="1" ht="12" hidden="1" customHeight="1">
      <c r="L20" s="1360"/>
      <c r="M20" s="1278"/>
      <c r="N20" s="1278"/>
      <c r="O20" s="1280" t="s">
        <v>407</v>
      </c>
      <c r="P20" s="1278"/>
      <c r="Q20" s="1356"/>
      <c r="R20" s="1356"/>
      <c r="S20" s="648"/>
      <c r="T20" s="1060" t="s">
        <v>408</v>
      </c>
      <c r="Z20" s="107" t="s">
        <v>409</v>
      </c>
      <c r="AB20" s="107" t="s">
        <v>410</v>
      </c>
      <c r="AC20" s="1060" t="s">
        <v>408</v>
      </c>
      <c r="AG20" s="107" t="s">
        <v>411</v>
      </c>
      <c r="AI20" s="107" t="s">
        <v>410</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405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4058"/>
      <c r="U24" s="4058"/>
      <c r="V24" s="4058"/>
      <c r="W24" s="4058"/>
      <c r="X24" s="4058"/>
      <c r="Y24" s="4058"/>
      <c r="Z24" s="4058"/>
      <c r="AA24" s="4058"/>
      <c r="AB24" s="4058"/>
      <c r="AC24" s="4058"/>
      <c r="AD24" s="4058"/>
      <c r="AE24" s="4058"/>
      <c r="AF24" s="4058"/>
      <c r="AG24" s="4058"/>
      <c r="AH24" s="4058"/>
      <c r="AI24" s="1152"/>
    </row>
    <row r="25" spans="1:42" ht="14.25" customHeight="1">
      <c r="Q25" s="305"/>
      <c r="R25" s="305"/>
      <c r="S25" s="4004" t="str">
        <f>IF(org=0,"Не определено",org)</f>
        <v>ООО «РИР-Сахалин»</v>
      </c>
      <c r="T25" s="4004"/>
      <c r="U25" s="4004"/>
      <c r="V25" s="4004"/>
      <c r="W25" s="4004"/>
      <c r="X25" s="4004"/>
      <c r="Y25" s="4004"/>
      <c r="Z25" s="4004"/>
      <c r="AA25" s="4004"/>
      <c r="AB25" s="4004"/>
      <c r="AC25" s="4004"/>
      <c r="AD25" s="4004"/>
      <c r="AE25" s="4004"/>
      <c r="AF25" s="4004"/>
      <c r="AG25" s="4004"/>
      <c r="AH25" s="4004"/>
      <c r="AI25" s="1152"/>
    </row>
    <row r="26" spans="1:42" ht="14.25" hidden="1"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2564" customFormat="1" ht="25.5" hidden="1" customHeight="1">
      <c r="A27" s="1284"/>
      <c r="B27" s="1284"/>
      <c r="C27" s="1284"/>
      <c r="D27" s="1284"/>
      <c r="E27" s="1284"/>
      <c r="F27" s="1284"/>
      <c r="G27" s="1284"/>
      <c r="H27" s="1284"/>
      <c r="I27" s="1284"/>
      <c r="J27" s="1284"/>
      <c r="K27" s="1284"/>
      <c r="L27" s="1285"/>
      <c r="M27" s="1284"/>
      <c r="N27" s="1284"/>
      <c r="O27" s="1284"/>
      <c r="S27" s="4066" t="s">
        <v>38</v>
      </c>
      <c r="T27" s="4066"/>
      <c r="U27" s="1288"/>
      <c r="V27" s="4067" t="str">
        <f>IF(TITLE_NAME_OR_PR_CHANGE="",IF(TITLE_NAME_OR_PR="","",TITLE_NAME_OR_PR),TITLE_NAME_OR_PR_CHANGE)</f>
        <v/>
      </c>
      <c r="W27" s="4067"/>
      <c r="X27" s="4067"/>
      <c r="Y27" s="4067"/>
      <c r="Z27" s="4067"/>
      <c r="AA27" s="4067"/>
      <c r="AB27" s="253"/>
      <c r="AC27" s="4067" t="str">
        <f>IF(TITLE_NAME_OR_PR_CHANGE="",IF(TITLE_NAME_OR_PR="","",TITLE_NAME_OR_PR),TITLE_NAME_OR_PR_CHANGE)</f>
        <v/>
      </c>
      <c r="AD27" s="4067"/>
      <c r="AE27" s="4067"/>
      <c r="AF27" s="4067"/>
      <c r="AG27" s="4067"/>
      <c r="AH27" s="4067"/>
      <c r="AI27" s="253"/>
      <c r="AJ27" s="253"/>
      <c r="AK27" s="200"/>
      <c r="AL27" s="296"/>
      <c r="AM27" s="296"/>
      <c r="AN27" s="296"/>
      <c r="AO27" s="296"/>
      <c r="AP27" s="296"/>
    </row>
    <row r="28" spans="1:42" s="2564" customFormat="1" ht="18.75" hidden="1" customHeight="1">
      <c r="A28" s="1284"/>
      <c r="B28" s="1284"/>
      <c r="C28" s="1284"/>
      <c r="D28" s="1284"/>
      <c r="E28" s="1284"/>
      <c r="F28" s="1284"/>
      <c r="G28" s="1284"/>
      <c r="H28" s="1284"/>
      <c r="I28" s="1284"/>
      <c r="J28" s="1284"/>
      <c r="K28" s="1284"/>
      <c r="L28" s="1285"/>
      <c r="M28" s="1284"/>
      <c r="N28" s="1284"/>
      <c r="O28" s="1284"/>
      <c r="S28" s="4066" t="s">
        <v>412</v>
      </c>
      <c r="T28" s="4066"/>
      <c r="U28" s="1288"/>
      <c r="V28" s="4076">
        <f>IF(TITLE_DATE_PR_CHANGE="",IF(TITLE_DATE_PR="","",TITLE_DATE_PR),TITLE_DATE_PR_CHANGE)</f>
        <v>45289.465104166666</v>
      </c>
      <c r="W28" s="4076"/>
      <c r="X28" s="4076"/>
      <c r="Y28" s="4076"/>
      <c r="Z28" s="4076"/>
      <c r="AA28" s="4076"/>
      <c r="AB28" s="253"/>
      <c r="AC28" s="4076">
        <f>IF(TITLE_DATE_PR_CHANGE="",IF(TITLE_DATE_PR="","",TITLE_DATE_PR),TITLE_DATE_PR_CHANGE)</f>
        <v>45289.465104166666</v>
      </c>
      <c r="AD28" s="4076"/>
      <c r="AE28" s="4076"/>
      <c r="AF28" s="4076"/>
      <c r="AG28" s="4076"/>
      <c r="AH28" s="4076"/>
      <c r="AI28" s="253"/>
      <c r="AJ28" s="253"/>
      <c r="AK28" s="200"/>
      <c r="AL28" s="296"/>
      <c r="AM28" s="296"/>
      <c r="AN28" s="296"/>
      <c r="AO28" s="296"/>
      <c r="AP28" s="296"/>
    </row>
    <row r="29" spans="1:42" s="2564" customFormat="1" ht="18.75" hidden="1" customHeight="1">
      <c r="A29" s="1284"/>
      <c r="B29" s="1284"/>
      <c r="C29" s="1284"/>
      <c r="D29" s="1284"/>
      <c r="E29" s="1284"/>
      <c r="F29" s="1284"/>
      <c r="G29" s="1284"/>
      <c r="H29" s="1284"/>
      <c r="I29" s="1284"/>
      <c r="J29" s="1284"/>
      <c r="K29" s="1284"/>
      <c r="L29" s="1285"/>
      <c r="M29" s="1284"/>
      <c r="N29" s="1284"/>
      <c r="O29" s="1284"/>
      <c r="S29" s="4066" t="s">
        <v>413</v>
      </c>
      <c r="T29" s="4066"/>
      <c r="U29" s="1288"/>
      <c r="V29" s="4067" t="str">
        <f>IF(TITLE_NUMBER_PR_CHANGE="",IF(TITLE_NUMBER_PR="","",TITLE_NUMBER_PR),TITLE_NUMBER_PR_CHANGE)</f>
        <v>761-1/201-1</v>
      </c>
      <c r="W29" s="4067"/>
      <c r="X29" s="4067"/>
      <c r="Y29" s="4067"/>
      <c r="Z29" s="4067"/>
      <c r="AA29" s="4067"/>
      <c r="AB29" s="253"/>
      <c r="AC29" s="4067" t="str">
        <f>IF(TITLE_NUMBER_PR_CHANGE="",IF(TITLE_NUMBER_PR="","",TITLE_NUMBER_PR),TITLE_NUMBER_PR_CHANGE)</f>
        <v>761-1/201-1</v>
      </c>
      <c r="AD29" s="4067"/>
      <c r="AE29" s="4067"/>
      <c r="AF29" s="4067"/>
      <c r="AG29" s="4067"/>
      <c r="AH29" s="4067"/>
      <c r="AI29" s="253"/>
      <c r="AJ29" s="253"/>
      <c r="AK29" s="200"/>
      <c r="AL29" s="296"/>
      <c r="AM29" s="296"/>
      <c r="AN29" s="296"/>
      <c r="AO29" s="296"/>
      <c r="AP29" s="296"/>
    </row>
    <row r="30" spans="1:42" s="2564" customFormat="1" ht="18.75" hidden="1" customHeight="1">
      <c r="A30" s="1284"/>
      <c r="B30" s="1284"/>
      <c r="C30" s="1284"/>
      <c r="D30" s="1284"/>
      <c r="E30" s="1284"/>
      <c r="F30" s="1284"/>
      <c r="G30" s="1284"/>
      <c r="H30" s="1284"/>
      <c r="I30" s="1284"/>
      <c r="J30" s="1284"/>
      <c r="K30" s="1284"/>
      <c r="L30" s="1285"/>
      <c r="M30" s="1284"/>
      <c r="N30" s="1284"/>
      <c r="O30" s="1284"/>
      <c r="S30" s="4066" t="s">
        <v>39</v>
      </c>
      <c r="T30" s="4066"/>
      <c r="U30" s="1288"/>
      <c r="V30" s="4067" t="str">
        <f>IF(TITLE_IST_PUB_CHANGE="",IF(TITLE_IST_PUB="","",TITLE_IST_PUB),TITLE_IST_PUB_CHANGE)</f>
        <v/>
      </c>
      <c r="W30" s="4067"/>
      <c r="X30" s="4067"/>
      <c r="Y30" s="4067"/>
      <c r="Z30" s="4067"/>
      <c r="AA30" s="4067"/>
      <c r="AB30" s="253"/>
      <c r="AC30" s="4067" t="str">
        <f>IF(TITLE_IST_PUB_CHANGE="",IF(TITLE_IST_PUB="","",TITLE_IST_PUB),TITLE_IST_PUB_CHANGE)</f>
        <v/>
      </c>
      <c r="AD30" s="4067"/>
      <c r="AE30" s="4067"/>
      <c r="AF30" s="4067"/>
      <c r="AG30" s="4067"/>
      <c r="AH30" s="4067"/>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2564" customFormat="1" ht="18.75" customHeight="1">
      <c r="A32" s="1284"/>
      <c r="B32" s="1284"/>
      <c r="C32" s="1284"/>
      <c r="D32" s="1284"/>
      <c r="E32" s="1284"/>
      <c r="F32" s="1284"/>
      <c r="G32" s="1284"/>
      <c r="H32" s="1284"/>
      <c r="I32" s="1284"/>
      <c r="J32" s="1284"/>
      <c r="K32" s="1284"/>
      <c r="L32" s="1285"/>
      <c r="M32" s="1284"/>
      <c r="N32" s="1284"/>
      <c r="O32" s="1284"/>
      <c r="S32" s="4066" t="s">
        <v>414</v>
      </c>
      <c r="T32" s="4066"/>
      <c r="U32" s="1288"/>
      <c r="V32" s="4076">
        <f>IF(TITLE_DATE_PR_CHANGE="",IF(TITLE_DATE_PR="","",TITLE_DATE_PR),TITLE_DATE_PR_CHANGE)</f>
        <v>45289.465104166666</v>
      </c>
      <c r="W32" s="4076"/>
      <c r="X32" s="4076"/>
      <c r="Y32" s="4076"/>
      <c r="Z32" s="4076"/>
      <c r="AA32" s="4076"/>
      <c r="AB32" s="253"/>
      <c r="AC32" s="4076">
        <f>IF(TITLE_DATE_PR_CHANGE="",IF(TITLE_DATE_PR="","",TITLE_DATE_PR),TITLE_DATE_PR_CHANGE)</f>
        <v>45289.465104166666</v>
      </c>
      <c r="AD32" s="4076"/>
      <c r="AE32" s="4076"/>
      <c r="AF32" s="4076"/>
      <c r="AG32" s="4076"/>
      <c r="AH32" s="4076"/>
      <c r="AI32" s="253"/>
      <c r="AJ32" s="253"/>
      <c r="AK32" s="200"/>
      <c r="AL32" s="296"/>
      <c r="AM32" s="296"/>
      <c r="AN32" s="296"/>
      <c r="AO32" s="296"/>
      <c r="AP32" s="296"/>
    </row>
    <row r="33" spans="1:42" s="2564" customFormat="1" ht="18.75" customHeight="1">
      <c r="A33" s="1284"/>
      <c r="B33" s="1284"/>
      <c r="C33" s="1284"/>
      <c r="D33" s="1284"/>
      <c r="E33" s="1284"/>
      <c r="F33" s="1284"/>
      <c r="G33" s="1284"/>
      <c r="H33" s="1284"/>
      <c r="I33" s="1284"/>
      <c r="J33" s="1284"/>
      <c r="K33" s="1284"/>
      <c r="L33" s="1285"/>
      <c r="M33" s="1284"/>
      <c r="N33" s="1284"/>
      <c r="O33" s="1284"/>
      <c r="S33" s="4066" t="s">
        <v>415</v>
      </c>
      <c r="T33" s="4066"/>
      <c r="U33" s="1288"/>
      <c r="V33" s="4067" t="str">
        <f>IF(TITLE_NUMBER_PR_CHANGE="",IF(TITLE_NUMBER_PR="","",TITLE_NUMBER_PR),TITLE_NUMBER_PR_CHANGE)</f>
        <v>761-1/201-1</v>
      </c>
      <c r="W33" s="4067"/>
      <c r="X33" s="4067"/>
      <c r="Y33" s="4067"/>
      <c r="Z33" s="4067"/>
      <c r="AA33" s="4067"/>
      <c r="AB33" s="253"/>
      <c r="AC33" s="4067" t="str">
        <f>IF(TITLE_NUMBER_PR_CHANGE="",IF(TITLE_NUMBER_PR="","",TITLE_NUMBER_PR),TITLE_NUMBER_PR_CHANGE)</f>
        <v>761-1/201-1</v>
      </c>
      <c r="AD33" s="4067"/>
      <c r="AE33" s="4067"/>
      <c r="AF33" s="4067"/>
      <c r="AG33" s="4067"/>
      <c r="AH33" s="4067"/>
      <c r="AI33" s="253"/>
      <c r="AJ33" s="253"/>
      <c r="AK33" s="200"/>
      <c r="AL33" s="296"/>
      <c r="AM33" s="296"/>
      <c r="AN33" s="296"/>
      <c r="AO33" s="296"/>
      <c r="AP33" s="296"/>
    </row>
    <row r="34" spans="1:42" s="2564"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416</v>
      </c>
      <c r="AC34" s="253"/>
      <c r="AD34" s="253"/>
      <c r="AE34" s="253"/>
      <c r="AF34" s="253"/>
      <c r="AG34" s="253"/>
      <c r="AH34" s="253"/>
      <c r="AI34" s="198" t="s">
        <v>416</v>
      </c>
      <c r="AL34" s="296"/>
      <c r="AM34" s="296"/>
      <c r="AN34" s="296"/>
      <c r="AO34" s="296"/>
      <c r="AP34" s="296"/>
    </row>
    <row r="35" spans="1:42" ht="14.25" customHeight="1">
      <c r="Q35" s="305"/>
      <c r="R35" s="305"/>
      <c r="S35" s="1195"/>
      <c r="T35" s="290"/>
      <c r="U35" s="1153"/>
      <c r="V35" s="4068"/>
      <c r="W35" s="4068"/>
      <c r="X35" s="4068"/>
      <c r="Y35" s="4068"/>
      <c r="Z35" s="4068"/>
      <c r="AA35" s="4068"/>
      <c r="AB35" s="4068"/>
      <c r="AC35" s="4068"/>
      <c r="AD35" s="4068"/>
      <c r="AE35" s="4068"/>
      <c r="AF35" s="4068"/>
      <c r="AG35" s="4068"/>
      <c r="AH35" s="4068"/>
      <c r="AI35" s="4068"/>
    </row>
    <row r="36" spans="1:42" ht="14.25" customHeight="1">
      <c r="Q36" s="305"/>
      <c r="R36" s="305"/>
      <c r="S36" s="3946" t="s">
        <v>290</v>
      </c>
      <c r="T36" s="3946"/>
      <c r="U36" s="3946"/>
      <c r="V36" s="3946"/>
      <c r="W36" s="3946"/>
      <c r="X36" s="3946"/>
      <c r="Y36" s="3946"/>
      <c r="Z36" s="3946"/>
      <c r="AA36" s="3946"/>
      <c r="AB36" s="3946"/>
      <c r="AC36" s="3946"/>
      <c r="AD36" s="3946"/>
      <c r="AE36" s="3946"/>
      <c r="AF36" s="3946"/>
      <c r="AG36" s="3946"/>
      <c r="AH36" s="3946"/>
      <c r="AI36" s="3946"/>
      <c r="AJ36" s="3946"/>
      <c r="AK36" s="3946" t="s">
        <v>291</v>
      </c>
    </row>
    <row r="37" spans="1:42" ht="14.25" customHeight="1">
      <c r="Q37" s="305"/>
      <c r="R37" s="305"/>
      <c r="S37" s="4082" t="s">
        <v>86</v>
      </c>
      <c r="T37" s="4033" t="s">
        <v>418</v>
      </c>
      <c r="U37" s="220"/>
      <c r="V37" s="4083" t="s">
        <v>419</v>
      </c>
      <c r="W37" s="4084"/>
      <c r="X37" s="4084"/>
      <c r="Y37" s="4084"/>
      <c r="Z37" s="4084"/>
      <c r="AA37" s="4085"/>
      <c r="AB37" s="4086" t="s">
        <v>420</v>
      </c>
      <c r="AC37" s="4083" t="s">
        <v>419</v>
      </c>
      <c r="AD37" s="4084"/>
      <c r="AE37" s="4084"/>
      <c r="AF37" s="4084"/>
      <c r="AG37" s="4084"/>
      <c r="AH37" s="4085"/>
      <c r="AI37" s="4086" t="s">
        <v>421</v>
      </c>
      <c r="AJ37" s="4089" t="s">
        <v>422</v>
      </c>
      <c r="AK37" s="3946"/>
    </row>
    <row r="38" spans="1:42" ht="33.75" customHeight="1">
      <c r="Q38" s="305"/>
      <c r="R38" s="305"/>
      <c r="S38" s="4082"/>
      <c r="T38" s="4033"/>
      <c r="U38" s="938"/>
      <c r="V38" s="1365" t="s">
        <v>480</v>
      </c>
      <c r="W38" s="3918" t="s">
        <v>425</v>
      </c>
      <c r="X38" s="3917"/>
      <c r="Y38" s="3918" t="s">
        <v>426</v>
      </c>
      <c r="Z38" s="3923"/>
      <c r="AA38" s="3917"/>
      <c r="AB38" s="4087"/>
      <c r="AC38" s="1365" t="s">
        <v>480</v>
      </c>
      <c r="AD38" s="3918" t="s">
        <v>425</v>
      </c>
      <c r="AE38" s="3917"/>
      <c r="AF38" s="3918" t="s">
        <v>426</v>
      </c>
      <c r="AG38" s="3923"/>
      <c r="AH38" s="3917"/>
      <c r="AI38" s="4087"/>
      <c r="AJ38" s="4090"/>
      <c r="AK38" s="3946"/>
    </row>
    <row r="39" spans="1:42" ht="33.75" customHeight="1">
      <c r="A39" s="1286"/>
      <c r="B39" s="1286" t="s">
        <v>133</v>
      </c>
      <c r="C39" s="1286" t="s">
        <v>134</v>
      </c>
      <c r="D39" s="1286" t="s">
        <v>135</v>
      </c>
      <c r="E39" s="1280" t="s">
        <v>427</v>
      </c>
      <c r="F39" s="1280" t="s">
        <v>428</v>
      </c>
      <c r="G39" s="1280" t="s">
        <v>429</v>
      </c>
      <c r="H39" s="1280"/>
      <c r="I39" s="1280" t="s">
        <v>481</v>
      </c>
      <c r="J39" s="1280" t="s">
        <v>432</v>
      </c>
      <c r="K39" s="1280" t="s">
        <v>482</v>
      </c>
      <c r="L39" s="1280" t="s">
        <v>407</v>
      </c>
      <c r="Q39" s="305"/>
      <c r="R39" s="305"/>
      <c r="S39" s="4082"/>
      <c r="T39" s="4033"/>
      <c r="U39" s="221"/>
      <c r="V39" s="1365" t="s">
        <v>483</v>
      </c>
      <c r="W39" s="1128" t="s">
        <v>484</v>
      </c>
      <c r="X39" s="1128" t="s">
        <v>485</v>
      </c>
      <c r="Y39" s="1368" t="s">
        <v>436</v>
      </c>
      <c r="Z39" s="4042" t="s">
        <v>437</v>
      </c>
      <c r="AA39" s="4044"/>
      <c r="AB39" s="4088"/>
      <c r="AC39" s="1365" t="s">
        <v>483</v>
      </c>
      <c r="AD39" s="1128" t="s">
        <v>484</v>
      </c>
      <c r="AE39" s="1128" t="s">
        <v>485</v>
      </c>
      <c r="AF39" s="1368" t="s">
        <v>436</v>
      </c>
      <c r="AG39" s="4042" t="s">
        <v>437</v>
      </c>
      <c r="AH39" s="4044"/>
      <c r="AI39" s="4088"/>
      <c r="AJ39" s="4091"/>
      <c r="AK39" s="3946"/>
    </row>
    <row r="40" spans="1:42" s="1820"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107</v>
      </c>
      <c r="T40" s="1172" t="s">
        <v>108</v>
      </c>
      <c r="U40" s="1154" t="str">
        <f ca="1">OFFSET(U40,0,-1)</f>
        <v>2</v>
      </c>
      <c r="V40" s="1364">
        <f ca="1">OFFSET(V40,0,-1)+1</f>
        <v>3</v>
      </c>
      <c r="W40" s="1364">
        <f ca="1">OFFSET(W40,0,-1)+1</f>
        <v>4</v>
      </c>
      <c r="X40" s="1364">
        <f ca="1">OFFSET(X40,0,-1)+1</f>
        <v>5</v>
      </c>
      <c r="Y40" s="1364">
        <f ca="1">OFFSET(Y40,0,-1)+1</f>
        <v>6</v>
      </c>
      <c r="Z40" s="4081">
        <f ca="1">OFFSET(Z40,0,-1)+1</f>
        <v>7</v>
      </c>
      <c r="AA40" s="4081"/>
      <c r="AB40" s="1364">
        <f ca="1">OFFSET(AB40,0,-2)+1</f>
        <v>8</v>
      </c>
      <c r="AC40" s="1364">
        <f ca="1">OFFSET(AC40,0,-1)+1</f>
        <v>9</v>
      </c>
      <c r="AD40" s="1364">
        <f ca="1">OFFSET(AD40,0,-1)+1</f>
        <v>10</v>
      </c>
      <c r="AE40" s="1364">
        <f ca="1">OFFSET(AE40,0,-1)+1</f>
        <v>11</v>
      </c>
      <c r="AF40" s="1364">
        <f ca="1">OFFSET(AF40,0,-1)+1</f>
        <v>12</v>
      </c>
      <c r="AG40" s="4081">
        <f ca="1">OFFSET(AG40,0,-1)+1</f>
        <v>13</v>
      </c>
      <c r="AH40" s="4081"/>
      <c r="AI40" s="1364">
        <f ca="1">OFFSET(AI40,0,-2)+1</f>
        <v>14</v>
      </c>
      <c r="AJ40" s="1154">
        <f ca="1">OFFSET(AJ40,0,-1)</f>
        <v>14</v>
      </c>
      <c r="AK40" s="1364">
        <f ca="1">OFFSET(AK40,0,-1)+1</f>
        <v>15</v>
      </c>
      <c r="AL40" s="437"/>
      <c r="AM40" s="437"/>
      <c r="AN40" s="437"/>
      <c r="AO40" s="437"/>
      <c r="AP40" s="437"/>
    </row>
    <row r="41" spans="1:42" ht="23.25" customHeight="1">
      <c r="A41" s="1279" t="s">
        <v>226</v>
      </c>
      <c r="B41" s="1279"/>
      <c r="C41" s="1279"/>
      <c r="D41" s="1279"/>
      <c r="E41" s="4074">
        <v>1</v>
      </c>
      <c r="F41" s="1279"/>
      <c r="G41" s="1279"/>
      <c r="H41" s="1279"/>
      <c r="I41" s="1279"/>
      <c r="J41" s="1279"/>
      <c r="K41" s="1279"/>
      <c r="L41" s="1280"/>
      <c r="M41" s="1281"/>
      <c r="N41" s="1281"/>
      <c r="O41" s="1281"/>
      <c r="P41" s="286"/>
      <c r="Q41" s="285"/>
      <c r="R41" s="280"/>
      <c r="S41" s="1370">
        <f>INDEX(PT_DIFFERENTIATION_NUM_NTAR,MATCH(A41,PT_DIFFERENTIATION_NTAR_ID,0))</f>
        <v>0</v>
      </c>
      <c r="T41" s="217" t="s">
        <v>121</v>
      </c>
      <c r="U41" s="219"/>
      <c r="V41" s="4060"/>
      <c r="W41" s="4061"/>
      <c r="X41" s="4061"/>
      <c r="Y41" s="4061"/>
      <c r="Z41" s="4061"/>
      <c r="AA41" s="4061"/>
      <c r="AB41" s="4062"/>
      <c r="AC41" s="4060" t="str">
        <f>INDEX(PT_DIFFERENTIATION_NTAR,MATCH(A41,PT_DIFFERENTIATION_NTAR_ID,0))</f>
        <v/>
      </c>
      <c r="AD41" s="4061"/>
      <c r="AE41" s="4061"/>
      <c r="AF41" s="4061"/>
      <c r="AG41" s="4061"/>
      <c r="AH41" s="4061"/>
      <c r="AI41" s="4061"/>
      <c r="AJ41" s="4062"/>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226</v>
      </c>
      <c r="B42" s="1279" t="s">
        <v>227</v>
      </c>
      <c r="C42" s="1279"/>
      <c r="D42" s="1279"/>
      <c r="E42" s="4075"/>
      <c r="F42" s="4074">
        <v>1</v>
      </c>
      <c r="G42" s="1279"/>
      <c r="H42" s="1279"/>
      <c r="I42" s="1279"/>
      <c r="J42" s="1279"/>
      <c r="K42" s="1279"/>
      <c r="L42" s="1280"/>
      <c r="M42" s="1281"/>
      <c r="N42" s="1281"/>
      <c r="O42" s="1281"/>
      <c r="P42" s="1366"/>
      <c r="Q42" s="277"/>
      <c r="R42" s="278"/>
      <c r="S42" s="1370" t="str">
        <f>INDEX(PT_DIFFERENTIATION_NUM_TER,MATCH(B42,PT_DIFFERENTIATION_TER_ID,0))</f>
        <v>.</v>
      </c>
      <c r="T42" s="229" t="s">
        <v>389</v>
      </c>
      <c r="U42" s="219"/>
      <c r="V42" s="4060"/>
      <c r="W42" s="4061"/>
      <c r="X42" s="4061"/>
      <c r="Y42" s="4061"/>
      <c r="Z42" s="4061"/>
      <c r="AA42" s="4061"/>
      <c r="AB42" s="4062"/>
      <c r="AC42" s="4060" t="str">
        <f>INDEX(PT_DIFFERENTIATION_TER,MATCH(B42,PT_DIFFERENTIATION_TER_ID,0))</f>
        <v/>
      </c>
      <c r="AD42" s="4061"/>
      <c r="AE42" s="4061"/>
      <c r="AF42" s="4061"/>
      <c r="AG42" s="4061"/>
      <c r="AH42" s="4061"/>
      <c r="AI42" s="4061"/>
      <c r="AJ42" s="4062"/>
      <c r="AK42" s="1177" t="s">
        <v>390</v>
      </c>
      <c r="AM42" s="426"/>
      <c r="AN42" s="426" t="str">
        <f t="shared" si="1"/>
        <v>Территория действия тарифа</v>
      </c>
      <c r="AO42" s="426"/>
      <c r="AP42" s="426"/>
    </row>
    <row r="43" spans="1:42" ht="23.25" customHeight="1">
      <c r="A43" s="1279" t="s">
        <v>226</v>
      </c>
      <c r="B43" s="1279" t="s">
        <v>227</v>
      </c>
      <c r="C43" s="1279" t="s">
        <v>228</v>
      </c>
      <c r="D43" s="1279"/>
      <c r="E43" s="4075"/>
      <c r="F43" s="4075"/>
      <c r="G43" s="4074">
        <v>1</v>
      </c>
      <c r="H43" s="1279"/>
      <c r="I43" s="1279"/>
      <c r="J43" s="1279"/>
      <c r="K43" s="1279"/>
      <c r="L43" s="1280"/>
      <c r="M43" s="1281"/>
      <c r="N43" s="1281"/>
      <c r="O43" s="1281"/>
      <c r="P43" s="279"/>
      <c r="Q43" s="277"/>
      <c r="R43" s="278"/>
      <c r="S43" s="1370" t="str">
        <f>INDEX(PT_DIFFERENTIATION_NUM_CS,MATCH(C43,PT_DIFFERENTIATION_CS_ID,0))</f>
        <v>..</v>
      </c>
      <c r="T43" s="230" t="s">
        <v>472</v>
      </c>
      <c r="U43" s="219"/>
      <c r="V43" s="4060"/>
      <c r="W43" s="4061"/>
      <c r="X43" s="4061"/>
      <c r="Y43" s="4061"/>
      <c r="Z43" s="4061"/>
      <c r="AA43" s="4061"/>
      <c r="AB43" s="4062"/>
      <c r="AC43" s="4060" t="str">
        <f>INDEX(PT_DIFFERENTIATION_CS,MATCH(C43,PT_DIFFERENTIATION_CS_ID,0))</f>
        <v/>
      </c>
      <c r="AD43" s="4061"/>
      <c r="AE43" s="4061"/>
      <c r="AF43" s="4061"/>
      <c r="AG43" s="4061"/>
      <c r="AH43" s="4061"/>
      <c r="AI43" s="4061"/>
      <c r="AJ43" s="4062"/>
      <c r="AK43" s="1177" t="s">
        <v>473</v>
      </c>
      <c r="AM43" s="426"/>
      <c r="AN43" s="426" t="str">
        <f t="shared" si="1"/>
        <v>Наименование централизованной системы холодного водоснабжения</v>
      </c>
      <c r="AO43" s="426"/>
      <c r="AP43" s="426"/>
    </row>
    <row r="44" spans="1:42" ht="23.25" customHeight="1">
      <c r="A44" s="1279" t="s">
        <v>226</v>
      </c>
      <c r="B44" s="1279" t="s">
        <v>227</v>
      </c>
      <c r="C44" s="1279" t="s">
        <v>228</v>
      </c>
      <c r="D44" s="1279" t="s">
        <v>488</v>
      </c>
      <c r="E44" s="4075"/>
      <c r="F44" s="4075"/>
      <c r="G44" s="4075"/>
      <c r="H44" s="4075"/>
      <c r="I44" s="4072" t="str">
        <f>S43&amp;".1"</f>
        <v>...1</v>
      </c>
      <c r="J44" s="1279"/>
      <c r="K44" s="1279"/>
      <c r="L44" s="1280"/>
      <c r="P44" s="4073">
        <v>1</v>
      </c>
      <c r="Q44" s="1363"/>
      <c r="R44" s="281"/>
      <c r="S44" s="1370" t="str">
        <f>$I44</f>
        <v>...1</v>
      </c>
      <c r="T44" s="204" t="s">
        <v>474</v>
      </c>
      <c r="U44" s="219"/>
      <c r="V44" s="4133"/>
      <c r="W44" s="4134"/>
      <c r="X44" s="4134"/>
      <c r="Y44" s="4134"/>
      <c r="Z44" s="4134"/>
      <c r="AA44" s="4134"/>
      <c r="AB44" s="4135"/>
      <c r="AC44" s="4136"/>
      <c r="AD44" s="4137"/>
      <c r="AE44" s="4137"/>
      <c r="AF44" s="4137"/>
      <c r="AG44" s="4137"/>
      <c r="AH44" s="4137"/>
      <c r="AI44" s="4137"/>
      <c r="AJ44" s="4138"/>
      <c r="AK44" s="1177" t="s">
        <v>475</v>
      </c>
      <c r="AM44" s="426"/>
      <c r="AN44" s="426" t="str">
        <f t="shared" si="1"/>
        <v>Наименование признака дифференциации</v>
      </c>
      <c r="AO44" s="426"/>
      <c r="AP44" s="426"/>
    </row>
    <row r="45" spans="1:42" ht="23.25" customHeight="1">
      <c r="A45" s="1279" t="s">
        <v>226</v>
      </c>
      <c r="B45" s="1279" t="s">
        <v>227</v>
      </c>
      <c r="C45" s="1279" t="s">
        <v>228</v>
      </c>
      <c r="D45" s="1279" t="s">
        <v>488</v>
      </c>
      <c r="E45" s="4075"/>
      <c r="F45" s="4075"/>
      <c r="G45" s="4075"/>
      <c r="H45" s="4075"/>
      <c r="I45" s="4095"/>
      <c r="J45" s="4072" t="str">
        <f>I44&amp;".1"</f>
        <v>...1.1</v>
      </c>
      <c r="K45" s="1279"/>
      <c r="L45" s="1280" t="s">
        <v>398</v>
      </c>
      <c r="P45" s="4073"/>
      <c r="Q45" s="4073">
        <v>1</v>
      </c>
      <c r="R45" s="282"/>
      <c r="S45" s="1370" t="str">
        <f>$J45</f>
        <v>...1.1</v>
      </c>
      <c r="T45" s="205" t="s">
        <v>399</v>
      </c>
      <c r="U45" s="219"/>
      <c r="V45" s="4063"/>
      <c r="W45" s="4064"/>
      <c r="X45" s="4064"/>
      <c r="Y45" s="4064"/>
      <c r="Z45" s="4064"/>
      <c r="AA45" s="4064"/>
      <c r="AB45" s="4065"/>
      <c r="AC45" s="4063"/>
      <c r="AD45" s="4064"/>
      <c r="AE45" s="4064"/>
      <c r="AF45" s="4064"/>
      <c r="AG45" s="4064"/>
      <c r="AH45" s="4064"/>
      <c r="AI45" s="4064"/>
      <c r="AJ45" s="4065"/>
      <c r="AK45" s="1226" t="s">
        <v>476</v>
      </c>
      <c r="AM45" s="426"/>
      <c r="AN45" s="426" t="str">
        <f t="shared" si="1"/>
        <v>Группа потребителей</v>
      </c>
      <c r="AO45" s="426"/>
      <c r="AP45" s="426"/>
    </row>
    <row r="46" spans="1:42" ht="23.25" customHeight="1">
      <c r="A46" s="1279" t="s">
        <v>226</v>
      </c>
      <c r="B46" s="1279" t="s">
        <v>227</v>
      </c>
      <c r="C46" s="1279" t="s">
        <v>228</v>
      </c>
      <c r="D46" s="1279" t="s">
        <v>488</v>
      </c>
      <c r="E46" s="4075"/>
      <c r="F46" s="4075"/>
      <c r="G46" s="4075"/>
      <c r="H46" s="4075"/>
      <c r="I46" s="4095"/>
      <c r="J46" s="4095"/>
      <c r="K46" s="4072" t="str">
        <f>J45&amp;".1"</f>
        <v>...1.1.1</v>
      </c>
      <c r="L46" s="1280"/>
      <c r="P46" s="4073"/>
      <c r="Q46" s="4073"/>
      <c r="R46" s="282">
        <v>1</v>
      </c>
      <c r="S46" s="1370" t="str">
        <f>$K46</f>
        <v>...1.1.1</v>
      </c>
      <c r="T46" s="1352"/>
      <c r="U46" s="219"/>
      <c r="V46" s="668"/>
      <c r="W46" s="668"/>
      <c r="X46" s="1176"/>
      <c r="Y46" s="4077"/>
      <c r="Z46" s="3927" t="s">
        <v>65</v>
      </c>
      <c r="AA46" s="4077"/>
      <c r="AB46" s="3927" t="s">
        <v>65</v>
      </c>
      <c r="AC46" s="668"/>
      <c r="AD46" s="668"/>
      <c r="AE46" s="1176"/>
      <c r="AF46" s="4077"/>
      <c r="AG46" s="3927" t="s">
        <v>65</v>
      </c>
      <c r="AH46" s="4096"/>
      <c r="AI46" s="3927" t="s">
        <v>65</v>
      </c>
      <c r="AJ46" s="1353"/>
      <c r="AK46" s="41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226</v>
      </c>
      <c r="B47" s="1279" t="s">
        <v>227</v>
      </c>
      <c r="C47" s="1279" t="s">
        <v>228</v>
      </c>
      <c r="D47" s="1279" t="s">
        <v>488</v>
      </c>
      <c r="E47" s="4075"/>
      <c r="F47" s="4075"/>
      <c r="G47" s="4075"/>
      <c r="H47" s="4075"/>
      <c r="I47" s="4095"/>
      <c r="J47" s="4095"/>
      <c r="K47" s="4072"/>
      <c r="L47" s="1280"/>
      <c r="P47" s="4073"/>
      <c r="Q47" s="4073"/>
      <c r="R47" s="282"/>
      <c r="S47" s="1369"/>
      <c r="T47" s="219"/>
      <c r="U47" s="219"/>
      <c r="V47" s="251"/>
      <c r="W47" s="251"/>
      <c r="X47" s="255" t="str">
        <f>Y46&amp;"-"&amp;AA46</f>
        <v>-</v>
      </c>
      <c r="Y47" s="4078"/>
      <c r="Z47" s="3927"/>
      <c r="AA47" s="4078"/>
      <c r="AB47" s="3927"/>
      <c r="AC47" s="251"/>
      <c r="AD47" s="251"/>
      <c r="AE47" s="255" t="str">
        <f>AF46&amp;"-"&amp;AH46</f>
        <v>-</v>
      </c>
      <c r="AF47" s="4078"/>
      <c r="AG47" s="3927"/>
      <c r="AH47" s="4097"/>
      <c r="AI47" s="3927"/>
      <c r="AJ47" s="1354"/>
      <c r="AK47" s="4132"/>
      <c r="AM47" s="426"/>
      <c r="AN47" s="426" t="str">
        <f t="shared" si="1"/>
        <v/>
      </c>
      <c r="AO47" s="426"/>
      <c r="AP47" s="426"/>
    </row>
    <row r="48" spans="1:42" ht="21" customHeight="1">
      <c r="A48" s="1279" t="s">
        <v>226</v>
      </c>
      <c r="B48" s="1279" t="s">
        <v>227</v>
      </c>
      <c r="C48" s="1279" t="s">
        <v>228</v>
      </c>
      <c r="D48" s="1279" t="s">
        <v>488</v>
      </c>
      <c r="E48" s="4075"/>
      <c r="F48" s="4075"/>
      <c r="G48" s="4075"/>
      <c r="H48" s="4075"/>
      <c r="I48" s="4095"/>
      <c r="J48" s="4072"/>
      <c r="K48" s="1279"/>
      <c r="L48" s="1280"/>
      <c r="P48" s="4073"/>
      <c r="Q48" s="4073"/>
      <c r="R48" s="281"/>
      <c r="S48" s="1198"/>
      <c r="T48" s="206" t="s">
        <v>477</v>
      </c>
      <c r="U48" s="295"/>
      <c r="V48" s="295"/>
      <c r="W48" s="295"/>
      <c r="X48" s="295"/>
      <c r="Y48" s="295"/>
      <c r="Z48" s="295"/>
      <c r="AA48" s="295"/>
      <c r="AB48" s="295"/>
      <c r="AC48" s="295"/>
      <c r="AD48" s="295"/>
      <c r="AE48" s="295"/>
      <c r="AF48" s="295"/>
      <c r="AG48" s="295"/>
      <c r="AH48" s="295"/>
      <c r="AI48" s="295"/>
      <c r="AJ48" s="295"/>
      <c r="AK48" s="1177" t="s">
        <v>478</v>
      </c>
      <c r="AM48" s="426"/>
      <c r="AN48" s="426" t="str">
        <f t="shared" si="1"/>
        <v>Добавить значение признака дифференциации</v>
      </c>
      <c r="AO48" s="426"/>
      <c r="AP48" s="426"/>
    </row>
    <row r="49" spans="1:42" ht="21" customHeight="1">
      <c r="A49" s="1279" t="s">
        <v>226</v>
      </c>
      <c r="B49" s="1279" t="s">
        <v>227</v>
      </c>
      <c r="C49" s="1279" t="s">
        <v>228</v>
      </c>
      <c r="D49" s="1279" t="s">
        <v>488</v>
      </c>
      <c r="E49" s="4075"/>
      <c r="F49" s="4075"/>
      <c r="G49" s="4075"/>
      <c r="H49" s="4075"/>
      <c r="I49" s="4072"/>
      <c r="J49" s="1279"/>
      <c r="K49" s="1279"/>
      <c r="L49" s="1280"/>
      <c r="P49" s="4073"/>
      <c r="Q49" s="1363"/>
      <c r="R49" s="281"/>
      <c r="S49" s="1198"/>
      <c r="T49" s="292" t="s">
        <v>404</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226</v>
      </c>
      <c r="B50" s="1279" t="s">
        <v>227</v>
      </c>
      <c r="C50" s="1279" t="s">
        <v>228</v>
      </c>
      <c r="D50" s="1279" t="s">
        <v>488</v>
      </c>
      <c r="E50" s="4075"/>
      <c r="F50" s="4075"/>
      <c r="G50" s="4075"/>
      <c r="H50" s="4074"/>
      <c r="I50" s="1279"/>
      <c r="J50" s="1279"/>
      <c r="K50" s="1279"/>
      <c r="L50" s="1280"/>
      <c r="M50" s="1281"/>
      <c r="N50" s="1281"/>
      <c r="O50" s="462"/>
      <c r="P50" s="285"/>
      <c r="Q50" s="304"/>
      <c r="R50" s="280"/>
      <c r="S50" s="1198"/>
      <c r="T50" s="300" t="s">
        <v>479</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2550" customFormat="1" ht="0" hidden="1" customHeight="1">
      <c r="A51" s="1260" t="s">
        <v>226</v>
      </c>
      <c r="B51" s="1260" t="s">
        <v>227</v>
      </c>
      <c r="C51" s="1232"/>
      <c r="D51" s="1232"/>
      <c r="E51" s="4075"/>
      <c r="F51" s="4074"/>
      <c r="G51" s="1232"/>
      <c r="H51" s="1232"/>
      <c r="I51" s="1232"/>
      <c r="J51" s="1232"/>
      <c r="K51" s="1232"/>
      <c r="L51" s="1371"/>
      <c r="M51" s="1239"/>
      <c r="N51" s="1239"/>
      <c r="P51" s="1234"/>
      <c r="Q51" s="1235"/>
      <c r="R51" s="1234"/>
      <c r="S51" s="1240"/>
      <c r="T51" s="1243" t="s">
        <v>167</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1" customFormat="1" ht="0" hidden="1" customHeight="1">
      <c r="A52" s="1260" t="s">
        <v>226</v>
      </c>
      <c r="B52" s="1260"/>
      <c r="C52" s="1260"/>
      <c r="D52" s="1260"/>
      <c r="E52" s="4074"/>
      <c r="F52" s="1260"/>
      <c r="G52" s="1260"/>
      <c r="H52" s="1260"/>
      <c r="I52" s="1260"/>
      <c r="J52" s="1260"/>
      <c r="K52" s="1260"/>
      <c r="L52" s="1263"/>
      <c r="M52" s="1239"/>
      <c r="N52" s="1239"/>
      <c r="O52" s="444"/>
      <c r="P52" s="313"/>
      <c r="Q52" s="1261"/>
      <c r="R52" s="313"/>
      <c r="S52" s="1240"/>
      <c r="T52" s="1243" t="s">
        <v>168</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2550"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169</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4094"/>
      <c r="U55" s="4094"/>
      <c r="V55" s="4094"/>
      <c r="W55" s="4094"/>
      <c r="X55" s="4094"/>
      <c r="Y55" s="4094"/>
      <c r="Z55" s="4094"/>
      <c r="AA55" s="4094"/>
      <c r="AB55" s="4094"/>
      <c r="AC55" s="4094"/>
      <c r="AD55" s="4094"/>
      <c r="AE55" s="4094"/>
      <c r="AF55" s="4094"/>
      <c r="AG55" s="4094"/>
      <c r="AH55" s="4094"/>
      <c r="AI55" s="4094"/>
      <c r="AJ55" s="4094"/>
      <c r="AK55" s="4094"/>
    </row>
    <row r="56" spans="1:42" ht="14.25" customHeight="1">
      <c r="O56" s="462"/>
    </row>
    <row r="57" spans="1:42" ht="14.25" customHeight="1">
      <c r="O57" s="462"/>
      <c r="S57" s="1164"/>
      <c r="T57" s="4094"/>
      <c r="U57" s="4094"/>
      <c r="V57" s="4094"/>
      <c r="W57" s="4094"/>
      <c r="X57" s="4094"/>
      <c r="Y57" s="4094"/>
      <c r="Z57" s="4094"/>
      <c r="AA57" s="4094"/>
      <c r="AB57" s="4094"/>
      <c r="AC57" s="4094"/>
      <c r="AD57" s="4094"/>
      <c r="AE57" s="4094"/>
      <c r="AF57" s="4094"/>
      <c r="AG57" s="4094"/>
      <c r="AH57" s="4094"/>
      <c r="AI57" s="4094"/>
      <c r="AJ57" s="4094"/>
      <c r="AK57" s="409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553" hidden="1"/>
    <col min="2" max="2" width="11" style="2553" hidden="1" customWidth="1"/>
    <col min="3" max="3" width="10.5703125" style="2553" hidden="1"/>
    <col min="4" max="4" width="11.85546875" style="2553" hidden="1" customWidth="1"/>
    <col min="5" max="5" width="10" style="2553" hidden="1" customWidth="1"/>
    <col min="6" max="6" width="8.7109375" style="2553" hidden="1" customWidth="1"/>
    <col min="7" max="7" width="7.5703125" style="2553" hidden="1" customWidth="1"/>
    <col min="8" max="8" width="11.42578125" style="2553" hidden="1" customWidth="1"/>
    <col min="9" max="9" width="14.140625" style="2553" hidden="1" customWidth="1"/>
    <col min="10" max="10" width="9.85546875" style="2553" hidden="1" customWidth="1"/>
    <col min="11" max="11" width="14.7109375" style="2553" hidden="1" customWidth="1"/>
    <col min="12" max="12" width="19.140625" style="3805" hidden="1" customWidth="1"/>
    <col min="13" max="14" width="12.28515625" style="2555" hidden="1" customWidth="1"/>
    <col min="15" max="15" width="23.42578125" style="2555" hidden="1" customWidth="1"/>
    <col min="16" max="16" width="3.7109375" style="3806" customWidth="1"/>
    <col min="17" max="18" width="3.7109375" style="3173" customWidth="1"/>
    <col min="19" max="19" width="12.7109375" style="3174" customWidth="1"/>
    <col min="20" max="20" width="35.7109375" style="1920" customWidth="1"/>
    <col min="21" max="21" width="0.140625" style="1920" customWidth="1"/>
    <col min="22" max="24" width="24.7109375" style="1920" hidden="1" customWidth="1"/>
    <col min="25" max="25" width="11.7109375" style="1920" hidden="1" customWidth="1"/>
    <col min="26" max="26" width="3.7109375" style="1920" hidden="1" customWidth="1"/>
    <col min="27" max="27" width="11.7109375" style="1920" hidden="1" customWidth="1"/>
    <col min="28" max="28" width="8.5703125" style="1920" hidden="1" customWidth="1"/>
    <col min="29" max="31" width="24.7109375" style="1920" customWidth="1"/>
    <col min="32" max="32" width="11.7109375" style="1920" customWidth="1"/>
    <col min="33" max="33" width="3.7109375" style="1920" customWidth="1"/>
    <col min="34" max="34" width="11.7109375" style="1920" customWidth="1"/>
    <col min="35" max="35" width="8.5703125" style="1920" hidden="1" customWidth="1"/>
    <col min="36" max="36" width="4.7109375" style="1920" customWidth="1"/>
    <col min="37" max="37" width="115.7109375" style="1920" customWidth="1"/>
    <col min="38" max="39" width="10.5703125" style="1821"/>
    <col min="40" max="40" width="11.140625" style="1821" customWidth="1"/>
    <col min="41" max="42" width="10.5703125" style="1821"/>
  </cols>
  <sheetData>
    <row r="1" spans="1:42" ht="14.25" hidden="1" customHeight="1">
      <c r="X1" s="254"/>
      <c r="Y1" s="254"/>
      <c r="AE1" s="254"/>
      <c r="AF1" s="254"/>
    </row>
    <row r="2" spans="1:42" ht="23.25" hidden="1" customHeight="1">
      <c r="A2" s="1279"/>
      <c r="B2" s="1279"/>
      <c r="C2" s="1279"/>
      <c r="D2" s="1279"/>
      <c r="E2" s="4074">
        <v>1</v>
      </c>
      <c r="F2" s="1279"/>
      <c r="G2" s="1279"/>
      <c r="H2" s="1279"/>
      <c r="I2" s="1279"/>
      <c r="J2" s="1279"/>
      <c r="K2" s="1279"/>
      <c r="L2" s="1280"/>
      <c r="M2" s="1281"/>
      <c r="N2" s="1281"/>
      <c r="O2" s="1281"/>
      <c r="P2" s="286"/>
      <c r="Q2" s="285"/>
      <c r="R2" s="280"/>
      <c r="S2" s="1370" t="e">
        <f>INDEX(PT_DIFFERENTIATION_NUM_NTAR,MATCH(A2,PT_DIFFERENTIATION_NTAR_ID,0))</f>
        <v>#N/A</v>
      </c>
      <c r="T2" s="217" t="s">
        <v>121</v>
      </c>
      <c r="U2" s="219"/>
      <c r="V2" s="4060"/>
      <c r="W2" s="4061"/>
      <c r="X2" s="4061"/>
      <c r="Y2" s="4061"/>
      <c r="Z2" s="4061"/>
      <c r="AA2" s="4061"/>
      <c r="AB2" s="4062"/>
      <c r="AC2" s="4060" t="e">
        <f>INDEX(PT_DIFFERENTIATION_NTAR,MATCH(A2,PT_DIFFERENTIATION_NTAR_ID,0))</f>
        <v>#N/A</v>
      </c>
      <c r="AD2" s="4061"/>
      <c r="AE2" s="4061"/>
      <c r="AF2" s="4061"/>
      <c r="AG2" s="4061"/>
      <c r="AH2" s="4061"/>
      <c r="AI2" s="4061"/>
      <c r="AJ2" s="4062"/>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4075"/>
      <c r="F3" s="4074">
        <v>1</v>
      </c>
      <c r="G3" s="1279"/>
      <c r="H3" s="1279"/>
      <c r="I3" s="1279"/>
      <c r="J3" s="1279"/>
      <c r="K3" s="1279"/>
      <c r="L3" s="1280"/>
      <c r="M3" s="1281"/>
      <c r="N3" s="1281"/>
      <c r="O3" s="1281"/>
      <c r="P3" s="1366"/>
      <c r="Q3" s="277"/>
      <c r="R3" s="278"/>
      <c r="S3" s="1370" t="e">
        <f>INDEX(PT_DIFFERENTIATION_NUM_TER,MATCH(B3,PT_DIFFERENTIATION_TER_ID,0))</f>
        <v>#N/A</v>
      </c>
      <c r="T3" s="229" t="s">
        <v>389</v>
      </c>
      <c r="U3" s="219"/>
      <c r="V3" s="4060"/>
      <c r="W3" s="4061"/>
      <c r="X3" s="4061"/>
      <c r="Y3" s="4061"/>
      <c r="Z3" s="4061"/>
      <c r="AA3" s="4061"/>
      <c r="AB3" s="4062"/>
      <c r="AC3" s="4060" t="e">
        <f>INDEX(PT_DIFFERENTIATION_TER,MATCH(B3,PT_DIFFERENTIATION_TER_ID,0))</f>
        <v>#N/A</v>
      </c>
      <c r="AD3" s="4061"/>
      <c r="AE3" s="4061"/>
      <c r="AF3" s="4061"/>
      <c r="AG3" s="4061"/>
      <c r="AH3" s="4061"/>
      <c r="AI3" s="4061"/>
      <c r="AJ3" s="4062"/>
      <c r="AK3" s="1177" t="s">
        <v>390</v>
      </c>
      <c r="AM3" s="426"/>
      <c r="AN3" s="426" t="str">
        <f t="shared" si="0"/>
        <v>Территория действия тарифа</v>
      </c>
      <c r="AO3" s="426"/>
      <c r="AP3" s="426"/>
    </row>
    <row r="4" spans="1:42" ht="23.25" hidden="1" customHeight="1">
      <c r="A4" s="1279"/>
      <c r="B4" s="1279"/>
      <c r="C4" s="1279"/>
      <c r="D4" s="1279"/>
      <c r="E4" s="4075"/>
      <c r="F4" s="4075"/>
      <c r="G4" s="4074">
        <v>1</v>
      </c>
      <c r="H4" s="1279"/>
      <c r="I4" s="1279"/>
      <c r="J4" s="1279"/>
      <c r="K4" s="1279"/>
      <c r="L4" s="1280"/>
      <c r="M4" s="1281"/>
      <c r="N4" s="1281"/>
      <c r="O4" s="1281"/>
      <c r="P4" s="279"/>
      <c r="Q4" s="277"/>
      <c r="R4" s="278"/>
      <c r="S4" s="1370" t="e">
        <f>INDEX(PT_DIFFERENTIATION_NUM_CS,MATCH(C4,PT_DIFFERENTIATION_CS_ID,0))</f>
        <v>#N/A</v>
      </c>
      <c r="T4" s="230" t="s">
        <v>472</v>
      </c>
      <c r="U4" s="219"/>
      <c r="V4" s="4060"/>
      <c r="W4" s="4061"/>
      <c r="X4" s="4061"/>
      <c r="Y4" s="4061"/>
      <c r="Z4" s="4061"/>
      <c r="AA4" s="4061"/>
      <c r="AB4" s="4062"/>
      <c r="AC4" s="4060" t="e">
        <f>INDEX(PT_DIFFERENTIATION_CS,MATCH(C4,PT_DIFFERENTIATION_CS_ID,0))</f>
        <v>#N/A</v>
      </c>
      <c r="AD4" s="4061"/>
      <c r="AE4" s="4061"/>
      <c r="AF4" s="4061"/>
      <c r="AG4" s="4061"/>
      <c r="AH4" s="4061"/>
      <c r="AI4" s="4061"/>
      <c r="AJ4" s="4062"/>
      <c r="AK4" s="1177" t="s">
        <v>473</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4075"/>
      <c r="F5" s="4075"/>
      <c r="G5" s="4075"/>
      <c r="H5" s="4075"/>
      <c r="I5" s="4072" t="e">
        <f>S4&amp;".1"</f>
        <v>#N/A</v>
      </c>
      <c r="J5" s="1279"/>
      <c r="K5" s="1279"/>
      <c r="L5" s="1280"/>
      <c r="P5" s="4073">
        <v>1</v>
      </c>
      <c r="Q5" s="1363"/>
      <c r="R5" s="281"/>
      <c r="S5" s="1370" t="e">
        <f>$I5</f>
        <v>#N/A</v>
      </c>
      <c r="T5" s="204" t="s">
        <v>474</v>
      </c>
      <c r="U5" s="219"/>
      <c r="V5" s="4133"/>
      <c r="W5" s="4134"/>
      <c r="X5" s="4134"/>
      <c r="Y5" s="4134"/>
      <c r="Z5" s="4134"/>
      <c r="AA5" s="4134"/>
      <c r="AB5" s="4135"/>
      <c r="AC5" s="4136"/>
      <c r="AD5" s="4137"/>
      <c r="AE5" s="4137"/>
      <c r="AF5" s="4137"/>
      <c r="AG5" s="4137"/>
      <c r="AH5" s="4137"/>
      <c r="AI5" s="4137"/>
      <c r="AJ5" s="4138"/>
      <c r="AK5" s="1177" t="s">
        <v>475</v>
      </c>
      <c r="AM5" s="426"/>
      <c r="AN5" s="426" t="str">
        <f t="shared" si="0"/>
        <v>Наименование признака дифференциации</v>
      </c>
      <c r="AO5" s="426"/>
      <c r="AP5" s="426"/>
    </row>
    <row r="6" spans="1:42" ht="23.25" hidden="1" customHeight="1">
      <c r="A6" s="1279"/>
      <c r="B6" s="1279"/>
      <c r="C6" s="1279"/>
      <c r="D6" s="1279"/>
      <c r="E6" s="4075"/>
      <c r="F6" s="4075"/>
      <c r="G6" s="4075"/>
      <c r="H6" s="4075"/>
      <c r="I6" s="4095"/>
      <c r="J6" s="4072" t="e">
        <f>I5&amp;".1"</f>
        <v>#N/A</v>
      </c>
      <c r="K6" s="1279"/>
      <c r="L6" s="1280" t="s">
        <v>398</v>
      </c>
      <c r="P6" s="4073"/>
      <c r="Q6" s="4073">
        <v>1</v>
      </c>
      <c r="R6" s="282"/>
      <c r="S6" s="1370" t="e">
        <f>$J6</f>
        <v>#N/A</v>
      </c>
      <c r="T6" s="205" t="s">
        <v>399</v>
      </c>
      <c r="U6" s="219"/>
      <c r="V6" s="4063"/>
      <c r="W6" s="4064"/>
      <c r="X6" s="4064"/>
      <c r="Y6" s="4064"/>
      <c r="Z6" s="4064"/>
      <c r="AA6" s="4064"/>
      <c r="AB6" s="4065"/>
      <c r="AC6" s="4063"/>
      <c r="AD6" s="4064"/>
      <c r="AE6" s="4064"/>
      <c r="AF6" s="4064"/>
      <c r="AG6" s="4064"/>
      <c r="AH6" s="4064"/>
      <c r="AI6" s="4064"/>
      <c r="AJ6" s="4065"/>
      <c r="AK6" s="1226" t="s">
        <v>476</v>
      </c>
      <c r="AM6" s="426"/>
      <c r="AN6" s="426" t="str">
        <f t="shared" si="0"/>
        <v>Группа потребителей</v>
      </c>
      <c r="AO6" s="426"/>
      <c r="AP6" s="426"/>
    </row>
    <row r="7" spans="1:42" ht="23.25" hidden="1" customHeight="1">
      <c r="A7" s="1279"/>
      <c r="B7" s="1279"/>
      <c r="C7" s="1279"/>
      <c r="D7" s="1279"/>
      <c r="E7" s="4075"/>
      <c r="F7" s="4075"/>
      <c r="G7" s="4075"/>
      <c r="H7" s="4075"/>
      <c r="I7" s="4095"/>
      <c r="J7" s="4095"/>
      <c r="K7" s="4072" t="e">
        <f>J6&amp;".1"</f>
        <v>#N/A</v>
      </c>
      <c r="L7" s="1280"/>
      <c r="P7" s="4073"/>
      <c r="Q7" s="4073"/>
      <c r="R7" s="282">
        <v>1</v>
      </c>
      <c r="S7" s="1370" t="e">
        <f>$K7</f>
        <v>#N/A</v>
      </c>
      <c r="T7" s="1352"/>
      <c r="U7" s="219"/>
      <c r="V7" s="668"/>
      <c r="W7" s="668"/>
      <c r="X7" s="1176"/>
      <c r="Y7" s="4077"/>
      <c r="Z7" s="3927" t="s">
        <v>65</v>
      </c>
      <c r="AA7" s="4077"/>
      <c r="AB7" s="3927" t="s">
        <v>65</v>
      </c>
      <c r="AC7" s="668"/>
      <c r="AD7" s="668"/>
      <c r="AE7" s="1176"/>
      <c r="AF7" s="4077"/>
      <c r="AG7" s="3927" t="s">
        <v>65</v>
      </c>
      <c r="AH7" s="4096"/>
      <c r="AI7" s="3927" t="s">
        <v>65</v>
      </c>
      <c r="AJ7" s="1353"/>
      <c r="AK7" s="41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4075"/>
      <c r="F8" s="4075"/>
      <c r="G8" s="4075"/>
      <c r="H8" s="4075"/>
      <c r="I8" s="4095"/>
      <c r="J8" s="4095"/>
      <c r="K8" s="4072"/>
      <c r="L8" s="1280"/>
      <c r="P8" s="4073"/>
      <c r="Q8" s="4073"/>
      <c r="R8" s="282"/>
      <c r="S8" s="1369"/>
      <c r="T8" s="219"/>
      <c r="U8" s="219"/>
      <c r="V8" s="251"/>
      <c r="W8" s="251"/>
      <c r="X8" s="255" t="str">
        <f>Y7&amp;"-"&amp;AA7</f>
        <v>-</v>
      </c>
      <c r="Y8" s="4078"/>
      <c r="Z8" s="3927"/>
      <c r="AA8" s="4078"/>
      <c r="AB8" s="3927"/>
      <c r="AC8" s="251"/>
      <c r="AD8" s="251"/>
      <c r="AE8" s="255" t="str">
        <f>AF7&amp;"-"&amp;AH7</f>
        <v>-</v>
      </c>
      <c r="AF8" s="4078"/>
      <c r="AG8" s="3927"/>
      <c r="AH8" s="4097"/>
      <c r="AI8" s="3927"/>
      <c r="AJ8" s="1354"/>
      <c r="AK8" s="4132"/>
      <c r="AM8" s="426"/>
      <c r="AN8" s="426" t="str">
        <f t="shared" si="0"/>
        <v/>
      </c>
      <c r="AO8" s="426"/>
      <c r="AP8" s="426"/>
    </row>
    <row r="9" spans="1:42" ht="21" hidden="1" customHeight="1">
      <c r="A9" s="1279"/>
      <c r="B9" s="1279"/>
      <c r="C9" s="1279"/>
      <c r="D9" s="1279"/>
      <c r="E9" s="4075"/>
      <c r="F9" s="4075"/>
      <c r="G9" s="4075"/>
      <c r="H9" s="4075"/>
      <c r="I9" s="4095"/>
      <c r="J9" s="4072"/>
      <c r="K9" s="1279"/>
      <c r="L9" s="1280"/>
      <c r="P9" s="4073"/>
      <c r="Q9" s="4073"/>
      <c r="R9" s="281"/>
      <c r="S9" s="1198"/>
      <c r="T9" s="206" t="s">
        <v>477</v>
      </c>
      <c r="U9" s="295"/>
      <c r="V9" s="295"/>
      <c r="W9" s="295"/>
      <c r="X9" s="295"/>
      <c r="Y9" s="295"/>
      <c r="Z9" s="295"/>
      <c r="AA9" s="295"/>
      <c r="AB9" s="295"/>
      <c r="AC9" s="295"/>
      <c r="AD9" s="295"/>
      <c r="AE9" s="295"/>
      <c r="AF9" s="295"/>
      <c r="AG9" s="295"/>
      <c r="AH9" s="295"/>
      <c r="AI9" s="295"/>
      <c r="AJ9" s="295"/>
      <c r="AK9" s="1177" t="s">
        <v>478</v>
      </c>
      <c r="AM9" s="426"/>
      <c r="AN9" s="426" t="str">
        <f t="shared" si="0"/>
        <v>Добавить значение признака дифференциации</v>
      </c>
      <c r="AO9" s="426"/>
      <c r="AP9" s="426"/>
    </row>
    <row r="10" spans="1:42" ht="21" hidden="1" customHeight="1">
      <c r="A10" s="1279"/>
      <c r="B10" s="1279"/>
      <c r="C10" s="1279"/>
      <c r="D10" s="1279"/>
      <c r="E10" s="4075"/>
      <c r="F10" s="4075"/>
      <c r="G10" s="4075"/>
      <c r="H10" s="4075"/>
      <c r="I10" s="4072"/>
      <c r="J10" s="1279"/>
      <c r="K10" s="1279"/>
      <c r="L10" s="1280"/>
      <c r="P10" s="4073"/>
      <c r="Q10" s="1363"/>
      <c r="R10" s="281"/>
      <c r="S10" s="1198"/>
      <c r="T10" s="292" t="s">
        <v>404</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4075"/>
      <c r="F11" s="4075"/>
      <c r="G11" s="4075"/>
      <c r="H11" s="4074"/>
      <c r="I11" s="1279"/>
      <c r="J11" s="1279"/>
      <c r="K11" s="1279"/>
      <c r="L11" s="1280"/>
      <c r="M11" s="1281"/>
      <c r="N11" s="1281"/>
      <c r="O11" s="462"/>
      <c r="P11" s="285"/>
      <c r="Q11" s="304"/>
      <c r="R11" s="280"/>
      <c r="S11" s="1198"/>
      <c r="T11" s="300" t="s">
        <v>479</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2550" customFormat="1" ht="14.25" hidden="1" customHeight="1">
      <c r="A12" s="1260"/>
      <c r="B12" s="1260"/>
      <c r="C12" s="1232"/>
      <c r="D12" s="1232"/>
      <c r="E12" s="4075"/>
      <c r="F12" s="4074"/>
      <c r="G12" s="1232"/>
      <c r="H12" s="1232"/>
      <c r="I12" s="1232"/>
      <c r="J12" s="1232"/>
      <c r="K12" s="1232"/>
      <c r="L12" s="1371"/>
      <c r="M12" s="1239"/>
      <c r="N12" s="1239"/>
      <c r="P12" s="1234"/>
      <c r="Q12" s="1235"/>
      <c r="R12" s="1234"/>
      <c r="S12" s="1240"/>
      <c r="T12" s="1243" t="s">
        <v>167</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1" customFormat="1" ht="14.25" hidden="1" customHeight="1">
      <c r="A13" s="1260"/>
      <c r="B13" s="1260"/>
      <c r="C13" s="1260"/>
      <c r="D13" s="1260"/>
      <c r="E13" s="4074"/>
      <c r="F13" s="1260"/>
      <c r="G13" s="1260"/>
      <c r="H13" s="1260"/>
      <c r="I13" s="1260"/>
      <c r="J13" s="1260"/>
      <c r="K13" s="1260"/>
      <c r="L13" s="1263"/>
      <c r="M13" s="1239"/>
      <c r="N13" s="1239"/>
      <c r="O13" s="444"/>
      <c r="P13" s="313"/>
      <c r="Q13" s="1261"/>
      <c r="R13" s="313"/>
      <c r="S13" s="1240"/>
      <c r="T13" s="1243" t="s">
        <v>168</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4079"/>
      <c r="AG15" s="4080" t="s">
        <v>65</v>
      </c>
      <c r="AH15" s="4079"/>
      <c r="AI15" s="4080" t="s">
        <v>65</v>
      </c>
    </row>
    <row r="16" spans="1:42" ht="14.25" hidden="1" customHeight="1">
      <c r="AC16" s="1276"/>
      <c r="AD16" s="1276"/>
      <c r="AE16" s="255" t="str">
        <f>AF15&amp;"-"&amp;AH15</f>
        <v>-</v>
      </c>
      <c r="AF16" s="4080"/>
      <c r="AG16" s="4080"/>
      <c r="AH16" s="4080"/>
      <c r="AI16" s="4080"/>
    </row>
    <row r="17" spans="1:42" ht="14.25" hidden="1" customHeight="1">
      <c r="AI17" s="254"/>
    </row>
    <row r="18" spans="1:42" s="2553" customFormat="1" ht="22.5" hidden="1" customHeight="1">
      <c r="L18" s="1360"/>
      <c r="M18" s="1278"/>
      <c r="N18" s="1278"/>
      <c r="O18" s="1283" t="s">
        <v>406</v>
      </c>
      <c r="P18" s="1278"/>
      <c r="Q18" s="1287"/>
      <c r="R18" s="1287"/>
      <c r="S18" s="648"/>
      <c r="Y18" s="1283"/>
      <c r="AA18" s="1283"/>
      <c r="AB18" s="1282"/>
      <c r="AF18" s="1283"/>
      <c r="AH18" s="1283"/>
      <c r="AI18" s="1282"/>
      <c r="AL18" s="437"/>
      <c r="AM18" s="437"/>
      <c r="AN18" s="437"/>
      <c r="AO18" s="437"/>
      <c r="AP18" s="437"/>
    </row>
    <row r="19" spans="1:42" s="2553" customFormat="1" ht="14.25" hidden="1" customHeight="1">
      <c r="L19" s="1360"/>
      <c r="M19" s="1278"/>
      <c r="N19" s="1278"/>
      <c r="O19" s="1278"/>
      <c r="P19" s="1278"/>
      <c r="Q19" s="1287"/>
      <c r="R19" s="1287"/>
      <c r="S19" s="648"/>
      <c r="AB19" s="1282"/>
      <c r="AI19" s="1282"/>
      <c r="AL19" s="437"/>
      <c r="AM19" s="437"/>
      <c r="AN19" s="437"/>
      <c r="AO19" s="437"/>
      <c r="AP19" s="437"/>
    </row>
    <row r="20" spans="1:42" s="2553" customFormat="1" ht="12" hidden="1" customHeight="1">
      <c r="L20" s="1360"/>
      <c r="M20" s="1278"/>
      <c r="N20" s="1278"/>
      <c r="O20" s="1280" t="s">
        <v>407</v>
      </c>
      <c r="P20" s="1278"/>
      <c r="Q20" s="1356"/>
      <c r="R20" s="1356"/>
      <c r="S20" s="648"/>
      <c r="T20" s="1060" t="s">
        <v>408</v>
      </c>
      <c r="Z20" s="107" t="s">
        <v>409</v>
      </c>
      <c r="AB20" s="107" t="s">
        <v>410</v>
      </c>
      <c r="AC20" s="1060" t="s">
        <v>408</v>
      </c>
      <c r="AG20" s="107" t="s">
        <v>411</v>
      </c>
      <c r="AI20" s="107" t="s">
        <v>410</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405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4058"/>
      <c r="U24" s="4058"/>
      <c r="V24" s="4058"/>
      <c r="W24" s="4058"/>
      <c r="X24" s="4058"/>
      <c r="Y24" s="4058"/>
      <c r="Z24" s="4058"/>
      <c r="AA24" s="4058"/>
      <c r="AB24" s="4058"/>
      <c r="AC24" s="4058"/>
      <c r="AD24" s="4058"/>
      <c r="AE24" s="4058"/>
      <c r="AF24" s="4058"/>
      <c r="AG24" s="4058"/>
      <c r="AH24" s="4058"/>
      <c r="AI24" s="1152"/>
    </row>
    <row r="25" spans="1:42" ht="14.25" customHeight="1">
      <c r="Q25" s="305"/>
      <c r="R25" s="305"/>
      <c r="S25" s="4004" t="str">
        <f>IF(org=0,"Не определено",org)</f>
        <v>ООО «РИР-Сахалин»</v>
      </c>
      <c r="T25" s="4004"/>
      <c r="U25" s="4004"/>
      <c r="V25" s="4004"/>
      <c r="W25" s="4004"/>
      <c r="X25" s="4004"/>
      <c r="Y25" s="4004"/>
      <c r="Z25" s="4004"/>
      <c r="AA25" s="4004"/>
      <c r="AB25" s="4004"/>
      <c r="AC25" s="4004"/>
      <c r="AD25" s="4004"/>
      <c r="AE25" s="4004"/>
      <c r="AF25" s="4004"/>
      <c r="AG25" s="4004"/>
      <c r="AH25" s="4004"/>
      <c r="AI25" s="1152"/>
    </row>
    <row r="26" spans="1:42" ht="14.25" hidden="1"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2564" customFormat="1" ht="25.5" hidden="1" customHeight="1">
      <c r="A27" s="1284"/>
      <c r="B27" s="1284"/>
      <c r="C27" s="1284"/>
      <c r="D27" s="1284"/>
      <c r="E27" s="1284"/>
      <c r="F27" s="1284"/>
      <c r="G27" s="1284"/>
      <c r="H27" s="1284"/>
      <c r="I27" s="1284"/>
      <c r="J27" s="1284"/>
      <c r="K27" s="1284"/>
      <c r="L27" s="1285"/>
      <c r="M27" s="1284"/>
      <c r="N27" s="1284"/>
      <c r="O27" s="1284"/>
      <c r="S27" s="4066" t="s">
        <v>38</v>
      </c>
      <c r="T27" s="4066"/>
      <c r="U27" s="1288"/>
      <c r="V27" s="4067" t="str">
        <f>IF(TITLE_NAME_OR_PR_CHANGE="",IF(TITLE_NAME_OR_PR="","",TITLE_NAME_OR_PR),TITLE_NAME_OR_PR_CHANGE)</f>
        <v/>
      </c>
      <c r="W27" s="4067"/>
      <c r="X27" s="4067"/>
      <c r="Y27" s="4067"/>
      <c r="Z27" s="4067"/>
      <c r="AA27" s="4067"/>
      <c r="AB27" s="253"/>
      <c r="AC27" s="4067" t="str">
        <f>IF(TITLE_NAME_OR_PR_CHANGE="",IF(TITLE_NAME_OR_PR="","",TITLE_NAME_OR_PR),TITLE_NAME_OR_PR_CHANGE)</f>
        <v/>
      </c>
      <c r="AD27" s="4067"/>
      <c r="AE27" s="4067"/>
      <c r="AF27" s="4067"/>
      <c r="AG27" s="4067"/>
      <c r="AH27" s="4067"/>
      <c r="AI27" s="253"/>
      <c r="AJ27" s="253"/>
      <c r="AK27" s="200"/>
      <c r="AL27" s="296"/>
      <c r="AM27" s="296"/>
      <c r="AN27" s="296"/>
      <c r="AO27" s="296"/>
      <c r="AP27" s="296"/>
    </row>
    <row r="28" spans="1:42" s="2564" customFormat="1" ht="18.75" hidden="1" customHeight="1">
      <c r="A28" s="1284"/>
      <c r="B28" s="1284"/>
      <c r="C28" s="1284"/>
      <c r="D28" s="1284"/>
      <c r="E28" s="1284"/>
      <c r="F28" s="1284"/>
      <c r="G28" s="1284"/>
      <c r="H28" s="1284"/>
      <c r="I28" s="1284"/>
      <c r="J28" s="1284"/>
      <c r="K28" s="1284"/>
      <c r="L28" s="1285"/>
      <c r="M28" s="1284"/>
      <c r="N28" s="1284"/>
      <c r="O28" s="1284"/>
      <c r="S28" s="4066" t="s">
        <v>412</v>
      </c>
      <c r="T28" s="4066"/>
      <c r="U28" s="1288"/>
      <c r="V28" s="4076">
        <f>IF(TITLE_DATE_PR_CHANGE="",IF(TITLE_DATE_PR="","",TITLE_DATE_PR),TITLE_DATE_PR_CHANGE)</f>
        <v>45289.465104166666</v>
      </c>
      <c r="W28" s="4076"/>
      <c r="X28" s="4076"/>
      <c r="Y28" s="4076"/>
      <c r="Z28" s="4076"/>
      <c r="AA28" s="4076"/>
      <c r="AB28" s="253"/>
      <c r="AC28" s="4076">
        <f>IF(TITLE_DATE_PR_CHANGE="",IF(TITLE_DATE_PR="","",TITLE_DATE_PR),TITLE_DATE_PR_CHANGE)</f>
        <v>45289.465104166666</v>
      </c>
      <c r="AD28" s="4076"/>
      <c r="AE28" s="4076"/>
      <c r="AF28" s="4076"/>
      <c r="AG28" s="4076"/>
      <c r="AH28" s="4076"/>
      <c r="AI28" s="253"/>
      <c r="AJ28" s="253"/>
      <c r="AK28" s="200"/>
      <c r="AL28" s="296"/>
      <c r="AM28" s="296"/>
      <c r="AN28" s="296"/>
      <c r="AO28" s="296"/>
      <c r="AP28" s="296"/>
    </row>
    <row r="29" spans="1:42" s="2564" customFormat="1" ht="18.75" hidden="1" customHeight="1">
      <c r="A29" s="1284"/>
      <c r="B29" s="1284"/>
      <c r="C29" s="1284"/>
      <c r="D29" s="1284"/>
      <c r="E29" s="1284"/>
      <c r="F29" s="1284"/>
      <c r="G29" s="1284"/>
      <c r="H29" s="1284"/>
      <c r="I29" s="1284"/>
      <c r="J29" s="1284"/>
      <c r="K29" s="1284"/>
      <c r="L29" s="1285"/>
      <c r="M29" s="1284"/>
      <c r="N29" s="1284"/>
      <c r="O29" s="1284"/>
      <c r="S29" s="4066" t="s">
        <v>413</v>
      </c>
      <c r="T29" s="4066"/>
      <c r="U29" s="1288"/>
      <c r="V29" s="4067" t="str">
        <f>IF(TITLE_NUMBER_PR_CHANGE="",IF(TITLE_NUMBER_PR="","",TITLE_NUMBER_PR),TITLE_NUMBER_PR_CHANGE)</f>
        <v>761-1/201-1</v>
      </c>
      <c r="W29" s="4067"/>
      <c r="X29" s="4067"/>
      <c r="Y29" s="4067"/>
      <c r="Z29" s="4067"/>
      <c r="AA29" s="4067"/>
      <c r="AB29" s="253"/>
      <c r="AC29" s="4067" t="str">
        <f>IF(TITLE_NUMBER_PR_CHANGE="",IF(TITLE_NUMBER_PR="","",TITLE_NUMBER_PR),TITLE_NUMBER_PR_CHANGE)</f>
        <v>761-1/201-1</v>
      </c>
      <c r="AD29" s="4067"/>
      <c r="AE29" s="4067"/>
      <c r="AF29" s="4067"/>
      <c r="AG29" s="4067"/>
      <c r="AH29" s="4067"/>
      <c r="AI29" s="253"/>
      <c r="AJ29" s="253"/>
      <c r="AK29" s="200"/>
      <c r="AL29" s="296"/>
      <c r="AM29" s="296"/>
      <c r="AN29" s="296"/>
      <c r="AO29" s="296"/>
      <c r="AP29" s="296"/>
    </row>
    <row r="30" spans="1:42" s="2564" customFormat="1" ht="18.75" hidden="1" customHeight="1">
      <c r="A30" s="1284"/>
      <c r="B30" s="1284"/>
      <c r="C30" s="1284"/>
      <c r="D30" s="1284"/>
      <c r="E30" s="1284"/>
      <c r="F30" s="1284"/>
      <c r="G30" s="1284"/>
      <c r="H30" s="1284"/>
      <c r="I30" s="1284"/>
      <c r="J30" s="1284"/>
      <c r="K30" s="1284"/>
      <c r="L30" s="1285"/>
      <c r="M30" s="1284"/>
      <c r="N30" s="1284"/>
      <c r="O30" s="1284"/>
      <c r="S30" s="4066" t="s">
        <v>39</v>
      </c>
      <c r="T30" s="4066"/>
      <c r="U30" s="1288"/>
      <c r="V30" s="4067" t="str">
        <f>IF(TITLE_IST_PUB_CHANGE="",IF(TITLE_IST_PUB="","",TITLE_IST_PUB),TITLE_IST_PUB_CHANGE)</f>
        <v/>
      </c>
      <c r="W30" s="4067"/>
      <c r="X30" s="4067"/>
      <c r="Y30" s="4067"/>
      <c r="Z30" s="4067"/>
      <c r="AA30" s="4067"/>
      <c r="AB30" s="253"/>
      <c r="AC30" s="4067" t="str">
        <f>IF(TITLE_IST_PUB_CHANGE="",IF(TITLE_IST_PUB="","",TITLE_IST_PUB),TITLE_IST_PUB_CHANGE)</f>
        <v/>
      </c>
      <c r="AD30" s="4067"/>
      <c r="AE30" s="4067"/>
      <c r="AF30" s="4067"/>
      <c r="AG30" s="4067"/>
      <c r="AH30" s="4067"/>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2564" customFormat="1" ht="18.75" customHeight="1">
      <c r="A32" s="1284"/>
      <c r="B32" s="1284"/>
      <c r="C32" s="1284"/>
      <c r="D32" s="1284"/>
      <c r="E32" s="1284"/>
      <c r="F32" s="1284"/>
      <c r="G32" s="1284"/>
      <c r="H32" s="1284"/>
      <c r="I32" s="1284"/>
      <c r="J32" s="1284"/>
      <c r="K32" s="1284"/>
      <c r="L32" s="1285"/>
      <c r="M32" s="1284"/>
      <c r="N32" s="1284"/>
      <c r="O32" s="1284"/>
      <c r="S32" s="4066" t="s">
        <v>414</v>
      </c>
      <c r="T32" s="4066"/>
      <c r="U32" s="1288"/>
      <c r="V32" s="4076">
        <f>IF(TITLE_DATE_PR_CHANGE="",IF(TITLE_DATE_PR="","",TITLE_DATE_PR),TITLE_DATE_PR_CHANGE)</f>
        <v>45289.465104166666</v>
      </c>
      <c r="W32" s="4076"/>
      <c r="X32" s="4076"/>
      <c r="Y32" s="4076"/>
      <c r="Z32" s="4076"/>
      <c r="AA32" s="4076"/>
      <c r="AB32" s="253"/>
      <c r="AC32" s="4076">
        <f>IF(TITLE_DATE_PR_CHANGE="",IF(TITLE_DATE_PR="","",TITLE_DATE_PR),TITLE_DATE_PR_CHANGE)</f>
        <v>45289.465104166666</v>
      </c>
      <c r="AD32" s="4076"/>
      <c r="AE32" s="4076"/>
      <c r="AF32" s="4076"/>
      <c r="AG32" s="4076"/>
      <c r="AH32" s="4076"/>
      <c r="AI32" s="253"/>
      <c r="AJ32" s="253"/>
      <c r="AK32" s="200"/>
      <c r="AL32" s="296"/>
      <c r="AM32" s="296"/>
      <c r="AN32" s="296"/>
      <c r="AO32" s="296"/>
      <c r="AP32" s="296"/>
    </row>
    <row r="33" spans="1:42" s="2564" customFormat="1" ht="18.75" customHeight="1">
      <c r="A33" s="1284"/>
      <c r="B33" s="1284"/>
      <c r="C33" s="1284"/>
      <c r="D33" s="1284"/>
      <c r="E33" s="1284"/>
      <c r="F33" s="1284"/>
      <c r="G33" s="1284"/>
      <c r="H33" s="1284"/>
      <c r="I33" s="1284"/>
      <c r="J33" s="1284"/>
      <c r="K33" s="1284"/>
      <c r="L33" s="1285"/>
      <c r="M33" s="1284"/>
      <c r="N33" s="1284"/>
      <c r="O33" s="1284"/>
      <c r="S33" s="4066" t="s">
        <v>415</v>
      </c>
      <c r="T33" s="4066"/>
      <c r="U33" s="1288"/>
      <c r="V33" s="4067" t="str">
        <f>IF(TITLE_NUMBER_PR_CHANGE="",IF(TITLE_NUMBER_PR="","",TITLE_NUMBER_PR),TITLE_NUMBER_PR_CHANGE)</f>
        <v>761-1/201-1</v>
      </c>
      <c r="W33" s="4067"/>
      <c r="X33" s="4067"/>
      <c r="Y33" s="4067"/>
      <c r="Z33" s="4067"/>
      <c r="AA33" s="4067"/>
      <c r="AB33" s="253"/>
      <c r="AC33" s="4067" t="str">
        <f>IF(TITLE_NUMBER_PR_CHANGE="",IF(TITLE_NUMBER_PR="","",TITLE_NUMBER_PR),TITLE_NUMBER_PR_CHANGE)</f>
        <v>761-1/201-1</v>
      </c>
      <c r="AD33" s="4067"/>
      <c r="AE33" s="4067"/>
      <c r="AF33" s="4067"/>
      <c r="AG33" s="4067"/>
      <c r="AH33" s="4067"/>
      <c r="AI33" s="253"/>
      <c r="AJ33" s="253"/>
      <c r="AK33" s="200"/>
      <c r="AL33" s="296"/>
      <c r="AM33" s="296"/>
      <c r="AN33" s="296"/>
      <c r="AO33" s="296"/>
      <c r="AP33" s="296"/>
    </row>
    <row r="34" spans="1:42" s="2564"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416</v>
      </c>
      <c r="AC34" s="253"/>
      <c r="AD34" s="253"/>
      <c r="AE34" s="253"/>
      <c r="AF34" s="253"/>
      <c r="AG34" s="253"/>
      <c r="AH34" s="253"/>
      <c r="AI34" s="198" t="s">
        <v>416</v>
      </c>
      <c r="AL34" s="296"/>
      <c r="AM34" s="296"/>
      <c r="AN34" s="296"/>
      <c r="AO34" s="296"/>
      <c r="AP34" s="296"/>
    </row>
    <row r="35" spans="1:42" ht="14.25" customHeight="1">
      <c r="Q35" s="305"/>
      <c r="R35" s="305"/>
      <c r="S35" s="1195"/>
      <c r="T35" s="290"/>
      <c r="U35" s="1153"/>
      <c r="V35" s="4068"/>
      <c r="W35" s="4068"/>
      <c r="X35" s="4068"/>
      <c r="Y35" s="4068"/>
      <c r="Z35" s="4068"/>
      <c r="AA35" s="4068"/>
      <c r="AB35" s="4068"/>
      <c r="AC35" s="4068"/>
      <c r="AD35" s="4068"/>
      <c r="AE35" s="4068"/>
      <c r="AF35" s="4068"/>
      <c r="AG35" s="4068"/>
      <c r="AH35" s="4068"/>
      <c r="AI35" s="4068"/>
    </row>
    <row r="36" spans="1:42" ht="14.25" customHeight="1">
      <c r="Q36" s="305"/>
      <c r="R36" s="305"/>
      <c r="S36" s="3946" t="s">
        <v>290</v>
      </c>
      <c r="T36" s="3946"/>
      <c r="U36" s="3946"/>
      <c r="V36" s="3946"/>
      <c r="W36" s="3946"/>
      <c r="X36" s="3946"/>
      <c r="Y36" s="3946"/>
      <c r="Z36" s="3946"/>
      <c r="AA36" s="3946"/>
      <c r="AB36" s="3946"/>
      <c r="AC36" s="3946"/>
      <c r="AD36" s="3946"/>
      <c r="AE36" s="3946"/>
      <c r="AF36" s="3946"/>
      <c r="AG36" s="3946"/>
      <c r="AH36" s="3946"/>
      <c r="AI36" s="3946"/>
      <c r="AJ36" s="3946"/>
      <c r="AK36" s="3946" t="s">
        <v>291</v>
      </c>
    </row>
    <row r="37" spans="1:42" ht="14.25" customHeight="1">
      <c r="Q37" s="305"/>
      <c r="R37" s="305"/>
      <c r="S37" s="4082" t="s">
        <v>86</v>
      </c>
      <c r="T37" s="4033" t="s">
        <v>418</v>
      </c>
      <c r="U37" s="220"/>
      <c r="V37" s="4083" t="s">
        <v>419</v>
      </c>
      <c r="W37" s="4084"/>
      <c r="X37" s="4084"/>
      <c r="Y37" s="4084"/>
      <c r="Z37" s="4084"/>
      <c r="AA37" s="4085"/>
      <c r="AB37" s="4086" t="s">
        <v>420</v>
      </c>
      <c r="AC37" s="4083" t="s">
        <v>419</v>
      </c>
      <c r="AD37" s="4084"/>
      <c r="AE37" s="4084"/>
      <c r="AF37" s="4084"/>
      <c r="AG37" s="4084"/>
      <c r="AH37" s="4085"/>
      <c r="AI37" s="4086" t="s">
        <v>421</v>
      </c>
      <c r="AJ37" s="4089" t="s">
        <v>422</v>
      </c>
      <c r="AK37" s="3946"/>
    </row>
    <row r="38" spans="1:42" ht="33.75" customHeight="1">
      <c r="Q38" s="305"/>
      <c r="R38" s="305"/>
      <c r="S38" s="4082"/>
      <c r="T38" s="4033"/>
      <c r="U38" s="938"/>
      <c r="V38" s="1365" t="s">
        <v>480</v>
      </c>
      <c r="W38" s="3918" t="s">
        <v>425</v>
      </c>
      <c r="X38" s="3917"/>
      <c r="Y38" s="3918" t="s">
        <v>426</v>
      </c>
      <c r="Z38" s="3923"/>
      <c r="AA38" s="3917"/>
      <c r="AB38" s="4087"/>
      <c r="AC38" s="1365" t="s">
        <v>480</v>
      </c>
      <c r="AD38" s="3918" t="s">
        <v>425</v>
      </c>
      <c r="AE38" s="3917"/>
      <c r="AF38" s="3918" t="s">
        <v>426</v>
      </c>
      <c r="AG38" s="3923"/>
      <c r="AH38" s="3917"/>
      <c r="AI38" s="4087"/>
      <c r="AJ38" s="4090"/>
      <c r="AK38" s="3946"/>
    </row>
    <row r="39" spans="1:42" ht="33.75" customHeight="1">
      <c r="A39" s="1286"/>
      <c r="B39" s="1286" t="s">
        <v>133</v>
      </c>
      <c r="C39" s="1286" t="s">
        <v>134</v>
      </c>
      <c r="D39" s="1286" t="s">
        <v>135</v>
      </c>
      <c r="E39" s="1280" t="s">
        <v>427</v>
      </c>
      <c r="F39" s="1280" t="s">
        <v>428</v>
      </c>
      <c r="G39" s="1280" t="s">
        <v>429</v>
      </c>
      <c r="H39" s="1280"/>
      <c r="I39" s="1280" t="s">
        <v>481</v>
      </c>
      <c r="J39" s="1280" t="s">
        <v>432</v>
      </c>
      <c r="K39" s="1280" t="s">
        <v>482</v>
      </c>
      <c r="L39" s="1280" t="s">
        <v>407</v>
      </c>
      <c r="Q39" s="305"/>
      <c r="R39" s="305"/>
      <c r="S39" s="4082"/>
      <c r="T39" s="4033"/>
      <c r="U39" s="221"/>
      <c r="V39" s="1365" t="s">
        <v>483</v>
      </c>
      <c r="W39" s="1128" t="s">
        <v>484</v>
      </c>
      <c r="X39" s="1128" t="s">
        <v>485</v>
      </c>
      <c r="Y39" s="1368" t="s">
        <v>436</v>
      </c>
      <c r="Z39" s="4042" t="s">
        <v>437</v>
      </c>
      <c r="AA39" s="4044"/>
      <c r="AB39" s="4088"/>
      <c r="AC39" s="1365" t="s">
        <v>483</v>
      </c>
      <c r="AD39" s="1128" t="s">
        <v>484</v>
      </c>
      <c r="AE39" s="1128" t="s">
        <v>485</v>
      </c>
      <c r="AF39" s="1368" t="s">
        <v>436</v>
      </c>
      <c r="AG39" s="4042" t="s">
        <v>437</v>
      </c>
      <c r="AH39" s="4044"/>
      <c r="AI39" s="4088"/>
      <c r="AJ39" s="4091"/>
      <c r="AK39" s="3946"/>
    </row>
    <row r="40" spans="1:42" s="1820"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107</v>
      </c>
      <c r="T40" s="1172" t="s">
        <v>108</v>
      </c>
      <c r="U40" s="1154" t="str">
        <f ca="1">OFFSET(U40,0,-1)</f>
        <v>2</v>
      </c>
      <c r="V40" s="1364">
        <f ca="1">OFFSET(V40,0,-1)+1</f>
        <v>3</v>
      </c>
      <c r="W40" s="1364">
        <f ca="1">OFFSET(W40,0,-1)+1</f>
        <v>4</v>
      </c>
      <c r="X40" s="1364">
        <f ca="1">OFFSET(X40,0,-1)+1</f>
        <v>5</v>
      </c>
      <c r="Y40" s="1364">
        <f ca="1">OFFSET(Y40,0,-1)+1</f>
        <v>6</v>
      </c>
      <c r="Z40" s="4081">
        <f ca="1">OFFSET(Z40,0,-1)+1</f>
        <v>7</v>
      </c>
      <c r="AA40" s="4081"/>
      <c r="AB40" s="1364">
        <f ca="1">OFFSET(AB40,0,-2)+1</f>
        <v>8</v>
      </c>
      <c r="AC40" s="1364">
        <f ca="1">OFFSET(AC40,0,-1)+1</f>
        <v>9</v>
      </c>
      <c r="AD40" s="1364">
        <f ca="1">OFFSET(AD40,0,-1)+1</f>
        <v>10</v>
      </c>
      <c r="AE40" s="1364">
        <f ca="1">OFFSET(AE40,0,-1)+1</f>
        <v>11</v>
      </c>
      <c r="AF40" s="1364">
        <f ca="1">OFFSET(AF40,0,-1)+1</f>
        <v>12</v>
      </c>
      <c r="AG40" s="4081">
        <f ca="1">OFFSET(AG40,0,-1)+1</f>
        <v>13</v>
      </c>
      <c r="AH40" s="4081"/>
      <c r="AI40" s="1364">
        <f ca="1">OFFSET(AI40,0,-2)+1</f>
        <v>14</v>
      </c>
      <c r="AJ40" s="1154">
        <f ca="1">OFFSET(AJ40,0,-1)</f>
        <v>14</v>
      </c>
      <c r="AK40" s="1364">
        <f ca="1">OFFSET(AK40,0,-1)+1</f>
        <v>15</v>
      </c>
      <c r="AL40" s="437"/>
      <c r="AM40" s="437"/>
      <c r="AN40" s="437"/>
      <c r="AO40" s="437"/>
      <c r="AP40" s="437"/>
    </row>
    <row r="41" spans="1:42" ht="23.25" customHeight="1">
      <c r="A41" s="1279" t="s">
        <v>231</v>
      </c>
      <c r="B41" s="1279"/>
      <c r="C41" s="1279"/>
      <c r="D41" s="1279"/>
      <c r="E41" s="4074">
        <v>1</v>
      </c>
      <c r="F41" s="1279"/>
      <c r="G41" s="1279"/>
      <c r="H41" s="1279"/>
      <c r="I41" s="1279"/>
      <c r="J41" s="1279"/>
      <c r="K41" s="1279"/>
      <c r="L41" s="1280"/>
      <c r="M41" s="1281"/>
      <c r="N41" s="1281"/>
      <c r="O41" s="1281"/>
      <c r="P41" s="286"/>
      <c r="Q41" s="285"/>
      <c r="R41" s="280"/>
      <c r="S41" s="1370">
        <f>INDEX(PT_DIFFERENTIATION_NUM_NTAR,MATCH(A41,PT_DIFFERENTIATION_NTAR_ID,0))</f>
        <v>0</v>
      </c>
      <c r="T41" s="217" t="s">
        <v>121</v>
      </c>
      <c r="U41" s="219"/>
      <c r="V41" s="4060"/>
      <c r="W41" s="4061"/>
      <c r="X41" s="4061"/>
      <c r="Y41" s="4061"/>
      <c r="Z41" s="4061"/>
      <c r="AA41" s="4061"/>
      <c r="AB41" s="4062"/>
      <c r="AC41" s="4060" t="str">
        <f>INDEX(PT_DIFFERENTIATION_NTAR,MATCH(A41,PT_DIFFERENTIATION_NTAR_ID,0))</f>
        <v/>
      </c>
      <c r="AD41" s="4061"/>
      <c r="AE41" s="4061"/>
      <c r="AF41" s="4061"/>
      <c r="AG41" s="4061"/>
      <c r="AH41" s="4061"/>
      <c r="AI41" s="4061"/>
      <c r="AJ41" s="4062"/>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231</v>
      </c>
      <c r="B42" s="1279" t="s">
        <v>232</v>
      </c>
      <c r="C42" s="1279"/>
      <c r="D42" s="1279"/>
      <c r="E42" s="4075"/>
      <c r="F42" s="4074">
        <v>1</v>
      </c>
      <c r="G42" s="1279"/>
      <c r="H42" s="1279"/>
      <c r="I42" s="1279"/>
      <c r="J42" s="1279"/>
      <c r="K42" s="1279"/>
      <c r="L42" s="1280"/>
      <c r="M42" s="1281"/>
      <c r="N42" s="1281"/>
      <c r="O42" s="1281"/>
      <c r="P42" s="1366"/>
      <c r="Q42" s="277"/>
      <c r="R42" s="278"/>
      <c r="S42" s="1370" t="str">
        <f>INDEX(PT_DIFFERENTIATION_NUM_TER,MATCH(B42,PT_DIFFERENTIATION_TER_ID,0))</f>
        <v>.</v>
      </c>
      <c r="T42" s="229" t="s">
        <v>389</v>
      </c>
      <c r="U42" s="219"/>
      <c r="V42" s="4060"/>
      <c r="W42" s="4061"/>
      <c r="X42" s="4061"/>
      <c r="Y42" s="4061"/>
      <c r="Z42" s="4061"/>
      <c r="AA42" s="4061"/>
      <c r="AB42" s="4062"/>
      <c r="AC42" s="4060" t="str">
        <f>INDEX(PT_DIFFERENTIATION_TER,MATCH(B42,PT_DIFFERENTIATION_TER_ID,0))</f>
        <v/>
      </c>
      <c r="AD42" s="4061"/>
      <c r="AE42" s="4061"/>
      <c r="AF42" s="4061"/>
      <c r="AG42" s="4061"/>
      <c r="AH42" s="4061"/>
      <c r="AI42" s="4061"/>
      <c r="AJ42" s="4062"/>
      <c r="AK42" s="1177" t="s">
        <v>390</v>
      </c>
      <c r="AM42" s="426"/>
      <c r="AN42" s="426" t="str">
        <f t="shared" si="1"/>
        <v>Территория действия тарифа</v>
      </c>
      <c r="AO42" s="426"/>
      <c r="AP42" s="426"/>
    </row>
    <row r="43" spans="1:42" ht="23.25" customHeight="1">
      <c r="A43" s="1279" t="s">
        <v>231</v>
      </c>
      <c r="B43" s="1279" t="s">
        <v>232</v>
      </c>
      <c r="C43" s="1279" t="s">
        <v>233</v>
      </c>
      <c r="D43" s="1279"/>
      <c r="E43" s="4075"/>
      <c r="F43" s="4075"/>
      <c r="G43" s="4074">
        <v>1</v>
      </c>
      <c r="H43" s="1279"/>
      <c r="I43" s="1279"/>
      <c r="J43" s="1279"/>
      <c r="K43" s="1279"/>
      <c r="L43" s="1280"/>
      <c r="M43" s="1281"/>
      <c r="N43" s="1281"/>
      <c r="O43" s="1281"/>
      <c r="P43" s="279"/>
      <c r="Q43" s="277"/>
      <c r="R43" s="278"/>
      <c r="S43" s="1370" t="str">
        <f>INDEX(PT_DIFFERENTIATION_NUM_CS,MATCH(C43,PT_DIFFERENTIATION_CS_ID,0))</f>
        <v>..</v>
      </c>
      <c r="T43" s="230" t="s">
        <v>472</v>
      </c>
      <c r="U43" s="219"/>
      <c r="V43" s="4060"/>
      <c r="W43" s="4061"/>
      <c r="X43" s="4061"/>
      <c r="Y43" s="4061"/>
      <c r="Z43" s="4061"/>
      <c r="AA43" s="4061"/>
      <c r="AB43" s="4062"/>
      <c r="AC43" s="4060" t="str">
        <f>INDEX(PT_DIFFERENTIATION_CS,MATCH(C43,PT_DIFFERENTIATION_CS_ID,0))</f>
        <v/>
      </c>
      <c r="AD43" s="4061"/>
      <c r="AE43" s="4061"/>
      <c r="AF43" s="4061"/>
      <c r="AG43" s="4061"/>
      <c r="AH43" s="4061"/>
      <c r="AI43" s="4061"/>
      <c r="AJ43" s="4062"/>
      <c r="AK43" s="1177" t="s">
        <v>473</v>
      </c>
      <c r="AM43" s="426"/>
      <c r="AN43" s="426" t="str">
        <f t="shared" si="1"/>
        <v>Наименование централизованной системы холодного водоснабжения</v>
      </c>
      <c r="AO43" s="426"/>
      <c r="AP43" s="426"/>
    </row>
    <row r="44" spans="1:42" ht="23.25" customHeight="1">
      <c r="A44" s="1279" t="s">
        <v>231</v>
      </c>
      <c r="B44" s="1279" t="s">
        <v>232</v>
      </c>
      <c r="C44" s="1279" t="s">
        <v>233</v>
      </c>
      <c r="D44" s="1279" t="s">
        <v>489</v>
      </c>
      <c r="E44" s="4075"/>
      <c r="F44" s="4075"/>
      <c r="G44" s="4075"/>
      <c r="H44" s="4075"/>
      <c r="I44" s="4072" t="str">
        <f>S43&amp;".1"</f>
        <v>...1</v>
      </c>
      <c r="J44" s="1279"/>
      <c r="K44" s="1279"/>
      <c r="L44" s="1280"/>
      <c r="P44" s="4073">
        <v>1</v>
      </c>
      <c r="Q44" s="1363"/>
      <c r="R44" s="281"/>
      <c r="S44" s="1370" t="str">
        <f>$I44</f>
        <v>...1</v>
      </c>
      <c r="T44" s="204" t="s">
        <v>474</v>
      </c>
      <c r="U44" s="219"/>
      <c r="V44" s="4133"/>
      <c r="W44" s="4134"/>
      <c r="X44" s="4134"/>
      <c r="Y44" s="4134"/>
      <c r="Z44" s="4134"/>
      <c r="AA44" s="4134"/>
      <c r="AB44" s="4135"/>
      <c r="AC44" s="4136"/>
      <c r="AD44" s="4137"/>
      <c r="AE44" s="4137"/>
      <c r="AF44" s="4137"/>
      <c r="AG44" s="4137"/>
      <c r="AH44" s="4137"/>
      <c r="AI44" s="4137"/>
      <c r="AJ44" s="4138"/>
      <c r="AK44" s="1177" t="s">
        <v>475</v>
      </c>
      <c r="AM44" s="426"/>
      <c r="AN44" s="426" t="str">
        <f t="shared" si="1"/>
        <v>Наименование признака дифференциации</v>
      </c>
      <c r="AO44" s="426"/>
      <c r="AP44" s="426"/>
    </row>
    <row r="45" spans="1:42" ht="23.25" customHeight="1">
      <c r="A45" s="1279" t="s">
        <v>231</v>
      </c>
      <c r="B45" s="1279" t="s">
        <v>232</v>
      </c>
      <c r="C45" s="1279" t="s">
        <v>233</v>
      </c>
      <c r="D45" s="1279" t="s">
        <v>489</v>
      </c>
      <c r="E45" s="4075"/>
      <c r="F45" s="4075"/>
      <c r="G45" s="4075"/>
      <c r="H45" s="4075"/>
      <c r="I45" s="4095"/>
      <c r="J45" s="4072" t="str">
        <f>I44&amp;".1"</f>
        <v>...1.1</v>
      </c>
      <c r="K45" s="1279"/>
      <c r="L45" s="1280" t="s">
        <v>398</v>
      </c>
      <c r="P45" s="4073"/>
      <c r="Q45" s="4073">
        <v>1</v>
      </c>
      <c r="R45" s="282"/>
      <c r="S45" s="1370" t="str">
        <f>$J45</f>
        <v>...1.1</v>
      </c>
      <c r="T45" s="205" t="s">
        <v>399</v>
      </c>
      <c r="U45" s="219"/>
      <c r="V45" s="4063"/>
      <c r="W45" s="4064"/>
      <c r="X45" s="4064"/>
      <c r="Y45" s="4064"/>
      <c r="Z45" s="4064"/>
      <c r="AA45" s="4064"/>
      <c r="AB45" s="4065"/>
      <c r="AC45" s="4063"/>
      <c r="AD45" s="4064"/>
      <c r="AE45" s="4064"/>
      <c r="AF45" s="4064"/>
      <c r="AG45" s="4064"/>
      <c r="AH45" s="4064"/>
      <c r="AI45" s="4064"/>
      <c r="AJ45" s="4065"/>
      <c r="AK45" s="1226" t="s">
        <v>476</v>
      </c>
      <c r="AM45" s="426"/>
      <c r="AN45" s="426" t="str">
        <f t="shared" si="1"/>
        <v>Группа потребителей</v>
      </c>
      <c r="AO45" s="426"/>
      <c r="AP45" s="426"/>
    </row>
    <row r="46" spans="1:42" ht="23.25" customHeight="1">
      <c r="A46" s="1279" t="s">
        <v>231</v>
      </c>
      <c r="B46" s="1279" t="s">
        <v>232</v>
      </c>
      <c r="C46" s="1279" t="s">
        <v>233</v>
      </c>
      <c r="D46" s="1279" t="s">
        <v>489</v>
      </c>
      <c r="E46" s="4075"/>
      <c r="F46" s="4075"/>
      <c r="G46" s="4075"/>
      <c r="H46" s="4075"/>
      <c r="I46" s="4095"/>
      <c r="J46" s="4095"/>
      <c r="K46" s="4072" t="str">
        <f>J45&amp;".1"</f>
        <v>...1.1.1</v>
      </c>
      <c r="L46" s="1280"/>
      <c r="P46" s="4073"/>
      <c r="Q46" s="4073"/>
      <c r="R46" s="282">
        <v>1</v>
      </c>
      <c r="S46" s="1370" t="str">
        <f>$K46</f>
        <v>...1.1.1</v>
      </c>
      <c r="T46" s="1352"/>
      <c r="U46" s="219"/>
      <c r="V46" s="668"/>
      <c r="W46" s="668"/>
      <c r="X46" s="1176"/>
      <c r="Y46" s="4077"/>
      <c r="Z46" s="3927" t="s">
        <v>65</v>
      </c>
      <c r="AA46" s="4077"/>
      <c r="AB46" s="3927" t="s">
        <v>65</v>
      </c>
      <c r="AC46" s="668"/>
      <c r="AD46" s="668"/>
      <c r="AE46" s="1176"/>
      <c r="AF46" s="4077"/>
      <c r="AG46" s="3927" t="s">
        <v>65</v>
      </c>
      <c r="AH46" s="4096"/>
      <c r="AI46" s="3927" t="s">
        <v>65</v>
      </c>
      <c r="AJ46" s="1353"/>
      <c r="AK46" s="41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231</v>
      </c>
      <c r="B47" s="1279" t="s">
        <v>232</v>
      </c>
      <c r="C47" s="1279" t="s">
        <v>233</v>
      </c>
      <c r="D47" s="1279" t="s">
        <v>489</v>
      </c>
      <c r="E47" s="4075"/>
      <c r="F47" s="4075"/>
      <c r="G47" s="4075"/>
      <c r="H47" s="4075"/>
      <c r="I47" s="4095"/>
      <c r="J47" s="4095"/>
      <c r="K47" s="4072"/>
      <c r="L47" s="1280"/>
      <c r="P47" s="4073"/>
      <c r="Q47" s="4073"/>
      <c r="R47" s="282"/>
      <c r="S47" s="1369"/>
      <c r="T47" s="219"/>
      <c r="U47" s="219"/>
      <c r="V47" s="251"/>
      <c r="W47" s="251"/>
      <c r="X47" s="255" t="str">
        <f>Y46&amp;"-"&amp;AA46</f>
        <v>-</v>
      </c>
      <c r="Y47" s="4078"/>
      <c r="Z47" s="3927"/>
      <c r="AA47" s="4078"/>
      <c r="AB47" s="3927"/>
      <c r="AC47" s="251"/>
      <c r="AD47" s="251"/>
      <c r="AE47" s="255" t="str">
        <f>AF46&amp;"-"&amp;AH46</f>
        <v>-</v>
      </c>
      <c r="AF47" s="4078"/>
      <c r="AG47" s="3927"/>
      <c r="AH47" s="4097"/>
      <c r="AI47" s="3927"/>
      <c r="AJ47" s="1354"/>
      <c r="AK47" s="4132"/>
      <c r="AM47" s="426"/>
      <c r="AN47" s="426" t="str">
        <f t="shared" si="1"/>
        <v/>
      </c>
      <c r="AO47" s="426"/>
      <c r="AP47" s="426"/>
    </row>
    <row r="48" spans="1:42" ht="21" customHeight="1">
      <c r="A48" s="1279" t="s">
        <v>231</v>
      </c>
      <c r="B48" s="1279" t="s">
        <v>232</v>
      </c>
      <c r="C48" s="1279" t="s">
        <v>233</v>
      </c>
      <c r="D48" s="1279" t="s">
        <v>489</v>
      </c>
      <c r="E48" s="4075"/>
      <c r="F48" s="4075"/>
      <c r="G48" s="4075"/>
      <c r="H48" s="4075"/>
      <c r="I48" s="4095"/>
      <c r="J48" s="4072"/>
      <c r="K48" s="1279"/>
      <c r="L48" s="1280"/>
      <c r="P48" s="4073"/>
      <c r="Q48" s="4073"/>
      <c r="R48" s="281"/>
      <c r="S48" s="1198"/>
      <c r="T48" s="206" t="s">
        <v>477</v>
      </c>
      <c r="U48" s="295"/>
      <c r="V48" s="295"/>
      <c r="W48" s="295"/>
      <c r="X48" s="295"/>
      <c r="Y48" s="295"/>
      <c r="Z48" s="295"/>
      <c r="AA48" s="295"/>
      <c r="AB48" s="295"/>
      <c r="AC48" s="295"/>
      <c r="AD48" s="295"/>
      <c r="AE48" s="295"/>
      <c r="AF48" s="295"/>
      <c r="AG48" s="295"/>
      <c r="AH48" s="295"/>
      <c r="AI48" s="295"/>
      <c r="AJ48" s="295"/>
      <c r="AK48" s="1177" t="s">
        <v>478</v>
      </c>
      <c r="AM48" s="426"/>
      <c r="AN48" s="426" t="str">
        <f t="shared" si="1"/>
        <v>Добавить значение признака дифференциации</v>
      </c>
      <c r="AO48" s="426"/>
      <c r="AP48" s="426"/>
    </row>
    <row r="49" spans="1:42" ht="21" customHeight="1">
      <c r="A49" s="1279" t="s">
        <v>231</v>
      </c>
      <c r="B49" s="1279" t="s">
        <v>232</v>
      </c>
      <c r="C49" s="1279" t="s">
        <v>233</v>
      </c>
      <c r="D49" s="1279" t="s">
        <v>489</v>
      </c>
      <c r="E49" s="4075"/>
      <c r="F49" s="4075"/>
      <c r="G49" s="4075"/>
      <c r="H49" s="4075"/>
      <c r="I49" s="4072"/>
      <c r="J49" s="1279"/>
      <c r="K49" s="1279"/>
      <c r="L49" s="1280"/>
      <c r="P49" s="4073"/>
      <c r="Q49" s="1363"/>
      <c r="R49" s="281"/>
      <c r="S49" s="1198"/>
      <c r="T49" s="292" t="s">
        <v>404</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231</v>
      </c>
      <c r="B50" s="1279" t="s">
        <v>232</v>
      </c>
      <c r="C50" s="1279" t="s">
        <v>233</v>
      </c>
      <c r="D50" s="1279" t="s">
        <v>489</v>
      </c>
      <c r="E50" s="4075"/>
      <c r="F50" s="4075"/>
      <c r="G50" s="4075"/>
      <c r="H50" s="4074"/>
      <c r="I50" s="1279"/>
      <c r="J50" s="1279"/>
      <c r="K50" s="1279"/>
      <c r="L50" s="1280"/>
      <c r="M50" s="1281"/>
      <c r="N50" s="1281"/>
      <c r="O50" s="462"/>
      <c r="P50" s="285"/>
      <c r="Q50" s="304"/>
      <c r="R50" s="280"/>
      <c r="S50" s="1198"/>
      <c r="T50" s="300" t="s">
        <v>479</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2550" customFormat="1" ht="0" hidden="1" customHeight="1">
      <c r="A51" s="1260" t="s">
        <v>231</v>
      </c>
      <c r="B51" s="1260" t="s">
        <v>232</v>
      </c>
      <c r="C51" s="1232"/>
      <c r="D51" s="1232"/>
      <c r="E51" s="4075"/>
      <c r="F51" s="4074"/>
      <c r="G51" s="1232"/>
      <c r="H51" s="1232"/>
      <c r="I51" s="1232"/>
      <c r="J51" s="1232"/>
      <c r="K51" s="1232"/>
      <c r="L51" s="1371"/>
      <c r="M51" s="1239"/>
      <c r="N51" s="1239"/>
      <c r="P51" s="1234"/>
      <c r="Q51" s="1235"/>
      <c r="R51" s="1234"/>
      <c r="S51" s="1240"/>
      <c r="T51" s="1243" t="s">
        <v>167</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1" customFormat="1" ht="0" hidden="1" customHeight="1">
      <c r="A52" s="1260" t="s">
        <v>231</v>
      </c>
      <c r="B52" s="1260"/>
      <c r="C52" s="1260"/>
      <c r="D52" s="1260"/>
      <c r="E52" s="4074"/>
      <c r="F52" s="1260"/>
      <c r="G52" s="1260"/>
      <c r="H52" s="1260"/>
      <c r="I52" s="1260"/>
      <c r="J52" s="1260"/>
      <c r="K52" s="1260"/>
      <c r="L52" s="1263"/>
      <c r="M52" s="1239"/>
      <c r="N52" s="1239"/>
      <c r="O52" s="444"/>
      <c r="P52" s="313"/>
      <c r="Q52" s="1261"/>
      <c r="R52" s="313"/>
      <c r="S52" s="1240"/>
      <c r="T52" s="1243" t="s">
        <v>168</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2550"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169</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4094"/>
      <c r="U55" s="4094"/>
      <c r="V55" s="4094"/>
      <c r="W55" s="4094"/>
      <c r="X55" s="4094"/>
      <c r="Y55" s="4094"/>
      <c r="Z55" s="4094"/>
      <c r="AA55" s="4094"/>
      <c r="AB55" s="4094"/>
      <c r="AC55" s="4094"/>
      <c r="AD55" s="4094"/>
      <c r="AE55" s="4094"/>
      <c r="AF55" s="4094"/>
      <c r="AG55" s="4094"/>
      <c r="AH55" s="4094"/>
      <c r="AI55" s="4094"/>
      <c r="AJ55" s="4094"/>
      <c r="AK55" s="4094"/>
    </row>
    <row r="56" spans="1:42" ht="14.25" customHeight="1">
      <c r="O56" s="462"/>
    </row>
    <row r="57" spans="1:42" ht="14.25" customHeight="1">
      <c r="O57" s="462"/>
      <c r="S57" s="1164"/>
      <c r="T57" s="4094"/>
      <c r="U57" s="4094"/>
      <c r="V57" s="4094"/>
      <c r="W57" s="4094"/>
      <c r="X57" s="4094"/>
      <c r="Y57" s="4094"/>
      <c r="Z57" s="4094"/>
      <c r="AA57" s="4094"/>
      <c r="AB57" s="4094"/>
      <c r="AC57" s="4094"/>
      <c r="AD57" s="4094"/>
      <c r="AE57" s="4094"/>
      <c r="AF57" s="4094"/>
      <c r="AG57" s="4094"/>
      <c r="AH57" s="4094"/>
      <c r="AI57" s="4094"/>
      <c r="AJ57" s="4094"/>
      <c r="AK57" s="409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2553" hidden="1" customWidth="1"/>
    <col min="2" max="2" width="11" style="2553" hidden="1" customWidth="1"/>
    <col min="3" max="3" width="10.5703125" style="2553" hidden="1"/>
    <col min="4" max="4" width="12.85546875" style="2553" hidden="1" customWidth="1"/>
    <col min="5" max="5" width="10" style="2553" hidden="1" customWidth="1"/>
    <col min="6" max="6" width="8.7109375" style="2553" hidden="1" customWidth="1"/>
    <col min="7" max="7" width="7.5703125" style="2553" hidden="1" customWidth="1"/>
    <col min="8" max="8" width="11.42578125" style="2553" hidden="1" customWidth="1"/>
    <col min="9" max="9" width="12" style="2553" hidden="1" customWidth="1"/>
    <col min="10" max="10" width="9.85546875" style="2553" hidden="1" customWidth="1"/>
    <col min="11" max="11" width="11.42578125" style="2553" hidden="1" customWidth="1"/>
    <col min="12" max="12" width="19.140625" style="3807" hidden="1" customWidth="1"/>
    <col min="13" max="14" width="12.28515625" style="2555" hidden="1" customWidth="1"/>
    <col min="15" max="15" width="23.42578125" style="2555" hidden="1" customWidth="1"/>
    <col min="16" max="16" width="3.7109375" style="2555" hidden="1" customWidth="1"/>
    <col min="17" max="17" width="3.7109375" style="2556" hidden="1" customWidth="1"/>
    <col min="18" max="18" width="3.7109375" style="3173" customWidth="1"/>
    <col min="19" max="19" width="12.7109375" style="3174" customWidth="1"/>
    <col min="20" max="20" width="32" style="1920" customWidth="1"/>
    <col min="21" max="21" width="0.140625" style="1920" customWidth="1"/>
    <col min="22" max="25" width="21.7109375" style="1920" hidden="1" customWidth="1"/>
    <col min="26" max="26" width="11.7109375" style="1920" hidden="1" customWidth="1"/>
    <col min="27" max="27" width="3.7109375" style="1920" hidden="1" customWidth="1"/>
    <col min="28" max="28" width="11.7109375" style="1920" hidden="1" customWidth="1"/>
    <col min="29" max="29" width="8.5703125" style="1920" hidden="1" customWidth="1"/>
    <col min="30" max="32" width="3.7109375" style="1920" customWidth="1"/>
    <col min="33" max="33" width="24.7109375" style="1920" customWidth="1"/>
    <col min="34" max="36" width="3.7109375" style="1920" customWidth="1"/>
    <col min="37" max="37" width="24.7109375" style="1920" customWidth="1"/>
    <col min="38" max="40" width="3.7109375" style="1920" customWidth="1"/>
    <col min="41" max="41" width="18.85546875" style="1920" customWidth="1"/>
    <col min="42" max="44" width="3.7109375" style="1920" customWidth="1"/>
    <col min="45" max="45" width="18.85546875" style="1920" customWidth="1"/>
    <col min="46" max="49" width="21.7109375" style="1920" customWidth="1"/>
    <col min="50" max="50" width="11.7109375" style="1920" customWidth="1"/>
    <col min="51" max="51" width="3.7109375" style="1920" customWidth="1"/>
    <col min="52" max="52" width="11.7109375" style="1920" customWidth="1"/>
    <col min="53" max="53" width="8.5703125" style="1920" hidden="1" customWidth="1"/>
    <col min="54" max="54" width="4.7109375" style="1920" customWidth="1"/>
    <col min="55" max="55" width="115.7109375" style="1920" customWidth="1"/>
    <col min="56" max="57" width="10.5703125" style="1821"/>
    <col min="58" max="58" width="11.140625" style="1821" customWidth="1"/>
    <col min="59" max="60" width="10.5703125" style="1821"/>
  </cols>
  <sheetData>
    <row r="1" spans="1:60" ht="14.25" hidden="1" customHeight="1">
      <c r="W1" s="254"/>
      <c r="Y1" s="254"/>
      <c r="Z1" s="254"/>
      <c r="AW1" s="254"/>
      <c r="AX1" s="254"/>
    </row>
    <row r="2" spans="1:60" ht="21" hidden="1" customHeight="1">
      <c r="A2" s="1279"/>
      <c r="B2" s="1279"/>
      <c r="C2" s="1279"/>
      <c r="D2" s="1279"/>
      <c r="E2" s="4074">
        <v>1</v>
      </c>
      <c r="F2" s="1279"/>
      <c r="G2" s="1279"/>
      <c r="H2" s="1279"/>
      <c r="I2" s="1279"/>
      <c r="J2" s="1279"/>
      <c r="K2" s="1279"/>
      <c r="L2" s="1280"/>
      <c r="M2" s="1281"/>
      <c r="N2" s="1281"/>
      <c r="O2" s="1281"/>
      <c r="P2" s="1325"/>
      <c r="Q2" s="786"/>
      <c r="R2" s="280"/>
      <c r="S2" s="1377" t="e">
        <f>INDEX(PT_DIFFERENTIATION_NUM_NTAR,MATCH(A2,PT_DIFFERENTIATION_NTAR_ID,0))</f>
        <v>#N/A</v>
      </c>
      <c r="T2" s="217" t="s">
        <v>121</v>
      </c>
      <c r="U2" s="219"/>
      <c r="V2" s="4061"/>
      <c r="W2" s="4061"/>
      <c r="X2" s="4061"/>
      <c r="Y2" s="4061"/>
      <c r="Z2" s="4061"/>
      <c r="AA2" s="4061"/>
      <c r="AB2" s="4061"/>
      <c r="AC2" s="4062"/>
      <c r="AD2" s="4060" t="e">
        <f>INDEX(PT_DIFFERENTIATION_NTAR,MATCH(A2,PT_DIFFERENTIATION_NTAR_ID,0))</f>
        <v>#N/A</v>
      </c>
      <c r="AE2" s="4061"/>
      <c r="AF2" s="4061"/>
      <c r="AG2" s="4061"/>
      <c r="AH2" s="4061"/>
      <c r="AI2" s="4061"/>
      <c r="AJ2" s="4061"/>
      <c r="AK2" s="4061"/>
      <c r="AL2" s="4061"/>
      <c r="AM2" s="4061"/>
      <c r="AN2" s="4061"/>
      <c r="AO2" s="4061"/>
      <c r="AP2" s="4061"/>
      <c r="AQ2" s="4061"/>
      <c r="AR2" s="4061"/>
      <c r="AS2" s="4061"/>
      <c r="AT2" s="4061"/>
      <c r="AU2" s="4061"/>
      <c r="AV2" s="4061"/>
      <c r="AW2" s="4061"/>
      <c r="AX2" s="4061"/>
      <c r="AY2" s="4061"/>
      <c r="AZ2" s="4061"/>
      <c r="BA2" s="4061"/>
      <c r="BB2" s="4062"/>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4075"/>
      <c r="F3" s="4074">
        <v>1</v>
      </c>
      <c r="G3" s="1279"/>
      <c r="H3" s="1279"/>
      <c r="I3" s="1279"/>
      <c r="J3" s="1279"/>
      <c r="K3" s="1279"/>
      <c r="L3" s="1280"/>
      <c r="M3" s="1281"/>
      <c r="N3" s="1281"/>
      <c r="O3" s="1281"/>
      <c r="P3" s="1326"/>
      <c r="Q3" s="1327"/>
      <c r="R3" s="278"/>
      <c r="S3" s="1377" t="e">
        <f>INDEX(PT_DIFFERENTIATION_NUM_TER,MATCH(B3,PT_DIFFERENTIATION_TER_ID,0))</f>
        <v>#N/A</v>
      </c>
      <c r="T3" s="229" t="s">
        <v>389</v>
      </c>
      <c r="U3" s="219"/>
      <c r="V3" s="4061"/>
      <c r="W3" s="4061"/>
      <c r="X3" s="4061"/>
      <c r="Y3" s="4061"/>
      <c r="Z3" s="4061"/>
      <c r="AA3" s="4061"/>
      <c r="AB3" s="4061"/>
      <c r="AC3" s="4062"/>
      <c r="AD3" s="4060" t="e">
        <f>INDEX(PT_DIFFERENTIATION_TER,MATCH(B3,PT_DIFFERENTIATION_TER_ID,0))</f>
        <v>#N/A</v>
      </c>
      <c r="AE3" s="4061"/>
      <c r="AF3" s="4061"/>
      <c r="AG3" s="4061"/>
      <c r="AH3" s="4061"/>
      <c r="AI3" s="4061"/>
      <c r="AJ3" s="4061"/>
      <c r="AK3" s="4061"/>
      <c r="AL3" s="4061"/>
      <c r="AM3" s="4061"/>
      <c r="AN3" s="4061"/>
      <c r="AO3" s="4061"/>
      <c r="AP3" s="4061"/>
      <c r="AQ3" s="4061"/>
      <c r="AR3" s="4061"/>
      <c r="AS3" s="4061"/>
      <c r="AT3" s="4061"/>
      <c r="AU3" s="4061"/>
      <c r="AV3" s="4061"/>
      <c r="AW3" s="4061"/>
      <c r="AX3" s="4061"/>
      <c r="AY3" s="4061"/>
      <c r="AZ3" s="4061"/>
      <c r="BA3" s="4061"/>
      <c r="BB3" s="4062"/>
      <c r="BC3" s="1177" t="s">
        <v>390</v>
      </c>
      <c r="BE3" s="426"/>
      <c r="BF3" s="426" t="str">
        <f t="shared" si="0"/>
        <v>Территория действия тарифа</v>
      </c>
      <c r="BG3" s="426"/>
      <c r="BH3" s="426"/>
    </row>
    <row r="4" spans="1:60" ht="42" hidden="1" customHeight="1">
      <c r="A4" s="1279"/>
      <c r="B4" s="1279"/>
      <c r="C4" s="1279"/>
      <c r="D4" s="1279"/>
      <c r="E4" s="4075"/>
      <c r="F4" s="4075"/>
      <c r="G4" s="4074">
        <v>1</v>
      </c>
      <c r="H4" s="1279"/>
      <c r="I4" s="1279"/>
      <c r="J4" s="1279"/>
      <c r="K4" s="1279"/>
      <c r="L4" s="1280"/>
      <c r="M4" s="1281"/>
      <c r="N4" s="1281"/>
      <c r="O4" s="1281"/>
      <c r="P4" s="1328"/>
      <c r="Q4" s="1327"/>
      <c r="R4" s="278"/>
      <c r="S4" s="1377" t="e">
        <f>INDEX(PT_DIFFERENTIATION_NUM_CS,MATCH(C4,PT_DIFFERENTIATION_CS_ID,0))</f>
        <v>#N/A</v>
      </c>
      <c r="T4" s="230" t="s">
        <v>472</v>
      </c>
      <c r="U4" s="219"/>
      <c r="V4" s="4061"/>
      <c r="W4" s="4061"/>
      <c r="X4" s="4061"/>
      <c r="Y4" s="4061"/>
      <c r="Z4" s="4061"/>
      <c r="AA4" s="4061"/>
      <c r="AB4" s="4061"/>
      <c r="AC4" s="4062"/>
      <c r="AD4" s="4060" t="e">
        <f>INDEX(PT_DIFFERENTIATION_CS,MATCH(C4,PT_DIFFERENTIATION_CS_ID,0))</f>
        <v>#N/A</v>
      </c>
      <c r="AE4" s="4061"/>
      <c r="AF4" s="4061"/>
      <c r="AG4" s="4061"/>
      <c r="AH4" s="4061"/>
      <c r="AI4" s="4061"/>
      <c r="AJ4" s="4061"/>
      <c r="AK4" s="4061"/>
      <c r="AL4" s="4061"/>
      <c r="AM4" s="4061"/>
      <c r="AN4" s="4061"/>
      <c r="AO4" s="4061"/>
      <c r="AP4" s="4061"/>
      <c r="AQ4" s="4061"/>
      <c r="AR4" s="4061"/>
      <c r="AS4" s="4061"/>
      <c r="AT4" s="4061"/>
      <c r="AU4" s="4061"/>
      <c r="AV4" s="4061"/>
      <c r="AW4" s="4061"/>
      <c r="AX4" s="4061"/>
      <c r="AY4" s="4061"/>
      <c r="AZ4" s="4061"/>
      <c r="BA4" s="4061"/>
      <c r="BB4" s="4062"/>
      <c r="BC4" s="1177" t="s">
        <v>473</v>
      </c>
      <c r="BE4" s="426"/>
      <c r="BF4" s="426" t="str">
        <f t="shared" si="0"/>
        <v>Наименование централизованной системы холодного водоснабжения</v>
      </c>
      <c r="BG4" s="426"/>
      <c r="BH4" s="426"/>
    </row>
    <row r="5" spans="1:60" s="1821" customFormat="1" ht="14.25" hidden="1" customHeight="1">
      <c r="A5" s="1260"/>
      <c r="B5" s="1260"/>
      <c r="C5" s="1260"/>
      <c r="D5" s="1260"/>
      <c r="E5" s="4075"/>
      <c r="F5" s="4075"/>
      <c r="G5" s="4075"/>
      <c r="H5" s="4074">
        <v>1</v>
      </c>
      <c r="I5" s="1260"/>
      <c r="J5" s="1260"/>
      <c r="K5" s="1260"/>
      <c r="L5" s="1263"/>
      <c r="M5" s="1233"/>
      <c r="N5" s="1233"/>
      <c r="O5" s="1233"/>
      <c r="P5" s="1407"/>
      <c r="Q5" s="1408"/>
      <c r="R5" s="282"/>
      <c r="S5" s="949"/>
      <c r="T5" s="1409"/>
      <c r="U5" s="1300"/>
      <c r="V5" s="4102"/>
      <c r="W5" s="4102"/>
      <c r="X5" s="4102"/>
      <c r="Y5" s="4102"/>
      <c r="Z5" s="4102"/>
      <c r="AA5" s="4102"/>
      <c r="AB5" s="4102"/>
      <c r="AC5" s="4103"/>
      <c r="AD5" s="4101"/>
      <c r="AE5" s="4102"/>
      <c r="AF5" s="4102"/>
      <c r="AG5" s="4102"/>
      <c r="AH5" s="4102"/>
      <c r="AI5" s="4102"/>
      <c r="AJ5" s="4102"/>
      <c r="AK5" s="4102"/>
      <c r="AL5" s="4102"/>
      <c r="AM5" s="4102"/>
      <c r="AN5" s="4102"/>
      <c r="AO5" s="4102"/>
      <c r="AP5" s="4102"/>
      <c r="AQ5" s="4102"/>
      <c r="AR5" s="4102"/>
      <c r="AS5" s="4102"/>
      <c r="AT5" s="4102"/>
      <c r="AU5" s="4102"/>
      <c r="AV5" s="4102"/>
      <c r="AW5" s="4102"/>
      <c r="AX5" s="4102"/>
      <c r="AY5" s="4102"/>
      <c r="AZ5" s="4102"/>
      <c r="BA5" s="4102"/>
      <c r="BB5" s="4103"/>
      <c r="BC5" s="1301" t="s">
        <v>394</v>
      </c>
      <c r="BE5" s="426"/>
      <c r="BF5" s="426" t="str">
        <f t="shared" si="0"/>
        <v/>
      </c>
      <c r="BG5" s="426"/>
      <c r="BH5" s="426"/>
    </row>
    <row r="6" spans="1:60" s="1821" customFormat="1" ht="14.25" hidden="1" customHeight="1">
      <c r="A6" s="1260"/>
      <c r="B6" s="1260"/>
      <c r="C6" s="1260"/>
      <c r="D6" s="1260"/>
      <c r="E6" s="4075"/>
      <c r="F6" s="4075"/>
      <c r="G6" s="4075"/>
      <c r="H6" s="4075"/>
      <c r="I6" s="4072" t="str">
        <f>S5&amp;".1"</f>
        <v>.1</v>
      </c>
      <c r="J6" s="1260"/>
      <c r="K6" s="1260"/>
      <c r="L6" s="1263" t="s">
        <v>395</v>
      </c>
      <c r="M6" s="436"/>
      <c r="N6" s="436"/>
      <c r="O6" s="436"/>
      <c r="P6" s="4073">
        <v>1</v>
      </c>
      <c r="Q6" s="1374"/>
      <c r="R6" s="281"/>
      <c r="S6" s="949"/>
      <c r="T6" s="1299"/>
      <c r="U6" s="1300"/>
      <c r="V6" s="4102"/>
      <c r="W6" s="4102"/>
      <c r="X6" s="4102"/>
      <c r="Y6" s="4102"/>
      <c r="Z6" s="4102"/>
      <c r="AA6" s="4102"/>
      <c r="AB6" s="4102"/>
      <c r="AC6" s="4103"/>
      <c r="AD6" s="4101"/>
      <c r="AE6" s="4102"/>
      <c r="AF6" s="4102"/>
      <c r="AG6" s="4102"/>
      <c r="AH6" s="4102"/>
      <c r="AI6" s="4102"/>
      <c r="AJ6" s="4102"/>
      <c r="AK6" s="4102"/>
      <c r="AL6" s="4102"/>
      <c r="AM6" s="4102"/>
      <c r="AN6" s="4102"/>
      <c r="AO6" s="4102"/>
      <c r="AP6" s="4102"/>
      <c r="AQ6" s="4102"/>
      <c r="AR6" s="4102"/>
      <c r="AS6" s="4102"/>
      <c r="AT6" s="4102"/>
      <c r="AU6" s="4102"/>
      <c r="AV6" s="4102"/>
      <c r="AW6" s="4102"/>
      <c r="AX6" s="4102"/>
      <c r="AY6" s="4102"/>
      <c r="AZ6" s="4102"/>
      <c r="BA6" s="4102"/>
      <c r="BB6" s="4103"/>
      <c r="BC6" s="1301"/>
      <c r="BE6" s="426"/>
      <c r="BF6" s="426" t="str">
        <f t="shared" si="0"/>
        <v/>
      </c>
      <c r="BG6" s="426"/>
      <c r="BH6" s="426"/>
    </row>
    <row r="7" spans="1:60" s="1821" customFormat="1" ht="14.25" hidden="1" customHeight="1">
      <c r="A7" s="1260"/>
      <c r="B7" s="1260"/>
      <c r="C7" s="1260"/>
      <c r="D7" s="1260"/>
      <c r="E7" s="4075"/>
      <c r="F7" s="4075"/>
      <c r="G7" s="4075"/>
      <c r="H7" s="4075"/>
      <c r="I7" s="4095"/>
      <c r="J7" s="4072" t="str">
        <f>S5&amp;".1"</f>
        <v>.1</v>
      </c>
      <c r="K7" s="1260"/>
      <c r="L7" s="1263"/>
      <c r="M7" s="436"/>
      <c r="N7" s="436"/>
      <c r="O7" s="436"/>
      <c r="P7" s="4073"/>
      <c r="Q7" s="4073">
        <v>1</v>
      </c>
      <c r="R7" s="282"/>
      <c r="S7" s="949"/>
      <c r="T7" s="1315"/>
      <c r="U7" s="1300"/>
      <c r="V7" s="4102"/>
      <c r="W7" s="4102"/>
      <c r="X7" s="4102"/>
      <c r="Y7" s="4102"/>
      <c r="Z7" s="4102"/>
      <c r="AA7" s="4102"/>
      <c r="AB7" s="4102"/>
      <c r="AC7" s="4103"/>
      <c r="AD7" s="4101"/>
      <c r="AE7" s="4102"/>
      <c r="AF7" s="4102"/>
      <c r="AG7" s="4102"/>
      <c r="AH7" s="4102"/>
      <c r="AI7" s="4102"/>
      <c r="AJ7" s="4102"/>
      <c r="AK7" s="4102"/>
      <c r="AL7" s="4102"/>
      <c r="AM7" s="4102"/>
      <c r="AN7" s="4102"/>
      <c r="AO7" s="4102"/>
      <c r="AP7" s="4102"/>
      <c r="AQ7" s="4102"/>
      <c r="AR7" s="4102"/>
      <c r="AS7" s="4102"/>
      <c r="AT7" s="4102"/>
      <c r="AU7" s="4102"/>
      <c r="AV7" s="4102"/>
      <c r="AW7" s="4102"/>
      <c r="AX7" s="4102"/>
      <c r="AY7" s="4102"/>
      <c r="AZ7" s="4102"/>
      <c r="BA7" s="4102"/>
      <c r="BB7" s="4103"/>
      <c r="BC7" s="1301"/>
      <c r="BE7" s="426"/>
      <c r="BF7" s="426" t="str">
        <f t="shared" si="0"/>
        <v/>
      </c>
      <c r="BG7" s="426"/>
      <c r="BH7" s="426"/>
    </row>
    <row r="8" spans="1:60" ht="11.25" hidden="1" customHeight="1">
      <c r="A8" s="1279"/>
      <c r="B8" s="1279"/>
      <c r="C8" s="1279"/>
      <c r="D8" s="1279"/>
      <c r="E8" s="4075"/>
      <c r="F8" s="4075"/>
      <c r="G8" s="4075"/>
      <c r="H8" s="4075"/>
      <c r="I8" s="4095"/>
      <c r="J8" s="4095"/>
      <c r="K8" s="4072" t="e">
        <f>S4&amp;".1"</f>
        <v>#N/A</v>
      </c>
      <c r="L8" s="1280"/>
      <c r="P8" s="4073"/>
      <c r="Q8" s="4073"/>
      <c r="R8" s="4130">
        <v>1</v>
      </c>
      <c r="S8" s="4124" t="e">
        <f>$K8</f>
        <v>#N/A</v>
      </c>
      <c r="T8" s="4142"/>
      <c r="U8" s="219"/>
      <c r="V8" s="668"/>
      <c r="W8" s="1176"/>
      <c r="X8" s="668"/>
      <c r="Y8" s="1176"/>
      <c r="Z8" s="1644"/>
      <c r="AA8" s="1372" t="s">
        <v>65</v>
      </c>
      <c r="AB8" s="1644"/>
      <c r="AC8" s="1372" t="s">
        <v>65</v>
      </c>
      <c r="AD8" s="4001" t="s">
        <v>65</v>
      </c>
      <c r="AE8" s="4110"/>
      <c r="AF8" s="4028">
        <v>1</v>
      </c>
      <c r="AG8" s="4146"/>
      <c r="AH8" s="3927" t="s">
        <v>65</v>
      </c>
      <c r="AI8" s="4110"/>
      <c r="AJ8" s="4028">
        <v>1</v>
      </c>
      <c r="AK8" s="4145" t="s">
        <v>24</v>
      </c>
      <c r="AL8" s="3927" t="s">
        <v>65</v>
      </c>
      <c r="AM8" s="4018"/>
      <c r="AN8" s="4028">
        <v>1</v>
      </c>
      <c r="AO8" s="4139"/>
      <c r="AP8" s="4140" t="s">
        <v>65</v>
      </c>
      <c r="AQ8" s="232"/>
      <c r="AR8" s="1375">
        <v>1</v>
      </c>
      <c r="AS8" s="1378" t="s">
        <v>24</v>
      </c>
      <c r="AT8" s="668"/>
      <c r="AU8" s="1176"/>
      <c r="AV8" s="668"/>
      <c r="AW8" s="1176"/>
      <c r="AX8" s="1644"/>
      <c r="AY8" s="1372" t="s">
        <v>65</v>
      </c>
      <c r="AZ8" s="1644"/>
      <c r="BA8" s="1372" t="s">
        <v>65</v>
      </c>
      <c r="BB8" s="1265"/>
      <c r="BC8" s="4069" t="s">
        <v>490</v>
      </c>
      <c r="BE8" s="426"/>
      <c r="BF8" s="426" t="str">
        <f t="shared" si="0"/>
        <v/>
      </c>
      <c r="BG8" s="426"/>
      <c r="BH8" s="426"/>
    </row>
    <row r="9" spans="1:60" ht="11.25" hidden="1" customHeight="1">
      <c r="A9" s="1279"/>
      <c r="B9" s="1279"/>
      <c r="C9" s="1279"/>
      <c r="D9" s="1279"/>
      <c r="E9" s="4075"/>
      <c r="F9" s="4075"/>
      <c r="G9" s="4075"/>
      <c r="H9" s="4075"/>
      <c r="I9" s="4095"/>
      <c r="J9" s="4095"/>
      <c r="K9" s="4072"/>
      <c r="L9" s="1280"/>
      <c r="P9" s="4073"/>
      <c r="Q9" s="4073"/>
      <c r="R9" s="4130"/>
      <c r="S9" s="4125"/>
      <c r="T9" s="4143"/>
      <c r="U9" s="219"/>
      <c r="V9" s="1309"/>
      <c r="W9" s="1406"/>
      <c r="X9" s="1309"/>
      <c r="Y9" s="1406"/>
      <c r="Z9" s="1309"/>
      <c r="AA9" s="1309"/>
      <c r="AB9" s="1309"/>
      <c r="AC9" s="1309"/>
      <c r="AD9" s="4002"/>
      <c r="AE9" s="4110"/>
      <c r="AF9" s="4028"/>
      <c r="AG9" s="4146"/>
      <c r="AH9" s="3927"/>
      <c r="AI9" s="4110"/>
      <c r="AJ9" s="4028"/>
      <c r="AK9" s="4145"/>
      <c r="AL9" s="3927"/>
      <c r="AM9" s="4023"/>
      <c r="AN9" s="4028"/>
      <c r="AO9" s="4139"/>
      <c r="AP9" s="4141"/>
      <c r="AQ9" s="239"/>
      <c r="AR9" s="350"/>
      <c r="AS9" s="350" t="s">
        <v>491</v>
      </c>
      <c r="AT9" s="1309"/>
      <c r="AU9" s="1406"/>
      <c r="AV9" s="1309"/>
      <c r="AW9" s="1406"/>
      <c r="AX9" s="1309"/>
      <c r="AY9" s="1309"/>
      <c r="AZ9" s="1309"/>
      <c r="BA9" s="1309"/>
      <c r="BB9" s="1313"/>
      <c r="BC9" s="4070"/>
      <c r="BE9" s="426"/>
      <c r="BF9" s="426"/>
      <c r="BG9" s="426"/>
      <c r="BH9" s="426"/>
    </row>
    <row r="10" spans="1:60" ht="11.25" hidden="1" customHeight="1">
      <c r="A10" s="1279"/>
      <c r="B10" s="1279"/>
      <c r="C10" s="1279"/>
      <c r="D10" s="1279"/>
      <c r="E10" s="4075"/>
      <c r="F10" s="4075"/>
      <c r="G10" s="4075"/>
      <c r="H10" s="4075"/>
      <c r="I10" s="4095"/>
      <c r="J10" s="4095"/>
      <c r="K10" s="4072"/>
      <c r="L10" s="1280"/>
      <c r="P10" s="4073"/>
      <c r="Q10" s="4073"/>
      <c r="R10" s="4130"/>
      <c r="S10" s="4125"/>
      <c r="T10" s="4143"/>
      <c r="U10" s="219"/>
      <c r="V10" s="1309"/>
      <c r="W10" s="1406"/>
      <c r="X10" s="1309"/>
      <c r="Y10" s="1406"/>
      <c r="Z10" s="1309"/>
      <c r="AA10" s="1309"/>
      <c r="AB10" s="1309"/>
      <c r="AC10" s="1309"/>
      <c r="AD10" s="4002"/>
      <c r="AE10" s="4110"/>
      <c r="AF10" s="4028"/>
      <c r="AG10" s="4146"/>
      <c r="AH10" s="3927"/>
      <c r="AI10" s="4110"/>
      <c r="AJ10" s="4028"/>
      <c r="AK10" s="4145"/>
      <c r="AL10" s="3927"/>
      <c r="AM10" s="239"/>
      <c r="AN10" s="1410"/>
      <c r="AO10" s="1410" t="s">
        <v>492</v>
      </c>
      <c r="AP10" s="350"/>
      <c r="AQ10" s="350"/>
      <c r="AR10" s="350"/>
      <c r="AS10" s="1309"/>
      <c r="AT10" s="1309"/>
      <c r="AU10" s="1406"/>
      <c r="AV10" s="1309"/>
      <c r="AW10" s="1406"/>
      <c r="AX10" s="1309"/>
      <c r="AY10" s="1309"/>
      <c r="AZ10" s="1309"/>
      <c r="BA10" s="1309"/>
      <c r="BB10" s="1313"/>
      <c r="BC10" s="4070"/>
      <c r="BE10" s="426"/>
      <c r="BF10" s="426"/>
      <c r="BG10" s="426"/>
      <c r="BH10" s="426"/>
    </row>
    <row r="11" spans="1:60" ht="11.25" hidden="1" customHeight="1">
      <c r="A11" s="1279"/>
      <c r="B11" s="1279"/>
      <c r="C11" s="1279"/>
      <c r="D11" s="1279"/>
      <c r="E11" s="4075"/>
      <c r="F11" s="4075"/>
      <c r="G11" s="4075"/>
      <c r="H11" s="4075"/>
      <c r="I11" s="4095"/>
      <c r="J11" s="4095"/>
      <c r="K11" s="4072"/>
      <c r="L11" s="1280"/>
      <c r="P11" s="4073"/>
      <c r="Q11" s="4073"/>
      <c r="R11" s="4130"/>
      <c r="S11" s="4125"/>
      <c r="T11" s="4143"/>
      <c r="U11" s="219"/>
      <c r="V11" s="1309"/>
      <c r="W11" s="1406"/>
      <c r="X11" s="1309"/>
      <c r="Y11" s="1406"/>
      <c r="Z11" s="1309"/>
      <c r="AA11" s="1309"/>
      <c r="AB11" s="1309"/>
      <c r="AC11" s="1309"/>
      <c r="AD11" s="4002"/>
      <c r="AE11" s="4110"/>
      <c r="AF11" s="4028"/>
      <c r="AG11" s="4146"/>
      <c r="AH11" s="3927"/>
      <c r="AI11" s="213"/>
      <c r="AJ11" s="349"/>
      <c r="AK11" s="234" t="s">
        <v>493</v>
      </c>
      <c r="AL11" s="1309"/>
      <c r="AM11" s="1309"/>
      <c r="AN11" s="1309"/>
      <c r="AO11" s="1309"/>
      <c r="AP11" s="1309"/>
      <c r="AQ11" s="1309"/>
      <c r="AR11" s="1309"/>
      <c r="AS11" s="1309"/>
      <c r="AT11" s="1309"/>
      <c r="AU11" s="1406"/>
      <c r="AV11" s="1309"/>
      <c r="AW11" s="1406"/>
      <c r="AX11" s="1309"/>
      <c r="AY11" s="1309"/>
      <c r="AZ11" s="1309"/>
      <c r="BA11" s="1309"/>
      <c r="BB11" s="1313"/>
      <c r="BC11" s="4070"/>
      <c r="BE11" s="426"/>
      <c r="BF11" s="426"/>
      <c r="BG11" s="426"/>
      <c r="BH11" s="426"/>
    </row>
    <row r="12" spans="1:60" ht="11.25" hidden="1" customHeight="1">
      <c r="A12" s="1279"/>
      <c r="B12" s="1279"/>
      <c r="C12" s="1279"/>
      <c r="D12" s="1279"/>
      <c r="E12" s="4075"/>
      <c r="F12" s="4075"/>
      <c r="G12" s="4075"/>
      <c r="H12" s="4075"/>
      <c r="I12" s="4095"/>
      <c r="J12" s="4095"/>
      <c r="K12" s="4072"/>
      <c r="L12" s="1280"/>
      <c r="P12" s="4073"/>
      <c r="Q12" s="4073"/>
      <c r="R12" s="4130"/>
      <c r="S12" s="4126"/>
      <c r="T12" s="4144"/>
      <c r="U12" s="219"/>
      <c r="V12" s="1309"/>
      <c r="W12" s="1310" t="str">
        <f>Z8&amp;"-"&amp;AB8</f>
        <v>-</v>
      </c>
      <c r="X12" s="1309"/>
      <c r="Y12" s="1310" t="str">
        <f>AB8&amp;"-"&amp;AD8</f>
        <v>-да</v>
      </c>
      <c r="Z12" s="1309"/>
      <c r="AA12" s="1309"/>
      <c r="AB12" s="1309"/>
      <c r="AC12" s="1309"/>
      <c r="AD12" s="3932"/>
      <c r="AE12" s="233"/>
      <c r="AF12" s="235"/>
      <c r="AG12" s="350" t="s">
        <v>494</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4070"/>
      <c r="BE12" s="426"/>
      <c r="BF12" s="426" t="str">
        <f t="shared" ref="BF12:BF18" si="1">IF(T12="","",T12)</f>
        <v/>
      </c>
      <c r="BG12" s="426"/>
      <c r="BH12" s="426"/>
    </row>
    <row r="13" spans="1:60" ht="11.25" hidden="1" customHeight="1">
      <c r="A13" s="1279"/>
      <c r="B13" s="1279"/>
      <c r="C13" s="1279"/>
      <c r="D13" s="1279"/>
      <c r="E13" s="4075"/>
      <c r="F13" s="4075"/>
      <c r="G13" s="4075"/>
      <c r="H13" s="4075"/>
      <c r="I13" s="4095"/>
      <c r="J13" s="4072"/>
      <c r="K13" s="1279"/>
      <c r="L13" s="1280"/>
      <c r="P13" s="4073"/>
      <c r="Q13" s="4073"/>
      <c r="R13" s="281"/>
      <c r="S13" s="1198"/>
      <c r="T13" s="206" t="s">
        <v>458</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4071"/>
      <c r="BE13" s="426"/>
      <c r="BF13" s="426" t="str">
        <f t="shared" si="1"/>
        <v>Добавить строку</v>
      </c>
      <c r="BG13" s="426"/>
      <c r="BH13" s="426"/>
    </row>
    <row r="14" spans="1:60" s="1821" customFormat="1" ht="14.25" hidden="1" customHeight="1">
      <c r="A14" s="1260"/>
      <c r="B14" s="1260"/>
      <c r="C14" s="1260"/>
      <c r="D14" s="1260"/>
      <c r="E14" s="4075"/>
      <c r="F14" s="4075"/>
      <c r="G14" s="4075"/>
      <c r="H14" s="4075"/>
      <c r="I14" s="4072"/>
      <c r="J14" s="1260"/>
      <c r="K14" s="1260"/>
      <c r="L14" s="1263"/>
      <c r="M14" s="436"/>
      <c r="N14" s="436"/>
      <c r="O14" s="436"/>
      <c r="P14" s="4073"/>
      <c r="Q14" s="1374"/>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21" customFormat="1" ht="14.25" hidden="1" customHeight="1">
      <c r="A15" s="1260"/>
      <c r="B15" s="1260"/>
      <c r="C15" s="1260"/>
      <c r="D15" s="1260"/>
      <c r="E15" s="4075"/>
      <c r="F15" s="4075"/>
      <c r="G15" s="4075"/>
      <c r="H15" s="4074"/>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2550" customFormat="1" ht="14.25" hidden="1" customHeight="1">
      <c r="A16" s="1260"/>
      <c r="B16" s="1260"/>
      <c r="C16" s="1260"/>
      <c r="D16" s="1232"/>
      <c r="E16" s="4075"/>
      <c r="F16" s="4075"/>
      <c r="G16" s="4074"/>
      <c r="H16" s="1232"/>
      <c r="I16" s="1232"/>
      <c r="J16" s="1232"/>
      <c r="K16" s="1232"/>
      <c r="L16" s="1376"/>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2550" customFormat="1" ht="14.25" hidden="1" customHeight="1">
      <c r="A17" s="1260"/>
      <c r="B17" s="1260"/>
      <c r="C17" s="1232"/>
      <c r="D17" s="1232"/>
      <c r="E17" s="4075"/>
      <c r="F17" s="4074"/>
      <c r="G17" s="1232"/>
      <c r="H17" s="1232"/>
      <c r="I17" s="1232"/>
      <c r="J17" s="1232"/>
      <c r="K17" s="1232"/>
      <c r="L17" s="1376"/>
      <c r="M17" s="1239"/>
      <c r="N17" s="1239"/>
      <c r="P17" s="1234"/>
      <c r="Q17" s="1235"/>
      <c r="R17" s="1234"/>
      <c r="S17" s="1240"/>
      <c r="T17" s="1243" t="s">
        <v>167</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21" customFormat="1" ht="14.25" hidden="1" customHeight="1">
      <c r="A18" s="1260"/>
      <c r="B18" s="1260"/>
      <c r="C18" s="1260"/>
      <c r="D18" s="1260"/>
      <c r="E18" s="4074"/>
      <c r="F18" s="1260"/>
      <c r="G18" s="1260"/>
      <c r="H18" s="1260"/>
      <c r="I18" s="1260"/>
      <c r="J18" s="1260"/>
      <c r="K18" s="1260"/>
      <c r="L18" s="1263"/>
      <c r="M18" s="1239"/>
      <c r="N18" s="1239"/>
      <c r="O18" s="444"/>
      <c r="P18" s="313"/>
      <c r="Q18" s="1261"/>
      <c r="R18" s="313"/>
      <c r="S18" s="1240"/>
      <c r="T18" s="1243" t="s">
        <v>168</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55</v>
      </c>
      <c r="AE20" s="1411"/>
      <c r="AF20" s="473">
        <v>1</v>
      </c>
      <c r="AG20" s="1412"/>
      <c r="AH20" s="1242" t="s">
        <v>55</v>
      </c>
      <c r="AI20" s="1411"/>
      <c r="AJ20" s="473">
        <v>1</v>
      </c>
      <c r="AK20" s="1412"/>
      <c r="AL20" s="1242" t="s">
        <v>55</v>
      </c>
      <c r="AM20" s="1413"/>
      <c r="AN20" s="473">
        <v>1</v>
      </c>
      <c r="AO20" s="1414"/>
      <c r="AP20" s="1242" t="s">
        <v>55</v>
      </c>
      <c r="AQ20" s="1413"/>
      <c r="AR20" s="473">
        <v>1</v>
      </c>
      <c r="AS20" s="1414"/>
      <c r="AT20" s="251"/>
      <c r="AU20" s="318"/>
      <c r="AV20" s="251"/>
      <c r="AW20" s="318"/>
      <c r="AX20" s="1646"/>
      <c r="AY20" s="1373" t="s">
        <v>65</v>
      </c>
      <c r="AZ20" s="1646"/>
      <c r="BA20" s="1373" t="s">
        <v>65</v>
      </c>
    </row>
    <row r="21" spans="1:60" ht="14.25" hidden="1" customHeight="1">
      <c r="BD21" s="422"/>
      <c r="BE21" s="422"/>
      <c r="BF21" s="422"/>
      <c r="BG21" s="422"/>
      <c r="BH21" s="422"/>
    </row>
    <row r="22" spans="1:60" ht="14.25" hidden="1" customHeight="1">
      <c r="O22" s="1283" t="s">
        <v>406</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3802" customFormat="1" ht="14.25" hidden="1" customHeight="1">
      <c r="M24" s="1418"/>
      <c r="N24" s="1418"/>
      <c r="O24" s="1419" t="s">
        <v>407</v>
      </c>
      <c r="P24" s="1418"/>
      <c r="Q24" s="1420"/>
      <c r="R24" s="1420"/>
      <c r="AA24" s="1417" t="s">
        <v>409</v>
      </c>
      <c r="AC24" s="1417" t="s">
        <v>410</v>
      </c>
      <c r="AD24" s="1417" t="s">
        <v>459</v>
      </c>
      <c r="AH24" s="1417" t="s">
        <v>459</v>
      </c>
      <c r="AK24" s="1417" t="s">
        <v>495</v>
      </c>
      <c r="AL24" s="1417" t="s">
        <v>459</v>
      </c>
      <c r="AP24" s="1417" t="s">
        <v>459</v>
      </c>
      <c r="AY24" s="1417" t="s">
        <v>409</v>
      </c>
      <c r="BA24" s="1417" t="s">
        <v>410</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405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4058"/>
      <c r="U28" s="4058"/>
      <c r="V28" s="4058"/>
      <c r="W28" s="4058"/>
      <c r="X28" s="4058"/>
      <c r="Y28" s="4058"/>
      <c r="Z28" s="4058"/>
      <c r="AA28" s="4058"/>
      <c r="AB28" s="4058"/>
      <c r="AC28" s="4058"/>
      <c r="AD28" s="4058"/>
      <c r="AE28" s="4058"/>
      <c r="AF28" s="4058"/>
      <c r="AG28" s="4058"/>
      <c r="AH28" s="4058"/>
      <c r="AI28" s="4058"/>
      <c r="AJ28" s="4058"/>
      <c r="AK28" s="4058"/>
      <c r="AL28" s="4058"/>
      <c r="AM28" s="4058"/>
      <c r="AN28" s="4058"/>
      <c r="AO28" s="4058"/>
      <c r="AP28" s="4058"/>
      <c r="AQ28" s="4058"/>
      <c r="AR28" s="4058"/>
      <c r="AS28" s="4058"/>
      <c r="AT28" s="4058"/>
      <c r="AU28" s="4058"/>
      <c r="AV28" s="4058"/>
      <c r="AW28" s="4058"/>
      <c r="AX28" s="4058"/>
      <c r="AY28" s="4058"/>
      <c r="AZ28" s="4058"/>
      <c r="BA28" s="1152"/>
    </row>
    <row r="29" spans="1:60" ht="14.25" customHeight="1">
      <c r="Q29" s="210"/>
      <c r="R29" s="305"/>
      <c r="S29" s="4004" t="str">
        <f>IF(org=0,"Не определено",org)</f>
        <v>ООО «РИР-Сахалин»</v>
      </c>
      <c r="T29" s="4004"/>
      <c r="U29" s="4004"/>
      <c r="V29" s="4004"/>
      <c r="W29" s="4004"/>
      <c r="X29" s="4004"/>
      <c r="Y29" s="4004"/>
      <c r="Z29" s="4004"/>
      <c r="AA29" s="4004"/>
      <c r="AB29" s="4004"/>
      <c r="AC29" s="4004"/>
      <c r="AD29" s="4004"/>
      <c r="AE29" s="4004"/>
      <c r="AF29" s="4004"/>
      <c r="AG29" s="4004"/>
      <c r="AH29" s="4004"/>
      <c r="AI29" s="4004"/>
      <c r="AJ29" s="4004"/>
      <c r="AK29" s="4004"/>
      <c r="AL29" s="4004"/>
      <c r="AM29" s="4004"/>
      <c r="AN29" s="4004"/>
      <c r="AO29" s="4004"/>
      <c r="AP29" s="4004"/>
      <c r="AQ29" s="4004"/>
      <c r="AR29" s="4004"/>
      <c r="AS29" s="4004"/>
      <c r="AT29" s="4004"/>
      <c r="AU29" s="4004"/>
      <c r="AV29" s="4004"/>
      <c r="AW29" s="4004"/>
      <c r="AX29" s="4004"/>
      <c r="AY29" s="4004"/>
      <c r="AZ29" s="4004"/>
      <c r="BA29" s="1152"/>
    </row>
    <row r="30" spans="1:60" ht="14.25" hidden="1"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2564" customFormat="1" ht="25.5" hidden="1" customHeight="1">
      <c r="A31" s="1284"/>
      <c r="B31" s="1284"/>
      <c r="C31" s="1284"/>
      <c r="D31" s="1284"/>
      <c r="E31" s="1284"/>
      <c r="F31" s="1284"/>
      <c r="G31" s="1284"/>
      <c r="H31" s="1284"/>
      <c r="I31" s="1284"/>
      <c r="J31" s="1284"/>
      <c r="K31" s="1284"/>
      <c r="L31" s="1285"/>
      <c r="M31" s="1284"/>
      <c r="N31" s="1284"/>
      <c r="O31" s="1284"/>
      <c r="P31" s="1284"/>
      <c r="Q31" s="1284"/>
      <c r="S31" s="4066" t="s">
        <v>38</v>
      </c>
      <c r="T31" s="4066"/>
      <c r="U31" s="1288"/>
      <c r="V31" s="4067" t="str">
        <f>IF(TITLE_NAME_OR_PR_CHANGE="",IF(TITLE_NAME_OR_PR="","",TITLE_NAME_OR_PR),TITLE_NAME_OR_PR_CHANGE)</f>
        <v/>
      </c>
      <c r="W31" s="4067"/>
      <c r="X31" s="4067"/>
      <c r="Y31" s="4067"/>
      <c r="Z31" s="4067"/>
      <c r="AA31" s="4067"/>
      <c r="AB31" s="4067"/>
      <c r="AC31" s="253"/>
      <c r="AD31" s="4067" t="str">
        <f>IF(TITLE_NAME_OR_PR_CHANGE="",IF(TITLE_NAME_OR_PR="","",TITLE_NAME_OR_PR),TITLE_NAME_OR_PR_CHANGE)</f>
        <v/>
      </c>
      <c r="AE31" s="4067"/>
      <c r="AF31" s="4067"/>
      <c r="AG31" s="4067"/>
      <c r="AH31" s="4067"/>
      <c r="AI31" s="4067"/>
      <c r="AJ31" s="4067"/>
      <c r="AK31" s="4067"/>
      <c r="AL31" s="4067"/>
      <c r="AM31" s="4067"/>
      <c r="AN31" s="4067"/>
      <c r="AO31" s="4067"/>
      <c r="AP31" s="4067"/>
      <c r="AQ31" s="4067"/>
      <c r="AR31" s="4067"/>
      <c r="AS31" s="4067"/>
      <c r="AT31" s="4067"/>
      <c r="AU31" s="4067"/>
      <c r="AV31" s="4067"/>
      <c r="AW31" s="4067"/>
      <c r="AX31" s="4067"/>
      <c r="AY31" s="4067"/>
      <c r="AZ31" s="4067"/>
      <c r="BA31" s="253"/>
      <c r="BB31" s="253"/>
      <c r="BC31" s="200"/>
      <c r="BD31" s="296"/>
      <c r="BE31" s="296"/>
      <c r="BF31" s="296"/>
      <c r="BG31" s="296"/>
      <c r="BH31" s="296"/>
    </row>
    <row r="32" spans="1:60" s="2564" customFormat="1" ht="18.75" hidden="1" customHeight="1">
      <c r="A32" s="1284"/>
      <c r="B32" s="1284"/>
      <c r="C32" s="1284"/>
      <c r="D32" s="1284"/>
      <c r="E32" s="1284"/>
      <c r="F32" s="1284"/>
      <c r="G32" s="1284"/>
      <c r="H32" s="1284"/>
      <c r="I32" s="1284"/>
      <c r="J32" s="1284"/>
      <c r="K32" s="1284"/>
      <c r="L32" s="1285"/>
      <c r="M32" s="1284"/>
      <c r="N32" s="1284"/>
      <c r="O32" s="1284"/>
      <c r="P32" s="1284"/>
      <c r="Q32" s="1284"/>
      <c r="S32" s="4066" t="s">
        <v>412</v>
      </c>
      <c r="T32" s="4066"/>
      <c r="U32" s="1288"/>
      <c r="V32" s="4076">
        <f>IF(TITLE_DATE_PR_CHANGE="",IF(TITLE_DATE_PR="","",TITLE_DATE_PR),TITLE_DATE_PR_CHANGE)</f>
        <v>45289.465104166666</v>
      </c>
      <c r="W32" s="4076"/>
      <c r="X32" s="4076"/>
      <c r="Y32" s="4076"/>
      <c r="Z32" s="4076"/>
      <c r="AA32" s="4076"/>
      <c r="AB32" s="4076"/>
      <c r="AC32" s="253"/>
      <c r="AD32" s="4076">
        <f>IF(TITLE_DATE_PR_CHANGE="",IF(TITLE_DATE_PR="","",TITLE_DATE_PR),TITLE_DATE_PR_CHANGE)</f>
        <v>45289.465104166666</v>
      </c>
      <c r="AE32" s="4076"/>
      <c r="AF32" s="4076"/>
      <c r="AG32" s="4076"/>
      <c r="AH32" s="4076"/>
      <c r="AI32" s="4076"/>
      <c r="AJ32" s="4076"/>
      <c r="AK32" s="4076"/>
      <c r="AL32" s="4076"/>
      <c r="AM32" s="4076"/>
      <c r="AN32" s="4076"/>
      <c r="AO32" s="4076"/>
      <c r="AP32" s="4076"/>
      <c r="AQ32" s="4076"/>
      <c r="AR32" s="4076"/>
      <c r="AS32" s="4076"/>
      <c r="AT32" s="4076"/>
      <c r="AU32" s="4076"/>
      <c r="AV32" s="4076"/>
      <c r="AW32" s="4076"/>
      <c r="AX32" s="4076"/>
      <c r="AY32" s="4076"/>
      <c r="AZ32" s="4076"/>
      <c r="BA32" s="253"/>
      <c r="BB32" s="253"/>
      <c r="BC32" s="200"/>
      <c r="BD32" s="296"/>
      <c r="BE32" s="296"/>
      <c r="BF32" s="296"/>
      <c r="BG32" s="296"/>
      <c r="BH32" s="296"/>
    </row>
    <row r="33" spans="1:60" s="2564" customFormat="1" ht="18.75" hidden="1" customHeight="1">
      <c r="A33" s="1284"/>
      <c r="B33" s="1284"/>
      <c r="C33" s="1284"/>
      <c r="D33" s="1284"/>
      <c r="E33" s="1284"/>
      <c r="F33" s="1284"/>
      <c r="G33" s="1284"/>
      <c r="H33" s="1284"/>
      <c r="I33" s="1284"/>
      <c r="J33" s="1284"/>
      <c r="K33" s="1284"/>
      <c r="L33" s="1285"/>
      <c r="M33" s="1284"/>
      <c r="N33" s="1284"/>
      <c r="O33" s="1284"/>
      <c r="P33" s="1284"/>
      <c r="Q33" s="1284"/>
      <c r="S33" s="4066" t="s">
        <v>413</v>
      </c>
      <c r="T33" s="4066"/>
      <c r="U33" s="1288"/>
      <c r="V33" s="4067" t="str">
        <f>IF(TITLE_NUMBER_PR_CHANGE="",IF(TITLE_NUMBER_PR="","",TITLE_NUMBER_PR),TITLE_NUMBER_PR_CHANGE)</f>
        <v>761-1/201-1</v>
      </c>
      <c r="W33" s="4067"/>
      <c r="X33" s="4067"/>
      <c r="Y33" s="4067"/>
      <c r="Z33" s="4067"/>
      <c r="AA33" s="4067"/>
      <c r="AB33" s="4067"/>
      <c r="AC33" s="253"/>
      <c r="AD33" s="4067" t="str">
        <f>IF(TITLE_NUMBER_PR_CHANGE="",IF(TITLE_NUMBER_PR="","",TITLE_NUMBER_PR),TITLE_NUMBER_PR_CHANGE)</f>
        <v>761-1/201-1</v>
      </c>
      <c r="AE33" s="4067"/>
      <c r="AF33" s="4067"/>
      <c r="AG33" s="4067"/>
      <c r="AH33" s="4067"/>
      <c r="AI33" s="4067"/>
      <c r="AJ33" s="4067"/>
      <c r="AK33" s="4067"/>
      <c r="AL33" s="4067"/>
      <c r="AM33" s="4067"/>
      <c r="AN33" s="4067"/>
      <c r="AO33" s="4067"/>
      <c r="AP33" s="4067"/>
      <c r="AQ33" s="4067"/>
      <c r="AR33" s="4067"/>
      <c r="AS33" s="4067"/>
      <c r="AT33" s="4067"/>
      <c r="AU33" s="4067"/>
      <c r="AV33" s="4067"/>
      <c r="AW33" s="4067"/>
      <c r="AX33" s="4067"/>
      <c r="AY33" s="4067"/>
      <c r="AZ33" s="4067"/>
      <c r="BA33" s="253"/>
      <c r="BB33" s="253"/>
      <c r="BC33" s="200"/>
      <c r="BD33" s="296"/>
      <c r="BE33" s="296"/>
      <c r="BF33" s="296"/>
      <c r="BG33" s="296"/>
      <c r="BH33" s="296"/>
    </row>
    <row r="34" spans="1:60" s="2564" customFormat="1" ht="18.75" hidden="1" customHeight="1">
      <c r="A34" s="1284"/>
      <c r="B34" s="1284"/>
      <c r="C34" s="1284"/>
      <c r="D34" s="1284"/>
      <c r="E34" s="1284"/>
      <c r="F34" s="1284"/>
      <c r="G34" s="1284"/>
      <c r="H34" s="1284"/>
      <c r="I34" s="1284"/>
      <c r="J34" s="1284"/>
      <c r="K34" s="1284"/>
      <c r="L34" s="1285"/>
      <c r="M34" s="1284"/>
      <c r="N34" s="1284"/>
      <c r="O34" s="1284"/>
      <c r="P34" s="1284"/>
      <c r="Q34" s="1284"/>
      <c r="S34" s="4066" t="s">
        <v>39</v>
      </c>
      <c r="T34" s="4066"/>
      <c r="U34" s="1288"/>
      <c r="V34" s="4067" t="str">
        <f>IF(TITLE_IST_PUB_CHANGE="",IF(TITLE_IST_PUB="","",TITLE_IST_PUB),TITLE_IST_PUB_CHANGE)</f>
        <v/>
      </c>
      <c r="W34" s="4067"/>
      <c r="X34" s="4067"/>
      <c r="Y34" s="4067"/>
      <c r="Z34" s="4067"/>
      <c r="AA34" s="4067"/>
      <c r="AB34" s="4067"/>
      <c r="AC34" s="253"/>
      <c r="AD34" s="4067" t="str">
        <f>IF(TITLE_IST_PUB_CHANGE="",IF(TITLE_IST_PUB="","",TITLE_IST_PUB),TITLE_IST_PUB_CHANGE)</f>
        <v/>
      </c>
      <c r="AE34" s="4067"/>
      <c r="AF34" s="4067"/>
      <c r="AG34" s="4067"/>
      <c r="AH34" s="4067"/>
      <c r="AI34" s="4067"/>
      <c r="AJ34" s="4067"/>
      <c r="AK34" s="4067"/>
      <c r="AL34" s="4067"/>
      <c r="AM34" s="4067"/>
      <c r="AN34" s="4067"/>
      <c r="AO34" s="4067"/>
      <c r="AP34" s="4067"/>
      <c r="AQ34" s="4067"/>
      <c r="AR34" s="4067"/>
      <c r="AS34" s="4067"/>
      <c r="AT34" s="4067"/>
      <c r="AU34" s="4067"/>
      <c r="AV34" s="4067"/>
      <c r="AW34" s="4067"/>
      <c r="AX34" s="4067"/>
      <c r="AY34" s="4067"/>
      <c r="AZ34" s="4067"/>
      <c r="BA34" s="253"/>
      <c r="BB34" s="253"/>
      <c r="BC34" s="200"/>
      <c r="BD34" s="296"/>
      <c r="BE34" s="296"/>
      <c r="BF34" s="296"/>
      <c r="BG34" s="296"/>
      <c r="BH34" s="296"/>
    </row>
    <row r="35" spans="1:60" ht="14.25"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2564" customFormat="1" ht="18.75" customHeight="1">
      <c r="A36" s="1284"/>
      <c r="B36" s="1284"/>
      <c r="C36" s="1284"/>
      <c r="D36" s="1284"/>
      <c r="E36" s="1284"/>
      <c r="F36" s="1284"/>
      <c r="G36" s="1284"/>
      <c r="H36" s="1284"/>
      <c r="I36" s="1284"/>
      <c r="J36" s="1284"/>
      <c r="K36" s="1284"/>
      <c r="L36" s="1285"/>
      <c r="M36" s="1284"/>
      <c r="N36" s="1284"/>
      <c r="O36" s="1284"/>
      <c r="P36" s="1284"/>
      <c r="Q36" s="1284"/>
      <c r="S36" s="4066" t="s">
        <v>412</v>
      </c>
      <c r="T36" s="4066"/>
      <c r="U36" s="1288"/>
      <c r="V36" s="4076">
        <f>IF(TITLE_DATE_PR_CHANGE="",IF(TITLE_DATE_PR="","",TITLE_DATE_PR),TITLE_DATE_PR_CHANGE)</f>
        <v>45289.465104166666</v>
      </c>
      <c r="W36" s="4076"/>
      <c r="X36" s="4076"/>
      <c r="Y36" s="4076"/>
      <c r="Z36" s="4076"/>
      <c r="AA36" s="4076"/>
      <c r="AB36" s="4076"/>
      <c r="AC36" s="253"/>
      <c r="AD36" s="4076">
        <f>IF(TITLE_DATE_PR_CHANGE="",IF(TITLE_DATE_PR="","",TITLE_DATE_PR),TITLE_DATE_PR_CHANGE)</f>
        <v>45289.465104166666</v>
      </c>
      <c r="AE36" s="4076"/>
      <c r="AF36" s="4076"/>
      <c r="AG36" s="4076"/>
      <c r="AH36" s="4076"/>
      <c r="AI36" s="4076"/>
      <c r="AJ36" s="4076"/>
      <c r="AK36" s="4076"/>
      <c r="AL36" s="4076"/>
      <c r="AM36" s="4076"/>
      <c r="AN36" s="4076"/>
      <c r="AO36" s="4076"/>
      <c r="AP36" s="4076"/>
      <c r="AQ36" s="4076"/>
      <c r="AR36" s="4076"/>
      <c r="AS36" s="4076"/>
      <c r="AT36" s="4076"/>
      <c r="AU36" s="4076"/>
      <c r="AV36" s="4076"/>
      <c r="AW36" s="4076"/>
      <c r="AX36" s="4076"/>
      <c r="AY36" s="4076"/>
      <c r="AZ36" s="4076"/>
      <c r="BA36" s="253"/>
      <c r="BB36" s="253"/>
      <c r="BC36" s="200"/>
      <c r="BD36" s="296"/>
      <c r="BE36" s="296"/>
      <c r="BF36" s="296"/>
      <c r="BG36" s="296"/>
      <c r="BH36" s="296"/>
    </row>
    <row r="37" spans="1:60" s="2564" customFormat="1" ht="18.75" customHeight="1">
      <c r="A37" s="1284"/>
      <c r="B37" s="1284"/>
      <c r="C37" s="1284"/>
      <c r="D37" s="1284"/>
      <c r="E37" s="1284"/>
      <c r="F37" s="1284"/>
      <c r="G37" s="1284"/>
      <c r="H37" s="1284"/>
      <c r="I37" s="1284"/>
      <c r="J37" s="1284"/>
      <c r="K37" s="1284"/>
      <c r="L37" s="1285"/>
      <c r="M37" s="1284"/>
      <c r="N37" s="1284"/>
      <c r="O37" s="1284"/>
      <c r="P37" s="1284"/>
      <c r="Q37" s="1284"/>
      <c r="S37" s="4066" t="s">
        <v>413</v>
      </c>
      <c r="T37" s="4066"/>
      <c r="U37" s="1288"/>
      <c r="V37" s="4067" t="str">
        <f>IF(TITLE_NUMBER_PR_CHANGE="",IF(TITLE_NUMBER_PR="","",TITLE_NUMBER_PR),TITLE_NUMBER_PR_CHANGE)</f>
        <v>761-1/201-1</v>
      </c>
      <c r="W37" s="4067"/>
      <c r="X37" s="4067"/>
      <c r="Y37" s="4067"/>
      <c r="Z37" s="4067"/>
      <c r="AA37" s="4067"/>
      <c r="AB37" s="4067"/>
      <c r="AC37" s="253"/>
      <c r="AD37" s="4067" t="str">
        <f>IF(TITLE_NUMBER_PR_CHANGE="",IF(TITLE_NUMBER_PR="","",TITLE_NUMBER_PR),TITLE_NUMBER_PR_CHANGE)</f>
        <v>761-1/201-1</v>
      </c>
      <c r="AE37" s="4067"/>
      <c r="AF37" s="4067"/>
      <c r="AG37" s="4067"/>
      <c r="AH37" s="4067"/>
      <c r="AI37" s="4067"/>
      <c r="AJ37" s="4067"/>
      <c r="AK37" s="4067"/>
      <c r="AL37" s="4067"/>
      <c r="AM37" s="4067"/>
      <c r="AN37" s="4067"/>
      <c r="AO37" s="4067"/>
      <c r="AP37" s="4067"/>
      <c r="AQ37" s="4067"/>
      <c r="AR37" s="4067"/>
      <c r="AS37" s="4067"/>
      <c r="AT37" s="4067"/>
      <c r="AU37" s="4067"/>
      <c r="AV37" s="4067"/>
      <c r="AW37" s="4067"/>
      <c r="AX37" s="4067"/>
      <c r="AY37" s="4067"/>
      <c r="AZ37" s="4067"/>
      <c r="BA37" s="253"/>
      <c r="BB37" s="253"/>
      <c r="BC37" s="200"/>
      <c r="BD37" s="296"/>
      <c r="BE37" s="296"/>
      <c r="BF37" s="296"/>
      <c r="BG37" s="296"/>
      <c r="BH37" s="296"/>
    </row>
    <row r="38" spans="1:60" s="2564"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67"/>
      <c r="V38" s="253"/>
      <c r="W38" s="253"/>
      <c r="X38" s="253"/>
      <c r="Y38" s="253"/>
      <c r="Z38" s="253"/>
      <c r="AA38" s="253"/>
      <c r="AB38" s="253"/>
      <c r="AC38" s="198" t="s">
        <v>416</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416</v>
      </c>
      <c r="BD38" s="296"/>
      <c r="BE38" s="296"/>
      <c r="BF38" s="296"/>
      <c r="BG38" s="296"/>
      <c r="BH38" s="296"/>
    </row>
    <row r="39" spans="1:60" ht="14.25" customHeight="1">
      <c r="Q39" s="210"/>
      <c r="R39" s="305"/>
      <c r="S39" s="1195"/>
      <c r="T39" s="290"/>
      <c r="U39" s="1153"/>
      <c r="V39" s="4068"/>
      <c r="W39" s="4068"/>
      <c r="X39" s="4068"/>
      <c r="Y39" s="4068"/>
      <c r="Z39" s="4068"/>
      <c r="AA39" s="4068"/>
      <c r="AB39" s="4068"/>
      <c r="AC39" s="4068"/>
      <c r="AD39" s="4068"/>
      <c r="AE39" s="4068"/>
      <c r="AF39" s="4068"/>
      <c r="AG39" s="4068"/>
      <c r="AH39" s="4068"/>
      <c r="AI39" s="4068"/>
      <c r="AJ39" s="4068"/>
      <c r="AK39" s="4068"/>
      <c r="AL39" s="4068"/>
      <c r="AM39" s="4068"/>
      <c r="AN39" s="4068"/>
      <c r="AO39" s="4068"/>
      <c r="AP39" s="4068"/>
      <c r="AQ39" s="4068"/>
      <c r="AR39" s="4068"/>
      <c r="AS39" s="4068"/>
      <c r="AT39" s="4068"/>
      <c r="AU39" s="4068"/>
      <c r="AV39" s="4068"/>
      <c r="AW39" s="4068"/>
      <c r="AX39" s="4068"/>
      <c r="AY39" s="4068"/>
      <c r="AZ39" s="4068"/>
      <c r="BA39" s="4068"/>
    </row>
    <row r="40" spans="1:60" ht="14.25" customHeight="1">
      <c r="Q40" s="210"/>
      <c r="R40" s="305"/>
      <c r="S40" s="3946" t="s">
        <v>290</v>
      </c>
      <c r="T40" s="3946"/>
      <c r="U40" s="3946"/>
      <c r="V40" s="3946"/>
      <c r="W40" s="3946"/>
      <c r="X40" s="3946"/>
      <c r="Y40" s="3946"/>
      <c r="Z40" s="3946"/>
      <c r="AA40" s="3946"/>
      <c r="AB40" s="3946"/>
      <c r="AC40" s="3946"/>
      <c r="AD40" s="3946"/>
      <c r="AE40" s="3946"/>
      <c r="AF40" s="3946"/>
      <c r="AG40" s="3946"/>
      <c r="AH40" s="3946"/>
      <c r="AI40" s="3946"/>
      <c r="AJ40" s="3946"/>
      <c r="AK40" s="3946"/>
      <c r="AL40" s="3946"/>
      <c r="AM40" s="3946"/>
      <c r="AN40" s="3946"/>
      <c r="AO40" s="3946"/>
      <c r="AP40" s="3946"/>
      <c r="AQ40" s="3946"/>
      <c r="AR40" s="3946"/>
      <c r="AS40" s="3946"/>
      <c r="AT40" s="3946"/>
      <c r="AU40" s="3946"/>
      <c r="AV40" s="3946"/>
      <c r="AW40" s="3946"/>
      <c r="AX40" s="3946"/>
      <c r="AY40" s="3946"/>
      <c r="AZ40" s="3946"/>
      <c r="BA40" s="3946"/>
      <c r="BB40" s="3946"/>
      <c r="BC40" s="3946" t="s">
        <v>291</v>
      </c>
    </row>
    <row r="41" spans="1:60" ht="14.25" customHeight="1">
      <c r="Q41" s="210"/>
      <c r="R41" s="305"/>
      <c r="S41" s="4082" t="s">
        <v>86</v>
      </c>
      <c r="T41" s="4033" t="s">
        <v>496</v>
      </c>
      <c r="U41" s="220"/>
      <c r="V41" s="4083" t="s">
        <v>419</v>
      </c>
      <c r="W41" s="4084"/>
      <c r="X41" s="4084"/>
      <c r="Y41" s="4084"/>
      <c r="Z41" s="4084"/>
      <c r="AA41" s="4084"/>
      <c r="AB41" s="4085"/>
      <c r="AC41" s="4086" t="s">
        <v>420</v>
      </c>
      <c r="AD41" s="4112" t="s">
        <v>497</v>
      </c>
      <c r="AE41" s="4098"/>
      <c r="AF41" s="4098"/>
      <c r="AG41" s="4113"/>
      <c r="AH41" s="4112" t="s">
        <v>498</v>
      </c>
      <c r="AI41" s="4098"/>
      <c r="AJ41" s="4098"/>
      <c r="AK41" s="4113"/>
      <c r="AL41" s="4112" t="s">
        <v>499</v>
      </c>
      <c r="AM41" s="4098"/>
      <c r="AN41" s="4098"/>
      <c r="AO41" s="4113"/>
      <c r="AP41" s="4112" t="s">
        <v>500</v>
      </c>
      <c r="AQ41" s="4098"/>
      <c r="AR41" s="4098"/>
      <c r="AS41" s="4113"/>
      <c r="AT41" s="4083" t="s">
        <v>419</v>
      </c>
      <c r="AU41" s="4084"/>
      <c r="AV41" s="4084"/>
      <c r="AW41" s="4084"/>
      <c r="AX41" s="4084"/>
      <c r="AY41" s="4084"/>
      <c r="AZ41" s="4085"/>
      <c r="BA41" s="4086" t="s">
        <v>420</v>
      </c>
      <c r="BB41" s="4089" t="s">
        <v>422</v>
      </c>
      <c r="BC41" s="3946"/>
    </row>
    <row r="42" spans="1:60" ht="33.75" customHeight="1">
      <c r="Q42" s="210"/>
      <c r="R42" s="305"/>
      <c r="S42" s="4082"/>
      <c r="T42" s="4033"/>
      <c r="U42" s="938"/>
      <c r="V42" s="4018" t="s">
        <v>501</v>
      </c>
      <c r="W42" s="4019"/>
      <c r="X42" s="4018" t="s">
        <v>502</v>
      </c>
      <c r="Y42" s="4019"/>
      <c r="Z42" s="4018" t="s">
        <v>503</v>
      </c>
      <c r="AA42" s="4107"/>
      <c r="AB42" s="4019"/>
      <c r="AC42" s="4087"/>
      <c r="AD42" s="4114"/>
      <c r="AE42" s="4115"/>
      <c r="AF42" s="4115"/>
      <c r="AG42" s="4116"/>
      <c r="AH42" s="4114"/>
      <c r="AI42" s="4115"/>
      <c r="AJ42" s="4115"/>
      <c r="AK42" s="4116"/>
      <c r="AL42" s="4114"/>
      <c r="AM42" s="4115"/>
      <c r="AN42" s="4115"/>
      <c r="AO42" s="4116"/>
      <c r="AP42" s="4114"/>
      <c r="AQ42" s="4115"/>
      <c r="AR42" s="4115"/>
      <c r="AS42" s="4116"/>
      <c r="AT42" s="4018" t="s">
        <v>501</v>
      </c>
      <c r="AU42" s="4019"/>
      <c r="AV42" s="4018" t="s">
        <v>502</v>
      </c>
      <c r="AW42" s="4019"/>
      <c r="AX42" s="4018" t="s">
        <v>503</v>
      </c>
      <c r="AY42" s="4107"/>
      <c r="AZ42" s="4019"/>
      <c r="BA42" s="4087"/>
      <c r="BB42" s="4090"/>
      <c r="BC42" s="3946"/>
    </row>
    <row r="43" spans="1:60" ht="14.25" customHeight="1">
      <c r="Q43" s="210"/>
      <c r="R43" s="305"/>
      <c r="S43" s="4082"/>
      <c r="T43" s="4033"/>
      <c r="U43" s="938"/>
      <c r="V43" s="4023"/>
      <c r="W43" s="4024"/>
      <c r="X43" s="4023"/>
      <c r="Y43" s="4024"/>
      <c r="Z43" s="4023"/>
      <c r="AA43" s="4108"/>
      <c r="AB43" s="4024"/>
      <c r="AC43" s="4087"/>
      <c r="AD43" s="4114"/>
      <c r="AE43" s="4115"/>
      <c r="AF43" s="4115"/>
      <c r="AG43" s="4116"/>
      <c r="AH43" s="4114"/>
      <c r="AI43" s="4115"/>
      <c r="AJ43" s="4115"/>
      <c r="AK43" s="4116"/>
      <c r="AL43" s="4114"/>
      <c r="AM43" s="4115"/>
      <c r="AN43" s="4115"/>
      <c r="AO43" s="4116"/>
      <c r="AP43" s="4114"/>
      <c r="AQ43" s="4115"/>
      <c r="AR43" s="4115"/>
      <c r="AS43" s="4116"/>
      <c r="AT43" s="4023"/>
      <c r="AU43" s="4024"/>
      <c r="AV43" s="4023"/>
      <c r="AW43" s="4024"/>
      <c r="AX43" s="4023"/>
      <c r="AY43" s="4108"/>
      <c r="AZ43" s="4024"/>
      <c r="BA43" s="4087"/>
      <c r="BB43" s="4090"/>
      <c r="BC43" s="3946"/>
    </row>
    <row r="44" spans="1:60" ht="14.25" customHeight="1">
      <c r="A44" s="1286"/>
      <c r="B44" s="1286" t="s">
        <v>133</v>
      </c>
      <c r="C44" s="1286" t="s">
        <v>134</v>
      </c>
      <c r="D44" s="1286" t="s">
        <v>135</v>
      </c>
      <c r="E44" s="1280" t="s">
        <v>427</v>
      </c>
      <c r="F44" s="1280" t="s">
        <v>428</v>
      </c>
      <c r="G44" s="1280" t="s">
        <v>429</v>
      </c>
      <c r="H44" s="1280" t="s">
        <v>430</v>
      </c>
      <c r="I44" s="1280" t="s">
        <v>431</v>
      </c>
      <c r="J44" s="1280" t="s">
        <v>432</v>
      </c>
      <c r="K44" s="1280" t="s">
        <v>433</v>
      </c>
      <c r="L44" s="1280" t="s">
        <v>407</v>
      </c>
      <c r="Q44" s="210"/>
      <c r="R44" s="305"/>
      <c r="S44" s="4082"/>
      <c r="T44" s="4033"/>
      <c r="U44" s="221"/>
      <c r="V44" s="1361" t="s">
        <v>469</v>
      </c>
      <c r="W44" s="1361" t="s">
        <v>470</v>
      </c>
      <c r="X44" s="1361" t="s">
        <v>469</v>
      </c>
      <c r="Y44" s="1361" t="s">
        <v>470</v>
      </c>
      <c r="Z44" s="1368" t="s">
        <v>436</v>
      </c>
      <c r="AA44" s="4042" t="s">
        <v>437</v>
      </c>
      <c r="AB44" s="4044"/>
      <c r="AC44" s="4088"/>
      <c r="AD44" s="4117"/>
      <c r="AE44" s="4118"/>
      <c r="AF44" s="4118"/>
      <c r="AG44" s="4119"/>
      <c r="AH44" s="4117"/>
      <c r="AI44" s="4118"/>
      <c r="AJ44" s="4118"/>
      <c r="AK44" s="4119"/>
      <c r="AL44" s="4117"/>
      <c r="AM44" s="4118"/>
      <c r="AN44" s="4118"/>
      <c r="AO44" s="4119"/>
      <c r="AP44" s="4117"/>
      <c r="AQ44" s="4118"/>
      <c r="AR44" s="4118"/>
      <c r="AS44" s="4119"/>
      <c r="AT44" s="1361" t="s">
        <v>469</v>
      </c>
      <c r="AU44" s="1361" t="s">
        <v>470</v>
      </c>
      <c r="AV44" s="1361" t="s">
        <v>469</v>
      </c>
      <c r="AW44" s="1361" t="s">
        <v>470</v>
      </c>
      <c r="AX44" s="1368" t="s">
        <v>436</v>
      </c>
      <c r="AY44" s="4042" t="s">
        <v>437</v>
      </c>
      <c r="AZ44" s="4044"/>
      <c r="BA44" s="4088"/>
      <c r="BB44" s="4091"/>
      <c r="BC44" s="3946"/>
    </row>
    <row r="45" spans="1:60" s="1820"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107</v>
      </c>
      <c r="T45" s="1172" t="s">
        <v>108</v>
      </c>
      <c r="U45" s="1154" t="str">
        <f ca="1">OFFSET(U45,0,-1)</f>
        <v>2</v>
      </c>
      <c r="V45" s="1364">
        <f t="shared" ref="V45:AA45" ca="1" si="2">OFFSET(V45,0,-1)+1</f>
        <v>3</v>
      </c>
      <c r="W45" s="1364">
        <f t="shared" ca="1" si="2"/>
        <v>4</v>
      </c>
      <c r="X45" s="1364">
        <f t="shared" ca="1" si="2"/>
        <v>5</v>
      </c>
      <c r="Y45" s="1364">
        <f t="shared" ca="1" si="2"/>
        <v>6</v>
      </c>
      <c r="Z45" s="1364">
        <f t="shared" ca="1" si="2"/>
        <v>7</v>
      </c>
      <c r="AA45" s="4081">
        <f t="shared" ca="1" si="2"/>
        <v>8</v>
      </c>
      <c r="AB45" s="4081"/>
      <c r="AC45" s="1364">
        <f ca="1">OFFSET(AC45,0,-2)+1</f>
        <v>9</v>
      </c>
      <c r="AD45" s="1364">
        <f ca="1">OFFSET(AD45,0,-1)+1</f>
        <v>10</v>
      </c>
      <c r="AE45" s="1364"/>
      <c r="AF45" s="1364"/>
      <c r="AG45" s="1364"/>
      <c r="AH45" s="1364"/>
      <c r="AI45" s="1364"/>
      <c r="AJ45" s="1364"/>
      <c r="AK45" s="1364"/>
      <c r="AL45" s="1364"/>
      <c r="AM45" s="1364"/>
      <c r="AN45" s="1364"/>
      <c r="AO45" s="1364"/>
      <c r="AP45" s="1364"/>
      <c r="AQ45" s="1364"/>
      <c r="AR45" s="1364"/>
      <c r="AS45" s="1364"/>
      <c r="AT45" s="1364"/>
      <c r="AU45" s="1364"/>
      <c r="AV45" s="1364"/>
      <c r="AW45" s="1364">
        <f ca="1">OFFSET(AW45,0,-1)+1</f>
        <v>1</v>
      </c>
      <c r="AX45" s="1364">
        <f ca="1">OFFSET(AX45,0,-1)+1</f>
        <v>2</v>
      </c>
      <c r="AY45" s="4081">
        <f ca="1">OFFSET(AY45,0,-1)+1</f>
        <v>3</v>
      </c>
      <c r="AZ45" s="4081"/>
      <c r="BA45" s="1364">
        <f ca="1">OFFSET(BA45,0,-2)+1</f>
        <v>4</v>
      </c>
      <c r="BB45" s="1154">
        <f ca="1">OFFSET(BB45,0,-1)</f>
        <v>4</v>
      </c>
      <c r="BC45" s="1364">
        <f ca="1">OFFSET(BC45,0,-1)+1</f>
        <v>5</v>
      </c>
      <c r="BD45" s="437"/>
      <c r="BE45" s="437"/>
      <c r="BF45" s="437"/>
      <c r="BG45" s="437"/>
      <c r="BH45" s="437"/>
    </row>
    <row r="46" spans="1:60" ht="21" customHeight="1">
      <c r="A46" s="1279" t="s">
        <v>236</v>
      </c>
      <c r="B46" s="1279"/>
      <c r="C46" s="1279"/>
      <c r="D46" s="1279"/>
      <c r="E46" s="4074">
        <v>1</v>
      </c>
      <c r="F46" s="1279"/>
      <c r="G46" s="1279"/>
      <c r="H46" s="1279"/>
      <c r="I46" s="1279"/>
      <c r="J46" s="1279"/>
      <c r="K46" s="1279"/>
      <c r="L46" s="1280"/>
      <c r="M46" s="1281"/>
      <c r="N46" s="1281"/>
      <c r="O46" s="1281"/>
      <c r="P46" s="1325"/>
      <c r="Q46" s="786"/>
      <c r="R46" s="280"/>
      <c r="S46" s="1370">
        <f>INDEX(PT_DIFFERENTIATION_NUM_NTAR,MATCH(A46,PT_DIFFERENTIATION_NTAR_ID,0))</f>
        <v>0</v>
      </c>
      <c r="T46" s="217" t="s">
        <v>121</v>
      </c>
      <c r="U46" s="219"/>
      <c r="V46" s="4061"/>
      <c r="W46" s="4061"/>
      <c r="X46" s="4061"/>
      <c r="Y46" s="4061"/>
      <c r="Z46" s="4061"/>
      <c r="AA46" s="4061"/>
      <c r="AB46" s="4061"/>
      <c r="AC46" s="4062"/>
      <c r="AD46" s="4060" t="str">
        <f>INDEX(PT_DIFFERENTIATION_NTAR,MATCH(A46,PT_DIFFERENTIATION_NTAR_ID,0))</f>
        <v/>
      </c>
      <c r="AE46" s="4061"/>
      <c r="AF46" s="4061"/>
      <c r="AG46" s="4061"/>
      <c r="AH46" s="4061"/>
      <c r="AI46" s="4061"/>
      <c r="AJ46" s="4061"/>
      <c r="AK46" s="4061"/>
      <c r="AL46" s="4061"/>
      <c r="AM46" s="4061"/>
      <c r="AN46" s="4061"/>
      <c r="AO46" s="4061"/>
      <c r="AP46" s="4061"/>
      <c r="AQ46" s="4061"/>
      <c r="AR46" s="4061"/>
      <c r="AS46" s="4061"/>
      <c r="AT46" s="4061"/>
      <c r="AU46" s="4061"/>
      <c r="AV46" s="4061"/>
      <c r="AW46" s="4061"/>
      <c r="AX46" s="4061"/>
      <c r="AY46" s="4061"/>
      <c r="AZ46" s="4061"/>
      <c r="BA46" s="4061"/>
      <c r="BB46" s="4062"/>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236</v>
      </c>
      <c r="B47" s="1279" t="s">
        <v>237</v>
      </c>
      <c r="C47" s="1279"/>
      <c r="D47" s="1279"/>
      <c r="E47" s="4075"/>
      <c r="F47" s="4074">
        <v>1</v>
      </c>
      <c r="G47" s="1279"/>
      <c r="H47" s="1279"/>
      <c r="I47" s="1279"/>
      <c r="J47" s="1279"/>
      <c r="K47" s="1279"/>
      <c r="L47" s="1280"/>
      <c r="M47" s="1281"/>
      <c r="N47" s="1281"/>
      <c r="O47" s="1281"/>
      <c r="P47" s="1326"/>
      <c r="Q47" s="1327"/>
      <c r="R47" s="278"/>
      <c r="S47" s="1370" t="str">
        <f>INDEX(PT_DIFFERENTIATION_NUM_TER,MATCH(B47,PT_DIFFERENTIATION_TER_ID,0))</f>
        <v>.</v>
      </c>
      <c r="T47" s="229" t="s">
        <v>389</v>
      </c>
      <c r="U47" s="219"/>
      <c r="V47" s="4061"/>
      <c r="W47" s="4061"/>
      <c r="X47" s="4061"/>
      <c r="Y47" s="4061"/>
      <c r="Z47" s="4061"/>
      <c r="AA47" s="4061"/>
      <c r="AB47" s="4061"/>
      <c r="AC47" s="4062"/>
      <c r="AD47" s="4060" t="str">
        <f>INDEX(PT_DIFFERENTIATION_TER,MATCH(B47,PT_DIFFERENTIATION_TER_ID,0))</f>
        <v/>
      </c>
      <c r="AE47" s="4061"/>
      <c r="AF47" s="4061"/>
      <c r="AG47" s="4061"/>
      <c r="AH47" s="4061"/>
      <c r="AI47" s="4061"/>
      <c r="AJ47" s="4061"/>
      <c r="AK47" s="4061"/>
      <c r="AL47" s="4061"/>
      <c r="AM47" s="4061"/>
      <c r="AN47" s="4061"/>
      <c r="AO47" s="4061"/>
      <c r="AP47" s="4061"/>
      <c r="AQ47" s="4061"/>
      <c r="AR47" s="4061"/>
      <c r="AS47" s="4061"/>
      <c r="AT47" s="4061"/>
      <c r="AU47" s="4061"/>
      <c r="AV47" s="4061"/>
      <c r="AW47" s="4061"/>
      <c r="AX47" s="4061"/>
      <c r="AY47" s="4061"/>
      <c r="AZ47" s="4061"/>
      <c r="BA47" s="4061"/>
      <c r="BB47" s="4062"/>
      <c r="BC47" s="1177" t="s">
        <v>390</v>
      </c>
      <c r="BE47" s="426"/>
      <c r="BF47" s="426" t="str">
        <f t="shared" si="3"/>
        <v>Территория действия тарифа</v>
      </c>
      <c r="BG47" s="426"/>
      <c r="BH47" s="426"/>
    </row>
    <row r="48" spans="1:60" ht="42" customHeight="1">
      <c r="A48" s="1279" t="s">
        <v>236</v>
      </c>
      <c r="B48" s="1279" t="s">
        <v>237</v>
      </c>
      <c r="C48" s="1279" t="s">
        <v>238</v>
      </c>
      <c r="D48" s="1279"/>
      <c r="E48" s="4075"/>
      <c r="F48" s="4075"/>
      <c r="G48" s="4074">
        <v>1</v>
      </c>
      <c r="H48" s="1279"/>
      <c r="I48" s="1279"/>
      <c r="J48" s="1279"/>
      <c r="K48" s="1279"/>
      <c r="L48" s="1280"/>
      <c r="M48" s="1281"/>
      <c r="N48" s="1281"/>
      <c r="O48" s="1281"/>
      <c r="P48" s="1328"/>
      <c r="Q48" s="1327"/>
      <c r="R48" s="278"/>
      <c r="S48" s="1370" t="str">
        <f>INDEX(PT_DIFFERENTIATION_NUM_CS,MATCH(C48,PT_DIFFERENTIATION_CS_ID,0))</f>
        <v>..</v>
      </c>
      <c r="T48" s="230" t="s">
        <v>472</v>
      </c>
      <c r="U48" s="219"/>
      <c r="V48" s="4061"/>
      <c r="W48" s="4061"/>
      <c r="X48" s="4061"/>
      <c r="Y48" s="4061"/>
      <c r="Z48" s="4061"/>
      <c r="AA48" s="4061"/>
      <c r="AB48" s="4061"/>
      <c r="AC48" s="4062"/>
      <c r="AD48" s="4060" t="str">
        <f>INDEX(PT_DIFFERENTIATION_CS,MATCH(C48,PT_DIFFERENTIATION_CS_ID,0))</f>
        <v/>
      </c>
      <c r="AE48" s="4061"/>
      <c r="AF48" s="4061"/>
      <c r="AG48" s="4061"/>
      <c r="AH48" s="4061"/>
      <c r="AI48" s="4061"/>
      <c r="AJ48" s="4061"/>
      <c r="AK48" s="4061"/>
      <c r="AL48" s="4061"/>
      <c r="AM48" s="4061"/>
      <c r="AN48" s="4061"/>
      <c r="AO48" s="4061"/>
      <c r="AP48" s="4061"/>
      <c r="AQ48" s="4061"/>
      <c r="AR48" s="4061"/>
      <c r="AS48" s="4061"/>
      <c r="AT48" s="4061"/>
      <c r="AU48" s="4061"/>
      <c r="AV48" s="4061"/>
      <c r="AW48" s="4061"/>
      <c r="AX48" s="4061"/>
      <c r="AY48" s="4061"/>
      <c r="AZ48" s="4061"/>
      <c r="BA48" s="4061"/>
      <c r="BB48" s="4062"/>
      <c r="BC48" s="1177" t="s">
        <v>473</v>
      </c>
      <c r="BE48" s="426"/>
      <c r="BF48" s="426" t="str">
        <f t="shared" si="3"/>
        <v>Наименование централизованной системы холодного водоснабжения</v>
      </c>
      <c r="BG48" s="426"/>
      <c r="BH48" s="426"/>
    </row>
    <row r="49" spans="1:60" s="1821" customFormat="1" ht="0" hidden="1" customHeight="1">
      <c r="A49" s="1260" t="s">
        <v>236</v>
      </c>
      <c r="B49" s="1260" t="s">
        <v>237</v>
      </c>
      <c r="C49" s="1260" t="s">
        <v>238</v>
      </c>
      <c r="D49" s="1260" t="s">
        <v>504</v>
      </c>
      <c r="E49" s="4075"/>
      <c r="F49" s="4075"/>
      <c r="G49" s="4075"/>
      <c r="H49" s="4074">
        <v>1</v>
      </c>
      <c r="I49" s="1260"/>
      <c r="J49" s="1260"/>
      <c r="K49" s="1260"/>
      <c r="L49" s="1263"/>
      <c r="M49" s="1233"/>
      <c r="N49" s="1233"/>
      <c r="O49" s="1233"/>
      <c r="P49" s="1407"/>
      <c r="Q49" s="1408"/>
      <c r="R49" s="282"/>
      <c r="S49" s="949"/>
      <c r="T49" s="1409"/>
      <c r="U49" s="1300"/>
      <c r="V49" s="4102"/>
      <c r="W49" s="4102"/>
      <c r="X49" s="4102"/>
      <c r="Y49" s="4102"/>
      <c r="Z49" s="4102"/>
      <c r="AA49" s="4102"/>
      <c r="AB49" s="4102"/>
      <c r="AC49" s="4103"/>
      <c r="AD49" s="4101"/>
      <c r="AE49" s="4102"/>
      <c r="AF49" s="4102"/>
      <c r="AG49" s="4102"/>
      <c r="AH49" s="4102"/>
      <c r="AI49" s="4102"/>
      <c r="AJ49" s="4102"/>
      <c r="AK49" s="4102"/>
      <c r="AL49" s="4102"/>
      <c r="AM49" s="4102"/>
      <c r="AN49" s="4102"/>
      <c r="AO49" s="4102"/>
      <c r="AP49" s="4102"/>
      <c r="AQ49" s="4102"/>
      <c r="AR49" s="4102"/>
      <c r="AS49" s="4102"/>
      <c r="AT49" s="4102"/>
      <c r="AU49" s="4102"/>
      <c r="AV49" s="4102"/>
      <c r="AW49" s="4102"/>
      <c r="AX49" s="4102"/>
      <c r="AY49" s="4102"/>
      <c r="AZ49" s="4102"/>
      <c r="BA49" s="4102"/>
      <c r="BB49" s="4103"/>
      <c r="BC49" s="1301" t="s">
        <v>394</v>
      </c>
      <c r="BE49" s="426"/>
      <c r="BF49" s="426" t="str">
        <f t="shared" si="3"/>
        <v/>
      </c>
      <c r="BG49" s="426"/>
      <c r="BH49" s="426"/>
    </row>
    <row r="50" spans="1:60" s="1821" customFormat="1" ht="0" hidden="1" customHeight="1">
      <c r="A50" s="1260" t="s">
        <v>236</v>
      </c>
      <c r="B50" s="1260" t="s">
        <v>237</v>
      </c>
      <c r="C50" s="1260" t="s">
        <v>238</v>
      </c>
      <c r="D50" s="1260" t="s">
        <v>504</v>
      </c>
      <c r="E50" s="4075"/>
      <c r="F50" s="4075"/>
      <c r="G50" s="4075"/>
      <c r="H50" s="4075"/>
      <c r="I50" s="4072" t="str">
        <f>S49&amp;".1"</f>
        <v>.1</v>
      </c>
      <c r="J50" s="1260"/>
      <c r="K50" s="1260"/>
      <c r="L50" s="1263" t="s">
        <v>395</v>
      </c>
      <c r="M50" s="436"/>
      <c r="N50" s="436"/>
      <c r="O50" s="436"/>
      <c r="P50" s="4073">
        <v>1</v>
      </c>
      <c r="Q50" s="1374"/>
      <c r="R50" s="281"/>
      <c r="S50" s="949"/>
      <c r="T50" s="1299"/>
      <c r="U50" s="1300"/>
      <c r="V50" s="4102"/>
      <c r="W50" s="4102"/>
      <c r="X50" s="4102"/>
      <c r="Y50" s="4102"/>
      <c r="Z50" s="4102"/>
      <c r="AA50" s="4102"/>
      <c r="AB50" s="4102"/>
      <c r="AC50" s="4103"/>
      <c r="AD50" s="4101"/>
      <c r="AE50" s="4102"/>
      <c r="AF50" s="4102"/>
      <c r="AG50" s="4102"/>
      <c r="AH50" s="4102"/>
      <c r="AI50" s="4102"/>
      <c r="AJ50" s="4102"/>
      <c r="AK50" s="4102"/>
      <c r="AL50" s="4102"/>
      <c r="AM50" s="4102"/>
      <c r="AN50" s="4102"/>
      <c r="AO50" s="4102"/>
      <c r="AP50" s="4102"/>
      <c r="AQ50" s="4102"/>
      <c r="AR50" s="4102"/>
      <c r="AS50" s="4102"/>
      <c r="AT50" s="4102"/>
      <c r="AU50" s="4102"/>
      <c r="AV50" s="4102"/>
      <c r="AW50" s="4102"/>
      <c r="AX50" s="4102"/>
      <c r="AY50" s="4102"/>
      <c r="AZ50" s="4102"/>
      <c r="BA50" s="4102"/>
      <c r="BB50" s="4103"/>
      <c r="BC50" s="1301"/>
      <c r="BE50" s="426"/>
      <c r="BF50" s="426" t="str">
        <f t="shared" si="3"/>
        <v/>
      </c>
      <c r="BG50" s="426"/>
      <c r="BH50" s="426"/>
    </row>
    <row r="51" spans="1:60" s="1821" customFormat="1" ht="0" hidden="1" customHeight="1">
      <c r="A51" s="1260" t="s">
        <v>236</v>
      </c>
      <c r="B51" s="1260" t="s">
        <v>237</v>
      </c>
      <c r="C51" s="1260" t="s">
        <v>238</v>
      </c>
      <c r="D51" s="1260" t="s">
        <v>504</v>
      </c>
      <c r="E51" s="4075"/>
      <c r="F51" s="4075"/>
      <c r="G51" s="4075"/>
      <c r="H51" s="4075"/>
      <c r="I51" s="4095"/>
      <c r="J51" s="4072" t="str">
        <f>S49&amp;".1"</f>
        <v>.1</v>
      </c>
      <c r="K51" s="1260"/>
      <c r="L51" s="1263"/>
      <c r="M51" s="436"/>
      <c r="N51" s="436"/>
      <c r="O51" s="436"/>
      <c r="P51" s="4073"/>
      <c r="Q51" s="4073">
        <v>1</v>
      </c>
      <c r="R51" s="282"/>
      <c r="S51" s="949"/>
      <c r="T51" s="1315"/>
      <c r="U51" s="1300"/>
      <c r="V51" s="4102"/>
      <c r="W51" s="4102"/>
      <c r="X51" s="4102"/>
      <c r="Y51" s="4102"/>
      <c r="Z51" s="4102"/>
      <c r="AA51" s="4102"/>
      <c r="AB51" s="4102"/>
      <c r="AC51" s="4103"/>
      <c r="AD51" s="4101"/>
      <c r="AE51" s="4102"/>
      <c r="AF51" s="4102"/>
      <c r="AG51" s="4102"/>
      <c r="AH51" s="4102"/>
      <c r="AI51" s="4102"/>
      <c r="AJ51" s="4102"/>
      <c r="AK51" s="4102"/>
      <c r="AL51" s="4102"/>
      <c r="AM51" s="4102"/>
      <c r="AN51" s="4147"/>
      <c r="AO51" s="4147"/>
      <c r="AP51" s="4102"/>
      <c r="AQ51" s="4102"/>
      <c r="AR51" s="4102"/>
      <c r="AS51" s="4102"/>
      <c r="AT51" s="4102"/>
      <c r="AU51" s="4102"/>
      <c r="AV51" s="4102"/>
      <c r="AW51" s="4102"/>
      <c r="AX51" s="4102"/>
      <c r="AY51" s="4102"/>
      <c r="AZ51" s="4102"/>
      <c r="BA51" s="4102"/>
      <c r="BB51" s="4103"/>
      <c r="BC51" s="1301"/>
      <c r="BE51" s="426"/>
      <c r="BF51" s="426" t="str">
        <f t="shared" si="3"/>
        <v/>
      </c>
      <c r="BG51" s="426"/>
      <c r="BH51" s="426"/>
    </row>
    <row r="52" spans="1:60" ht="11.25" customHeight="1">
      <c r="A52" s="1279" t="s">
        <v>236</v>
      </c>
      <c r="B52" s="1279" t="s">
        <v>237</v>
      </c>
      <c r="C52" s="1279" t="s">
        <v>238</v>
      </c>
      <c r="D52" s="1279" t="s">
        <v>504</v>
      </c>
      <c r="E52" s="4075"/>
      <c r="F52" s="4075"/>
      <c r="G52" s="4075"/>
      <c r="H52" s="4075"/>
      <c r="I52" s="4095"/>
      <c r="J52" s="4095"/>
      <c r="K52" s="4072" t="str">
        <f>S48&amp;".1"</f>
        <v>...1</v>
      </c>
      <c r="L52" s="1280"/>
      <c r="P52" s="4073"/>
      <c r="Q52" s="4073"/>
      <c r="R52" s="282">
        <v>1</v>
      </c>
      <c r="S52" s="4124" t="str">
        <f>$K52</f>
        <v>...1</v>
      </c>
      <c r="T52" s="4142"/>
      <c r="U52" s="219"/>
      <c r="V52" s="668"/>
      <c r="W52" s="1176"/>
      <c r="X52" s="668"/>
      <c r="Y52" s="1176"/>
      <c r="Z52" s="1644"/>
      <c r="AA52" s="1372" t="s">
        <v>65</v>
      </c>
      <c r="AB52" s="1644"/>
      <c r="AC52" s="1372" t="s">
        <v>65</v>
      </c>
      <c r="AD52" s="4001" t="s">
        <v>65</v>
      </c>
      <c r="AE52" s="4110"/>
      <c r="AF52" s="4028">
        <v>1</v>
      </c>
      <c r="AG52" s="4146"/>
      <c r="AH52" s="3927" t="s">
        <v>65</v>
      </c>
      <c r="AI52" s="4110"/>
      <c r="AJ52" s="4028">
        <v>1</v>
      </c>
      <c r="AK52" s="4145" t="s">
        <v>24</v>
      </c>
      <c r="AL52" s="3927" t="s">
        <v>65</v>
      </c>
      <c r="AM52" s="4018"/>
      <c r="AN52" s="4028">
        <v>1</v>
      </c>
      <c r="AO52" s="4139"/>
      <c r="AP52" s="4140" t="s">
        <v>65</v>
      </c>
      <c r="AQ52" s="232"/>
      <c r="AR52" s="1375">
        <v>1</v>
      </c>
      <c r="AS52" s="1378" t="s">
        <v>24</v>
      </c>
      <c r="AT52" s="668"/>
      <c r="AU52" s="1176"/>
      <c r="AV52" s="668"/>
      <c r="AW52" s="1176"/>
      <c r="AX52" s="1644"/>
      <c r="AY52" s="1372" t="s">
        <v>65</v>
      </c>
      <c r="AZ52" s="1644"/>
      <c r="BA52" s="1372" t="s">
        <v>65</v>
      </c>
      <c r="BB52" s="1265"/>
      <c r="BC52" s="4069" t="s">
        <v>490</v>
      </c>
      <c r="BE52" s="426"/>
      <c r="BF52" s="426" t="str">
        <f t="shared" si="3"/>
        <v/>
      </c>
      <c r="BG52" s="426"/>
      <c r="BH52" s="426"/>
    </row>
    <row r="53" spans="1:60" ht="11.25" customHeight="1">
      <c r="A53" s="1279"/>
      <c r="B53" s="1279"/>
      <c r="C53" s="1279"/>
      <c r="D53" s="1279"/>
      <c r="E53" s="4075"/>
      <c r="F53" s="4075"/>
      <c r="G53" s="4075"/>
      <c r="H53" s="4075"/>
      <c r="I53" s="4095"/>
      <c r="J53" s="4095"/>
      <c r="K53" s="4072"/>
      <c r="L53" s="1280"/>
      <c r="P53" s="4073"/>
      <c r="Q53" s="4073"/>
      <c r="R53" s="282"/>
      <c r="S53" s="4125"/>
      <c r="T53" s="4143"/>
      <c r="U53" s="219"/>
      <c r="V53" s="1309"/>
      <c r="W53" s="1406"/>
      <c r="X53" s="1309"/>
      <c r="Y53" s="1406"/>
      <c r="Z53" s="1309"/>
      <c r="AA53" s="1309"/>
      <c r="AB53" s="1309"/>
      <c r="AC53" s="1309"/>
      <c r="AD53" s="4002"/>
      <c r="AE53" s="4110"/>
      <c r="AF53" s="4028"/>
      <c r="AG53" s="4146"/>
      <c r="AH53" s="3927"/>
      <c r="AI53" s="4110"/>
      <c r="AJ53" s="4028"/>
      <c r="AK53" s="4145"/>
      <c r="AL53" s="3927"/>
      <c r="AM53" s="4023"/>
      <c r="AN53" s="4028"/>
      <c r="AO53" s="4139"/>
      <c r="AP53" s="4141"/>
      <c r="AQ53" s="239"/>
      <c r="AR53" s="350"/>
      <c r="AS53" s="350" t="s">
        <v>491</v>
      </c>
      <c r="AT53" s="1309"/>
      <c r="AU53" s="1406"/>
      <c r="AV53" s="1309"/>
      <c r="AW53" s="1406"/>
      <c r="AX53" s="1309"/>
      <c r="AY53" s="1309"/>
      <c r="AZ53" s="1309"/>
      <c r="BA53" s="1309"/>
      <c r="BB53" s="1313"/>
      <c r="BC53" s="4070"/>
      <c r="BE53" s="426"/>
      <c r="BF53" s="426"/>
      <c r="BG53" s="426"/>
      <c r="BH53" s="426"/>
    </row>
    <row r="54" spans="1:60" ht="11.25" customHeight="1">
      <c r="A54" s="1279" t="s">
        <v>236</v>
      </c>
      <c r="B54" s="1279"/>
      <c r="C54" s="1279"/>
      <c r="D54" s="1279"/>
      <c r="E54" s="4075"/>
      <c r="F54" s="4075"/>
      <c r="G54" s="4075"/>
      <c r="H54" s="4075"/>
      <c r="I54" s="4095"/>
      <c r="J54" s="4095"/>
      <c r="K54" s="4072"/>
      <c r="L54" s="1280"/>
      <c r="P54" s="4073"/>
      <c r="Q54" s="4073"/>
      <c r="R54" s="282"/>
      <c r="S54" s="4125"/>
      <c r="T54" s="4143"/>
      <c r="U54" s="219"/>
      <c r="V54" s="1309"/>
      <c r="W54" s="1406"/>
      <c r="X54" s="1309"/>
      <c r="Y54" s="1406"/>
      <c r="Z54" s="1309"/>
      <c r="AA54" s="1309"/>
      <c r="AB54" s="1309"/>
      <c r="AC54" s="1309"/>
      <c r="AD54" s="4002"/>
      <c r="AE54" s="4110"/>
      <c r="AF54" s="4028"/>
      <c r="AG54" s="4146"/>
      <c r="AH54" s="3927"/>
      <c r="AI54" s="4110"/>
      <c r="AJ54" s="4028"/>
      <c r="AK54" s="4145"/>
      <c r="AL54" s="3927"/>
      <c r="AM54" s="239"/>
      <c r="AN54" s="1410"/>
      <c r="AO54" s="1410" t="s">
        <v>492</v>
      </c>
      <c r="AP54" s="350"/>
      <c r="AQ54" s="350"/>
      <c r="AR54" s="350"/>
      <c r="AS54" s="1309"/>
      <c r="AT54" s="1309"/>
      <c r="AU54" s="1406"/>
      <c r="AV54" s="1309"/>
      <c r="AW54" s="1406"/>
      <c r="AX54" s="1309"/>
      <c r="AY54" s="1309"/>
      <c r="AZ54" s="1309"/>
      <c r="BA54" s="1309"/>
      <c r="BB54" s="1313"/>
      <c r="BC54" s="4070"/>
      <c r="BE54" s="426"/>
      <c r="BF54" s="426"/>
      <c r="BG54" s="426"/>
      <c r="BH54" s="426"/>
    </row>
    <row r="55" spans="1:60" ht="11.25" customHeight="1">
      <c r="A55" s="1279" t="s">
        <v>236</v>
      </c>
      <c r="B55" s="1279"/>
      <c r="C55" s="1279"/>
      <c r="D55" s="1279"/>
      <c r="E55" s="4075"/>
      <c r="F55" s="4075"/>
      <c r="G55" s="4075"/>
      <c r="H55" s="4075"/>
      <c r="I55" s="4095"/>
      <c r="J55" s="4095"/>
      <c r="K55" s="4072"/>
      <c r="L55" s="1280"/>
      <c r="P55" s="4073"/>
      <c r="Q55" s="4073"/>
      <c r="R55" s="282"/>
      <c r="S55" s="4125"/>
      <c r="T55" s="4143"/>
      <c r="U55" s="219"/>
      <c r="V55" s="1309"/>
      <c r="W55" s="1406"/>
      <c r="X55" s="1309"/>
      <c r="Y55" s="1406"/>
      <c r="Z55" s="1309"/>
      <c r="AA55" s="1309"/>
      <c r="AB55" s="1309"/>
      <c r="AC55" s="1309"/>
      <c r="AD55" s="4002"/>
      <c r="AE55" s="4110"/>
      <c r="AF55" s="4028"/>
      <c r="AG55" s="4146"/>
      <c r="AH55" s="3927"/>
      <c r="AI55" s="213"/>
      <c r="AJ55" s="349"/>
      <c r="AK55" s="234" t="s">
        <v>493</v>
      </c>
      <c r="AL55" s="1309"/>
      <c r="AM55" s="1309"/>
      <c r="AN55" s="1309"/>
      <c r="AO55" s="1309"/>
      <c r="AP55" s="1309"/>
      <c r="AQ55" s="1309"/>
      <c r="AR55" s="1309"/>
      <c r="AS55" s="1309"/>
      <c r="AT55" s="1309"/>
      <c r="AU55" s="1406"/>
      <c r="AV55" s="1309"/>
      <c r="AW55" s="1406"/>
      <c r="AX55" s="1309"/>
      <c r="AY55" s="1309"/>
      <c r="AZ55" s="1309"/>
      <c r="BA55" s="1309"/>
      <c r="BB55" s="1313"/>
      <c r="BC55" s="4070"/>
      <c r="BE55" s="426"/>
      <c r="BF55" s="426"/>
      <c r="BG55" s="426"/>
      <c r="BH55" s="426"/>
    </row>
    <row r="56" spans="1:60" ht="11.25" customHeight="1">
      <c r="A56" s="1279" t="s">
        <v>236</v>
      </c>
      <c r="B56" s="1279" t="s">
        <v>237</v>
      </c>
      <c r="C56" s="1279" t="s">
        <v>238</v>
      </c>
      <c r="D56" s="1279" t="s">
        <v>504</v>
      </c>
      <c r="E56" s="4075"/>
      <c r="F56" s="4075"/>
      <c r="G56" s="4075"/>
      <c r="H56" s="4075"/>
      <c r="I56" s="4095"/>
      <c r="J56" s="4095"/>
      <c r="K56" s="4072"/>
      <c r="L56" s="1280"/>
      <c r="P56" s="4073"/>
      <c r="Q56" s="4073"/>
      <c r="R56" s="282"/>
      <c r="S56" s="4126"/>
      <c r="T56" s="4144"/>
      <c r="U56" s="219"/>
      <c r="V56" s="1309"/>
      <c r="W56" s="1310" t="str">
        <f>Z52&amp;"-"&amp;AB52</f>
        <v>-</v>
      </c>
      <c r="X56" s="1309"/>
      <c r="Y56" s="1310" t="str">
        <f>AB52&amp;"-"&amp;AD52</f>
        <v>-да</v>
      </c>
      <c r="Z56" s="1309"/>
      <c r="AA56" s="1309"/>
      <c r="AB56" s="1309"/>
      <c r="AC56" s="1309"/>
      <c r="AD56" s="3932"/>
      <c r="AE56" s="233"/>
      <c r="AF56" s="235"/>
      <c r="AG56" s="350" t="s">
        <v>494</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4070"/>
      <c r="BE56" s="426"/>
      <c r="BF56" s="426" t="str">
        <f t="shared" ref="BF56:BF63" si="4">IF(T56="","",T56)</f>
        <v/>
      </c>
      <c r="BG56" s="426"/>
      <c r="BH56" s="426"/>
    </row>
    <row r="57" spans="1:60" ht="11.25" customHeight="1">
      <c r="A57" s="1279" t="s">
        <v>236</v>
      </c>
      <c r="B57" s="1279" t="s">
        <v>237</v>
      </c>
      <c r="C57" s="1279" t="s">
        <v>238</v>
      </c>
      <c r="D57" s="1279" t="s">
        <v>504</v>
      </c>
      <c r="E57" s="4075"/>
      <c r="F57" s="4075"/>
      <c r="G57" s="4075"/>
      <c r="H57" s="4075"/>
      <c r="I57" s="4095"/>
      <c r="J57" s="4072"/>
      <c r="K57" s="1279"/>
      <c r="L57" s="1280"/>
      <c r="P57" s="4073"/>
      <c r="Q57" s="4073"/>
      <c r="R57" s="281"/>
      <c r="S57" s="1198"/>
      <c r="T57" s="206" t="s">
        <v>458</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4071"/>
      <c r="BE57" s="426"/>
      <c r="BF57" s="426" t="str">
        <f t="shared" si="4"/>
        <v>Добавить строку</v>
      </c>
      <c r="BG57" s="426"/>
      <c r="BH57" s="426"/>
    </row>
    <row r="58" spans="1:60" s="1821" customFormat="1" ht="0" hidden="1" customHeight="1">
      <c r="A58" s="1260" t="s">
        <v>236</v>
      </c>
      <c r="B58" s="1260" t="s">
        <v>237</v>
      </c>
      <c r="C58" s="1260" t="s">
        <v>238</v>
      </c>
      <c r="D58" s="1260" t="s">
        <v>504</v>
      </c>
      <c r="E58" s="4075"/>
      <c r="F58" s="4075"/>
      <c r="G58" s="4075"/>
      <c r="H58" s="4075"/>
      <c r="I58" s="4072"/>
      <c r="J58" s="1260"/>
      <c r="K58" s="1260"/>
      <c r="L58" s="1263"/>
      <c r="M58" s="436"/>
      <c r="N58" s="436"/>
      <c r="O58" s="436"/>
      <c r="P58" s="4073"/>
      <c r="Q58" s="1374"/>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21" customFormat="1" ht="0" hidden="1" customHeight="1">
      <c r="A59" s="1260" t="s">
        <v>236</v>
      </c>
      <c r="B59" s="1260" t="s">
        <v>237</v>
      </c>
      <c r="C59" s="1260" t="s">
        <v>238</v>
      </c>
      <c r="D59" s="1260" t="s">
        <v>504</v>
      </c>
      <c r="E59" s="4075"/>
      <c r="F59" s="4075"/>
      <c r="G59" s="4075"/>
      <c r="H59" s="4074"/>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2550" customFormat="1" ht="0" hidden="1" customHeight="1">
      <c r="A60" s="1260" t="s">
        <v>236</v>
      </c>
      <c r="B60" s="1260" t="s">
        <v>237</v>
      </c>
      <c r="C60" s="1260" t="s">
        <v>238</v>
      </c>
      <c r="D60" s="1232"/>
      <c r="E60" s="4075"/>
      <c r="F60" s="4075"/>
      <c r="G60" s="4074"/>
      <c r="H60" s="1232"/>
      <c r="I60" s="1232"/>
      <c r="J60" s="1232"/>
      <c r="K60" s="1232"/>
      <c r="L60" s="1376"/>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2550" customFormat="1" ht="0" hidden="1" customHeight="1">
      <c r="A61" s="1260" t="s">
        <v>236</v>
      </c>
      <c r="B61" s="1260" t="s">
        <v>237</v>
      </c>
      <c r="C61" s="1232"/>
      <c r="D61" s="1232"/>
      <c r="E61" s="4075"/>
      <c r="F61" s="4074"/>
      <c r="G61" s="1232"/>
      <c r="H61" s="1232"/>
      <c r="I61" s="1232"/>
      <c r="J61" s="1232"/>
      <c r="K61" s="1232"/>
      <c r="L61" s="1376"/>
      <c r="M61" s="1239"/>
      <c r="N61" s="1239"/>
      <c r="P61" s="1234"/>
      <c r="Q61" s="1235"/>
      <c r="R61" s="1234"/>
      <c r="S61" s="1240"/>
      <c r="T61" s="1243" t="s">
        <v>167</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21" customFormat="1" ht="0" hidden="1" customHeight="1">
      <c r="A62" s="1260" t="s">
        <v>236</v>
      </c>
      <c r="B62" s="1260"/>
      <c r="C62" s="1260"/>
      <c r="D62" s="1260"/>
      <c r="E62" s="4074"/>
      <c r="F62" s="1260"/>
      <c r="G62" s="1260"/>
      <c r="H62" s="1260"/>
      <c r="I62" s="1260"/>
      <c r="J62" s="1260"/>
      <c r="K62" s="1260"/>
      <c r="L62" s="1263"/>
      <c r="M62" s="1239"/>
      <c r="N62" s="1239"/>
      <c r="O62" s="444"/>
      <c r="P62" s="313"/>
      <c r="Q62" s="1261"/>
      <c r="R62" s="313"/>
      <c r="S62" s="1240"/>
      <c r="T62" s="1243" t="s">
        <v>168</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2550" customFormat="1" ht="0" hidden="1" customHeight="1">
      <c r="A63" s="1232"/>
      <c r="B63" s="1232"/>
      <c r="C63" s="1232"/>
      <c r="D63" s="1232"/>
      <c r="E63" s="1260"/>
      <c r="F63" s="1232"/>
      <c r="G63" s="1232"/>
      <c r="H63" s="1232"/>
      <c r="I63" s="1232"/>
      <c r="J63" s="1232"/>
      <c r="K63" s="1232"/>
      <c r="L63" s="1376"/>
      <c r="M63" s="1239"/>
      <c r="N63" s="1239"/>
      <c r="P63" s="1234"/>
      <c r="Q63" s="1235"/>
      <c r="R63" s="1234"/>
      <c r="S63" s="1240"/>
      <c r="T63" s="1243" t="s">
        <v>169</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4094"/>
      <c r="U65" s="4094"/>
      <c r="V65" s="4094"/>
      <c r="W65" s="4094"/>
      <c r="X65" s="4094"/>
      <c r="Y65" s="4094"/>
      <c r="Z65" s="4094"/>
      <c r="AA65" s="4094"/>
      <c r="AB65" s="4094"/>
      <c r="AC65" s="4094"/>
      <c r="AD65" s="4094"/>
      <c r="AE65" s="4094"/>
      <c r="AF65" s="4094"/>
      <c r="AG65" s="4094"/>
      <c r="AH65" s="4094"/>
      <c r="AI65" s="4094"/>
      <c r="AJ65" s="4094"/>
      <c r="AK65" s="4094"/>
      <c r="AL65" s="4094"/>
      <c r="AM65" s="4094"/>
      <c r="AN65" s="4094"/>
      <c r="AO65" s="4094"/>
      <c r="AP65" s="4094"/>
      <c r="AQ65" s="4094"/>
      <c r="AR65" s="4094"/>
      <c r="AS65" s="4094"/>
      <c r="AT65" s="4094"/>
      <c r="AU65" s="4094"/>
      <c r="AV65" s="4094"/>
      <c r="AW65" s="4094"/>
      <c r="AX65" s="4094"/>
      <c r="AY65" s="4094"/>
      <c r="AZ65" s="4094"/>
      <c r="BA65" s="4094"/>
      <c r="BB65" s="4094"/>
      <c r="BC65" s="4094"/>
    </row>
    <row r="66" spans="15:55" ht="14.25" customHeight="1">
      <c r="O66" s="462"/>
      <c r="T66" s="1362"/>
      <c r="U66" s="1362"/>
      <c r="V66" s="1362"/>
      <c r="W66" s="1362"/>
      <c r="X66" s="1362"/>
      <c r="Y66" s="1362"/>
      <c r="Z66" s="1362"/>
      <c r="AA66" s="1362"/>
      <c r="AB66" s="1362"/>
      <c r="AC66" s="1362"/>
      <c r="AD66" s="1362"/>
      <c r="AE66" s="1362"/>
      <c r="AF66" s="1362"/>
      <c r="AG66" s="1362"/>
      <c r="AH66" s="1362"/>
      <c r="AI66" s="1362"/>
      <c r="AJ66" s="1362"/>
      <c r="AK66" s="1362"/>
      <c r="AL66" s="1362"/>
      <c r="AM66" s="1362"/>
      <c r="AN66" s="1362"/>
      <c r="AO66" s="1362"/>
      <c r="AP66" s="1362"/>
      <c r="AQ66" s="1362"/>
      <c r="AR66" s="1362"/>
      <c r="AS66" s="1362"/>
      <c r="AT66" s="1362"/>
      <c r="AU66" s="1362"/>
      <c r="AV66" s="1362"/>
      <c r="AW66" s="1362"/>
      <c r="AX66" s="1362"/>
      <c r="AY66" s="1362"/>
      <c r="AZ66" s="1362"/>
      <c r="BA66" s="1362"/>
      <c r="BB66" s="1362"/>
      <c r="BC66" s="1362"/>
    </row>
    <row r="67" spans="15:55" ht="18.75" customHeight="1">
      <c r="O67" s="462"/>
      <c r="S67" s="1164"/>
      <c r="T67" s="4094"/>
      <c r="U67" s="4094"/>
      <c r="V67" s="4094"/>
      <c r="W67" s="4094"/>
      <c r="X67" s="4094"/>
      <c r="Y67" s="4094"/>
      <c r="Z67" s="4094"/>
      <c r="AA67" s="4094"/>
      <c r="AB67" s="4094"/>
      <c r="AC67" s="4094"/>
      <c r="AD67" s="4094"/>
      <c r="AE67" s="4094"/>
      <c r="AF67" s="4094"/>
      <c r="AG67" s="4094"/>
      <c r="AH67" s="4094"/>
      <c r="AI67" s="4094"/>
      <c r="AJ67" s="4094"/>
      <c r="AK67" s="4094"/>
      <c r="AL67" s="4094"/>
      <c r="AM67" s="4094"/>
      <c r="AN67" s="4094"/>
      <c r="AO67" s="4094"/>
      <c r="AP67" s="4094"/>
      <c r="AQ67" s="4094"/>
      <c r="AR67" s="4094"/>
      <c r="AS67" s="4094"/>
      <c r="AT67" s="4094"/>
      <c r="AU67" s="4094"/>
      <c r="AV67" s="4094"/>
      <c r="AW67" s="4094"/>
      <c r="AX67" s="4094"/>
      <c r="AY67" s="4094"/>
      <c r="AZ67" s="4094"/>
      <c r="BA67" s="4094"/>
      <c r="BB67" s="4094"/>
      <c r="BC67" s="4094"/>
    </row>
    <row r="68" spans="15:55" ht="14.25" customHeight="1">
      <c r="O68" s="462"/>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553" hidden="1"/>
    <col min="2" max="2" width="11" style="2553" hidden="1" customWidth="1"/>
    <col min="3" max="3" width="10.5703125" style="2553" hidden="1"/>
    <col min="4" max="4" width="11.85546875" style="2553" hidden="1" customWidth="1"/>
    <col min="5" max="5" width="10" style="2553" hidden="1" customWidth="1"/>
    <col min="6" max="6" width="8.7109375" style="2553" hidden="1" customWidth="1"/>
    <col min="7" max="7" width="7.5703125" style="2553" hidden="1" customWidth="1"/>
    <col min="8" max="8" width="11.42578125" style="2553" hidden="1" customWidth="1"/>
    <col min="9" max="9" width="14.140625" style="2553" hidden="1" customWidth="1"/>
    <col min="10" max="10" width="9.85546875" style="2553" hidden="1" customWidth="1"/>
    <col min="11" max="11" width="14.7109375" style="2553" hidden="1" customWidth="1"/>
    <col min="12" max="12" width="19.140625" style="3808" hidden="1" customWidth="1"/>
    <col min="13" max="14" width="12.28515625" style="2555" hidden="1" customWidth="1"/>
    <col min="15" max="15" width="23.42578125" style="2555" hidden="1" customWidth="1"/>
    <col min="16" max="16" width="3.7109375" style="3809" customWidth="1"/>
    <col min="17" max="18" width="3.7109375" style="3173" customWidth="1"/>
    <col min="19" max="19" width="12.7109375" style="3174" customWidth="1"/>
    <col min="20" max="20" width="35.7109375" style="1920" customWidth="1"/>
    <col min="21" max="21" width="0.140625" style="1920" customWidth="1"/>
    <col min="22" max="24" width="24.7109375" style="1920" hidden="1" customWidth="1"/>
    <col min="25" max="25" width="11.7109375" style="1920" hidden="1" customWidth="1"/>
    <col min="26" max="26" width="3.7109375" style="1920" hidden="1" customWidth="1"/>
    <col min="27" max="27" width="11.7109375" style="1920" hidden="1" customWidth="1"/>
    <col min="28" max="28" width="8.5703125" style="1920" hidden="1" customWidth="1"/>
    <col min="29" max="31" width="24.7109375" style="1920" customWidth="1"/>
    <col min="32" max="32" width="11.7109375" style="1920" customWidth="1"/>
    <col min="33" max="33" width="3.7109375" style="1920" customWidth="1"/>
    <col min="34" max="34" width="11.7109375" style="1920" customWidth="1"/>
    <col min="35" max="35" width="8.5703125" style="1920" hidden="1" customWidth="1"/>
    <col min="36" max="36" width="4.7109375" style="1920" customWidth="1"/>
    <col min="37" max="37" width="115.7109375" style="1920" customWidth="1"/>
    <col min="38" max="39" width="10.5703125" style="1821"/>
    <col min="40" max="40" width="11.140625" style="1821" customWidth="1"/>
    <col min="41" max="42" width="10.5703125" style="1821"/>
  </cols>
  <sheetData>
    <row r="1" spans="1:42" ht="14.25" hidden="1" customHeight="1">
      <c r="X1" s="254"/>
      <c r="Y1" s="254"/>
      <c r="AE1" s="254"/>
      <c r="AF1" s="254"/>
    </row>
    <row r="2" spans="1:42" ht="23.25" hidden="1" customHeight="1">
      <c r="A2" s="1279"/>
      <c r="B2" s="1279"/>
      <c r="C2" s="1279"/>
      <c r="D2" s="1279"/>
      <c r="E2" s="4074">
        <v>1</v>
      </c>
      <c r="F2" s="1279"/>
      <c r="G2" s="1279"/>
      <c r="H2" s="1279"/>
      <c r="I2" s="1279"/>
      <c r="J2" s="1279"/>
      <c r="K2" s="1279"/>
      <c r="L2" s="1280"/>
      <c r="M2" s="1281"/>
      <c r="N2" s="1281"/>
      <c r="O2" s="1281"/>
      <c r="P2" s="286"/>
      <c r="Q2" s="285"/>
      <c r="R2" s="280"/>
      <c r="S2" s="1403" t="e">
        <f>INDEX(PT_DIFFERENTIATION_NUM_NTAR,MATCH(A2,PT_DIFFERENTIATION_NTAR_ID,0))</f>
        <v>#N/A</v>
      </c>
      <c r="T2" s="217" t="s">
        <v>121</v>
      </c>
      <c r="U2" s="219"/>
      <c r="V2" s="4060"/>
      <c r="W2" s="4061"/>
      <c r="X2" s="4061"/>
      <c r="Y2" s="4061"/>
      <c r="Z2" s="4061"/>
      <c r="AA2" s="4061"/>
      <c r="AB2" s="4062"/>
      <c r="AC2" s="4060" t="e">
        <f>INDEX(PT_DIFFERENTIATION_NTAR,MATCH(A2,PT_DIFFERENTIATION_NTAR_ID,0))</f>
        <v>#N/A</v>
      </c>
      <c r="AD2" s="4061"/>
      <c r="AE2" s="4061"/>
      <c r="AF2" s="4061"/>
      <c r="AG2" s="4061"/>
      <c r="AH2" s="4061"/>
      <c r="AI2" s="4061"/>
      <c r="AJ2" s="4062"/>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4075"/>
      <c r="F3" s="4074">
        <v>1</v>
      </c>
      <c r="G3" s="1279"/>
      <c r="H3" s="1279"/>
      <c r="I3" s="1279"/>
      <c r="J3" s="1279"/>
      <c r="K3" s="1279"/>
      <c r="L3" s="1280"/>
      <c r="M3" s="1281"/>
      <c r="N3" s="1281"/>
      <c r="O3" s="1281"/>
      <c r="P3" s="1397"/>
      <c r="Q3" s="277"/>
      <c r="R3" s="278"/>
      <c r="S3" s="1403" t="e">
        <f>INDEX(PT_DIFFERENTIATION_NUM_TER,MATCH(B3,PT_DIFFERENTIATION_TER_ID,0))</f>
        <v>#N/A</v>
      </c>
      <c r="T3" s="229" t="s">
        <v>389</v>
      </c>
      <c r="U3" s="219"/>
      <c r="V3" s="4060"/>
      <c r="W3" s="4061"/>
      <c r="X3" s="4061"/>
      <c r="Y3" s="4061"/>
      <c r="Z3" s="4061"/>
      <c r="AA3" s="4061"/>
      <c r="AB3" s="4062"/>
      <c r="AC3" s="4060" t="e">
        <f>INDEX(PT_DIFFERENTIATION_TER,MATCH(B3,PT_DIFFERENTIATION_TER_ID,0))</f>
        <v>#N/A</v>
      </c>
      <c r="AD3" s="4061"/>
      <c r="AE3" s="4061"/>
      <c r="AF3" s="4061"/>
      <c r="AG3" s="4061"/>
      <c r="AH3" s="4061"/>
      <c r="AI3" s="4061"/>
      <c r="AJ3" s="4062"/>
      <c r="AK3" s="1177" t="s">
        <v>390</v>
      </c>
      <c r="AM3" s="426"/>
      <c r="AN3" s="426" t="str">
        <f t="shared" si="0"/>
        <v>Территория действия тарифа</v>
      </c>
      <c r="AO3" s="426"/>
      <c r="AP3" s="426"/>
    </row>
    <row r="4" spans="1:42" ht="23.25" hidden="1" customHeight="1">
      <c r="A4" s="1279"/>
      <c r="B4" s="1279"/>
      <c r="C4" s="1279"/>
      <c r="D4" s="1279"/>
      <c r="E4" s="4075"/>
      <c r="F4" s="4075"/>
      <c r="G4" s="4074">
        <v>1</v>
      </c>
      <c r="H4" s="1279"/>
      <c r="I4" s="1279"/>
      <c r="J4" s="1279"/>
      <c r="K4" s="1279"/>
      <c r="L4" s="1280"/>
      <c r="M4" s="1281"/>
      <c r="N4" s="1281"/>
      <c r="O4" s="1281"/>
      <c r="P4" s="279"/>
      <c r="Q4" s="277"/>
      <c r="R4" s="278"/>
      <c r="S4" s="1403" t="e">
        <f>INDEX(PT_DIFFERENTIATION_NUM_CS,MATCH(C4,PT_DIFFERENTIATION_CS_ID,0))</f>
        <v>#N/A</v>
      </c>
      <c r="T4" s="230" t="s">
        <v>505</v>
      </c>
      <c r="U4" s="219"/>
      <c r="V4" s="4060"/>
      <c r="W4" s="4061"/>
      <c r="X4" s="4061"/>
      <c r="Y4" s="4061"/>
      <c r="Z4" s="4061"/>
      <c r="AA4" s="4061"/>
      <c r="AB4" s="4062"/>
      <c r="AC4" s="4060" t="e">
        <f>INDEX(PT_DIFFERENTIATION_CS,MATCH(C4,PT_DIFFERENTIATION_CS_ID,0))</f>
        <v>#N/A</v>
      </c>
      <c r="AD4" s="4061"/>
      <c r="AE4" s="4061"/>
      <c r="AF4" s="4061"/>
      <c r="AG4" s="4061"/>
      <c r="AH4" s="4061"/>
      <c r="AI4" s="4061"/>
      <c r="AJ4" s="4062"/>
      <c r="AK4" s="1177" t="s">
        <v>506</v>
      </c>
      <c r="AM4" s="426"/>
      <c r="AN4" s="426" t="str">
        <f t="shared" si="0"/>
        <v>Наименование централизованной системы водоотведения</v>
      </c>
      <c r="AO4" s="426"/>
      <c r="AP4" s="426"/>
    </row>
    <row r="5" spans="1:42" ht="23.25" hidden="1" customHeight="1">
      <c r="A5" s="1279"/>
      <c r="B5" s="1279"/>
      <c r="C5" s="1279"/>
      <c r="D5" s="1279"/>
      <c r="E5" s="4075"/>
      <c r="F5" s="4075"/>
      <c r="G5" s="4075"/>
      <c r="H5" s="4075"/>
      <c r="I5" s="4072" t="e">
        <f>S4&amp;".1"</f>
        <v>#N/A</v>
      </c>
      <c r="J5" s="1279"/>
      <c r="K5" s="1279"/>
      <c r="L5" s="1280"/>
      <c r="P5" s="4073">
        <v>1</v>
      </c>
      <c r="Q5" s="1391"/>
      <c r="R5" s="281"/>
      <c r="S5" s="1403" t="e">
        <f>$I5</f>
        <v>#N/A</v>
      </c>
      <c r="T5" s="204" t="s">
        <v>474</v>
      </c>
      <c r="U5" s="219"/>
      <c r="V5" s="4133"/>
      <c r="W5" s="4134"/>
      <c r="X5" s="4134"/>
      <c r="Y5" s="4134"/>
      <c r="Z5" s="4134"/>
      <c r="AA5" s="4134"/>
      <c r="AB5" s="4135"/>
      <c r="AC5" s="4136"/>
      <c r="AD5" s="4137"/>
      <c r="AE5" s="4137"/>
      <c r="AF5" s="4137"/>
      <c r="AG5" s="4137"/>
      <c r="AH5" s="4137"/>
      <c r="AI5" s="4137"/>
      <c r="AJ5" s="4138"/>
      <c r="AK5" s="1177" t="s">
        <v>475</v>
      </c>
      <c r="AM5" s="426"/>
      <c r="AN5" s="426" t="str">
        <f t="shared" si="0"/>
        <v>Наименование признака дифференциации</v>
      </c>
      <c r="AO5" s="426"/>
      <c r="AP5" s="426"/>
    </row>
    <row r="6" spans="1:42" ht="23.25" hidden="1" customHeight="1">
      <c r="A6" s="1279"/>
      <c r="B6" s="1279"/>
      <c r="C6" s="1279"/>
      <c r="D6" s="1279"/>
      <c r="E6" s="4075"/>
      <c r="F6" s="4075"/>
      <c r="G6" s="4075"/>
      <c r="H6" s="4075"/>
      <c r="I6" s="4095"/>
      <c r="J6" s="4072" t="e">
        <f>I5&amp;".1"</f>
        <v>#N/A</v>
      </c>
      <c r="K6" s="1279"/>
      <c r="L6" s="1280" t="s">
        <v>398</v>
      </c>
      <c r="P6" s="4073"/>
      <c r="Q6" s="4073">
        <v>1</v>
      </c>
      <c r="R6" s="282"/>
      <c r="S6" s="1403" t="e">
        <f>$J6</f>
        <v>#N/A</v>
      </c>
      <c r="T6" s="205" t="s">
        <v>399</v>
      </c>
      <c r="U6" s="219"/>
      <c r="V6" s="4063"/>
      <c r="W6" s="4064"/>
      <c r="X6" s="4064"/>
      <c r="Y6" s="4064"/>
      <c r="Z6" s="4064"/>
      <c r="AA6" s="4064"/>
      <c r="AB6" s="4065"/>
      <c r="AC6" s="4063"/>
      <c r="AD6" s="4064"/>
      <c r="AE6" s="4064"/>
      <c r="AF6" s="4064"/>
      <c r="AG6" s="4064"/>
      <c r="AH6" s="4064"/>
      <c r="AI6" s="4064"/>
      <c r="AJ6" s="4065"/>
      <c r="AK6" s="1226" t="s">
        <v>476</v>
      </c>
      <c r="AM6" s="426"/>
      <c r="AN6" s="426" t="str">
        <f t="shared" si="0"/>
        <v>Группа потребителей</v>
      </c>
      <c r="AO6" s="426"/>
      <c r="AP6" s="426"/>
    </row>
    <row r="7" spans="1:42" ht="23.25" hidden="1" customHeight="1">
      <c r="A7" s="1279"/>
      <c r="B7" s="1279"/>
      <c r="C7" s="1279"/>
      <c r="D7" s="1279"/>
      <c r="E7" s="4075"/>
      <c r="F7" s="4075"/>
      <c r="G7" s="4075"/>
      <c r="H7" s="4075"/>
      <c r="I7" s="4095"/>
      <c r="J7" s="4095"/>
      <c r="K7" s="4072" t="e">
        <f>J6&amp;".1"</f>
        <v>#N/A</v>
      </c>
      <c r="L7" s="1280"/>
      <c r="P7" s="4073"/>
      <c r="Q7" s="4073"/>
      <c r="R7" s="282">
        <v>1</v>
      </c>
      <c r="S7" s="1403" t="e">
        <f>$K7</f>
        <v>#N/A</v>
      </c>
      <c r="T7" s="1352"/>
      <c r="U7" s="219"/>
      <c r="V7" s="668"/>
      <c r="W7" s="668"/>
      <c r="X7" s="1176"/>
      <c r="Y7" s="4077"/>
      <c r="Z7" s="3927" t="s">
        <v>65</v>
      </c>
      <c r="AA7" s="4077"/>
      <c r="AB7" s="3927" t="s">
        <v>65</v>
      </c>
      <c r="AC7" s="668"/>
      <c r="AD7" s="668"/>
      <c r="AE7" s="1176"/>
      <c r="AF7" s="4077"/>
      <c r="AG7" s="3927" t="s">
        <v>65</v>
      </c>
      <c r="AH7" s="4096"/>
      <c r="AI7" s="3927" t="s">
        <v>65</v>
      </c>
      <c r="AJ7" s="1353"/>
      <c r="AK7" s="41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4075"/>
      <c r="F8" s="4075"/>
      <c r="G8" s="4075"/>
      <c r="H8" s="4075"/>
      <c r="I8" s="4095"/>
      <c r="J8" s="4095"/>
      <c r="K8" s="4072"/>
      <c r="L8" s="1280"/>
      <c r="P8" s="4073"/>
      <c r="Q8" s="4073"/>
      <c r="R8" s="282"/>
      <c r="S8" s="1400"/>
      <c r="T8" s="219"/>
      <c r="U8" s="219"/>
      <c r="V8" s="251"/>
      <c r="W8" s="251"/>
      <c r="X8" s="255" t="str">
        <f>Y7&amp;"-"&amp;AA7</f>
        <v>-</v>
      </c>
      <c r="Y8" s="4078"/>
      <c r="Z8" s="3927"/>
      <c r="AA8" s="4078"/>
      <c r="AB8" s="3927"/>
      <c r="AC8" s="251"/>
      <c r="AD8" s="251"/>
      <c r="AE8" s="255" t="str">
        <f>AF7&amp;"-"&amp;AH7</f>
        <v>-</v>
      </c>
      <c r="AF8" s="4078"/>
      <c r="AG8" s="3927"/>
      <c r="AH8" s="4097"/>
      <c r="AI8" s="3927"/>
      <c r="AJ8" s="1354"/>
      <c r="AK8" s="4132"/>
      <c r="AM8" s="426"/>
      <c r="AN8" s="426" t="str">
        <f t="shared" si="0"/>
        <v/>
      </c>
      <c r="AO8" s="426"/>
      <c r="AP8" s="426"/>
    </row>
    <row r="9" spans="1:42" ht="21" hidden="1" customHeight="1">
      <c r="A9" s="1279"/>
      <c r="B9" s="1279"/>
      <c r="C9" s="1279"/>
      <c r="D9" s="1279"/>
      <c r="E9" s="4075"/>
      <c r="F9" s="4075"/>
      <c r="G9" s="4075"/>
      <c r="H9" s="4075"/>
      <c r="I9" s="4095"/>
      <c r="J9" s="4072"/>
      <c r="K9" s="1279"/>
      <c r="L9" s="1280"/>
      <c r="P9" s="4073"/>
      <c r="Q9" s="4073"/>
      <c r="R9" s="281"/>
      <c r="S9" s="1198"/>
      <c r="T9" s="206" t="s">
        <v>477</v>
      </c>
      <c r="U9" s="295"/>
      <c r="V9" s="295"/>
      <c r="W9" s="295"/>
      <c r="X9" s="295"/>
      <c r="Y9" s="295"/>
      <c r="Z9" s="295"/>
      <c r="AA9" s="295"/>
      <c r="AB9" s="295"/>
      <c r="AC9" s="295"/>
      <c r="AD9" s="295"/>
      <c r="AE9" s="295"/>
      <c r="AF9" s="295"/>
      <c r="AG9" s="295"/>
      <c r="AH9" s="295"/>
      <c r="AI9" s="295"/>
      <c r="AJ9" s="295"/>
      <c r="AK9" s="1177" t="s">
        <v>478</v>
      </c>
      <c r="AM9" s="426"/>
      <c r="AN9" s="426" t="str">
        <f t="shared" si="0"/>
        <v>Добавить значение признака дифференциации</v>
      </c>
      <c r="AO9" s="426"/>
      <c r="AP9" s="426"/>
    </row>
    <row r="10" spans="1:42" ht="21" hidden="1" customHeight="1">
      <c r="A10" s="1279"/>
      <c r="B10" s="1279"/>
      <c r="C10" s="1279"/>
      <c r="D10" s="1279"/>
      <c r="E10" s="4075"/>
      <c r="F10" s="4075"/>
      <c r="G10" s="4075"/>
      <c r="H10" s="4075"/>
      <c r="I10" s="4072"/>
      <c r="J10" s="1279"/>
      <c r="K10" s="1279"/>
      <c r="L10" s="1280"/>
      <c r="P10" s="4073"/>
      <c r="Q10" s="1391"/>
      <c r="R10" s="281"/>
      <c r="S10" s="1198"/>
      <c r="T10" s="292" t="s">
        <v>404</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4075"/>
      <c r="F11" s="4075"/>
      <c r="G11" s="4075"/>
      <c r="H11" s="4074"/>
      <c r="I11" s="1279"/>
      <c r="J11" s="1279"/>
      <c r="K11" s="1279"/>
      <c r="L11" s="1280"/>
      <c r="M11" s="1281"/>
      <c r="N11" s="1281"/>
      <c r="O11" s="462"/>
      <c r="P11" s="285"/>
      <c r="Q11" s="304"/>
      <c r="R11" s="280"/>
      <c r="S11" s="1198"/>
      <c r="T11" s="300" t="s">
        <v>479</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2550" customFormat="1" ht="14.25" hidden="1" customHeight="1">
      <c r="A12" s="1260"/>
      <c r="B12" s="1260"/>
      <c r="C12" s="1232"/>
      <c r="D12" s="1232"/>
      <c r="E12" s="4075"/>
      <c r="F12" s="4074"/>
      <c r="G12" s="1232"/>
      <c r="H12" s="1232"/>
      <c r="I12" s="1232"/>
      <c r="J12" s="1232"/>
      <c r="K12" s="1232"/>
      <c r="L12" s="1404"/>
      <c r="M12" s="1239"/>
      <c r="N12" s="1239"/>
      <c r="P12" s="1234"/>
      <c r="Q12" s="1235"/>
      <c r="R12" s="1234"/>
      <c r="S12" s="1240"/>
      <c r="T12" s="1243" t="s">
        <v>167</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1" customFormat="1" ht="14.25" hidden="1" customHeight="1">
      <c r="A13" s="1260"/>
      <c r="B13" s="1260"/>
      <c r="C13" s="1260"/>
      <c r="D13" s="1260"/>
      <c r="E13" s="4074"/>
      <c r="F13" s="1260"/>
      <c r="G13" s="1260"/>
      <c r="H13" s="1260"/>
      <c r="I13" s="1260"/>
      <c r="J13" s="1260"/>
      <c r="K13" s="1260"/>
      <c r="L13" s="1263"/>
      <c r="M13" s="1239"/>
      <c r="N13" s="1239"/>
      <c r="O13" s="444"/>
      <c r="P13" s="313"/>
      <c r="Q13" s="1261"/>
      <c r="R13" s="313"/>
      <c r="S13" s="1240"/>
      <c r="T13" s="1243" t="s">
        <v>168</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4079"/>
      <c r="AG15" s="4080" t="s">
        <v>65</v>
      </c>
      <c r="AH15" s="4079"/>
      <c r="AI15" s="4080" t="s">
        <v>65</v>
      </c>
    </row>
    <row r="16" spans="1:42" ht="14.25" hidden="1" customHeight="1">
      <c r="AC16" s="1276"/>
      <c r="AD16" s="1276"/>
      <c r="AE16" s="255" t="str">
        <f>AF15&amp;"-"&amp;AH15</f>
        <v>-</v>
      </c>
      <c r="AF16" s="4080"/>
      <c r="AG16" s="4080"/>
      <c r="AH16" s="4080"/>
      <c r="AI16" s="4080"/>
    </row>
    <row r="17" spans="1:42" ht="14.25" hidden="1" customHeight="1">
      <c r="AI17" s="254"/>
    </row>
    <row r="18" spans="1:42" s="2553" customFormat="1" ht="22.5" hidden="1" customHeight="1">
      <c r="L18" s="1388"/>
      <c r="M18" s="1278"/>
      <c r="N18" s="1278"/>
      <c r="O18" s="1283" t="s">
        <v>406</v>
      </c>
      <c r="P18" s="1278"/>
      <c r="Q18" s="1287"/>
      <c r="R18" s="1287"/>
      <c r="S18" s="648"/>
      <c r="Y18" s="1283"/>
      <c r="AA18" s="1283"/>
      <c r="AB18" s="1282"/>
      <c r="AF18" s="1283"/>
      <c r="AH18" s="1283"/>
      <c r="AI18" s="1282"/>
      <c r="AL18" s="437"/>
      <c r="AM18" s="437"/>
      <c r="AN18" s="437"/>
      <c r="AO18" s="437"/>
      <c r="AP18" s="437"/>
    </row>
    <row r="19" spans="1:42" s="2553" customFormat="1" ht="14.25" hidden="1" customHeight="1">
      <c r="L19" s="1388"/>
      <c r="M19" s="1278"/>
      <c r="N19" s="1278"/>
      <c r="O19" s="1278"/>
      <c r="P19" s="1278"/>
      <c r="Q19" s="1287"/>
      <c r="R19" s="1287"/>
      <c r="S19" s="648"/>
      <c r="AB19" s="1282"/>
      <c r="AI19" s="1282"/>
      <c r="AL19" s="437"/>
      <c r="AM19" s="437"/>
      <c r="AN19" s="437"/>
      <c r="AO19" s="437"/>
      <c r="AP19" s="437"/>
    </row>
    <row r="20" spans="1:42" s="2553" customFormat="1" ht="12" hidden="1" customHeight="1">
      <c r="L20" s="1388"/>
      <c r="M20" s="1278"/>
      <c r="N20" s="1278"/>
      <c r="O20" s="1280" t="s">
        <v>407</v>
      </c>
      <c r="P20" s="1278"/>
      <c r="Q20" s="1356"/>
      <c r="R20" s="1356"/>
      <c r="S20" s="648"/>
      <c r="T20" s="1060" t="s">
        <v>408</v>
      </c>
      <c r="Z20" s="107" t="s">
        <v>409</v>
      </c>
      <c r="AB20" s="107" t="s">
        <v>410</v>
      </c>
      <c r="AC20" s="1060" t="s">
        <v>408</v>
      </c>
      <c r="AG20" s="107" t="s">
        <v>411</v>
      </c>
      <c r="AI20" s="107" t="s">
        <v>410</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405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4058"/>
      <c r="U24" s="4058"/>
      <c r="V24" s="4058"/>
      <c r="W24" s="4058"/>
      <c r="X24" s="4058"/>
      <c r="Y24" s="4058"/>
      <c r="Z24" s="4058"/>
      <c r="AA24" s="4058"/>
      <c r="AB24" s="4058"/>
      <c r="AC24" s="4058"/>
      <c r="AD24" s="4058"/>
      <c r="AE24" s="4058"/>
      <c r="AF24" s="4058"/>
      <c r="AG24" s="4058"/>
      <c r="AH24" s="4058"/>
      <c r="AI24" s="1152"/>
    </row>
    <row r="25" spans="1:42" ht="14.25" customHeight="1">
      <c r="Q25" s="305"/>
      <c r="R25" s="305"/>
      <c r="S25" s="4004" t="str">
        <f>IF(org=0,"Не определено",org)</f>
        <v>ООО «РИР-Сахалин»</v>
      </c>
      <c r="T25" s="4004"/>
      <c r="U25" s="4004"/>
      <c r="V25" s="4004"/>
      <c r="W25" s="4004"/>
      <c r="X25" s="4004"/>
      <c r="Y25" s="4004"/>
      <c r="Z25" s="4004"/>
      <c r="AA25" s="4004"/>
      <c r="AB25" s="4004"/>
      <c r="AC25" s="4004"/>
      <c r="AD25" s="4004"/>
      <c r="AE25" s="4004"/>
      <c r="AF25" s="4004"/>
      <c r="AG25" s="4004"/>
      <c r="AH25" s="4004"/>
      <c r="AI25" s="1152"/>
    </row>
    <row r="26" spans="1:42" ht="14.25" hidden="1"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2564" customFormat="1" ht="25.5" hidden="1" customHeight="1">
      <c r="A27" s="1284"/>
      <c r="B27" s="1284"/>
      <c r="C27" s="1284"/>
      <c r="D27" s="1284"/>
      <c r="E27" s="1284"/>
      <c r="F27" s="1284"/>
      <c r="G27" s="1284"/>
      <c r="H27" s="1284"/>
      <c r="I27" s="1284"/>
      <c r="J27" s="1284"/>
      <c r="K27" s="1284"/>
      <c r="L27" s="1285"/>
      <c r="M27" s="1284"/>
      <c r="N27" s="1284"/>
      <c r="O27" s="1284"/>
      <c r="S27" s="4066" t="s">
        <v>38</v>
      </c>
      <c r="T27" s="4066"/>
      <c r="U27" s="1288"/>
      <c r="V27" s="4067" t="str">
        <f>IF(TITLE_NAME_OR_PR_CHANGE="",IF(TITLE_NAME_OR_PR="","",TITLE_NAME_OR_PR),TITLE_NAME_OR_PR_CHANGE)</f>
        <v/>
      </c>
      <c r="W27" s="4067"/>
      <c r="X27" s="4067"/>
      <c r="Y27" s="4067"/>
      <c r="Z27" s="4067"/>
      <c r="AA27" s="4067"/>
      <c r="AB27" s="253"/>
      <c r="AC27" s="4067" t="str">
        <f>IF(TITLE_NAME_OR_PR_CHANGE="",IF(TITLE_NAME_OR_PR="","",TITLE_NAME_OR_PR),TITLE_NAME_OR_PR_CHANGE)</f>
        <v/>
      </c>
      <c r="AD27" s="4067"/>
      <c r="AE27" s="4067"/>
      <c r="AF27" s="4067"/>
      <c r="AG27" s="4067"/>
      <c r="AH27" s="4067"/>
      <c r="AI27" s="253"/>
      <c r="AJ27" s="253"/>
      <c r="AK27" s="200"/>
      <c r="AL27" s="296"/>
      <c r="AM27" s="296"/>
      <c r="AN27" s="296"/>
      <c r="AO27" s="296"/>
      <c r="AP27" s="296"/>
    </row>
    <row r="28" spans="1:42" s="2564" customFormat="1" ht="18.75" hidden="1" customHeight="1">
      <c r="A28" s="1284"/>
      <c r="B28" s="1284"/>
      <c r="C28" s="1284"/>
      <c r="D28" s="1284"/>
      <c r="E28" s="1284"/>
      <c r="F28" s="1284"/>
      <c r="G28" s="1284"/>
      <c r="H28" s="1284"/>
      <c r="I28" s="1284"/>
      <c r="J28" s="1284"/>
      <c r="K28" s="1284"/>
      <c r="L28" s="1285"/>
      <c r="M28" s="1284"/>
      <c r="N28" s="1284"/>
      <c r="O28" s="1284"/>
      <c r="S28" s="4066" t="s">
        <v>412</v>
      </c>
      <c r="T28" s="4066"/>
      <c r="U28" s="1288"/>
      <c r="V28" s="4076">
        <f>IF(TITLE_DATE_PR_CHANGE="",IF(TITLE_DATE_PR="","",TITLE_DATE_PR),TITLE_DATE_PR_CHANGE)</f>
        <v>45289.465104166666</v>
      </c>
      <c r="W28" s="4076"/>
      <c r="X28" s="4076"/>
      <c r="Y28" s="4076"/>
      <c r="Z28" s="4076"/>
      <c r="AA28" s="4076"/>
      <c r="AB28" s="253"/>
      <c r="AC28" s="4076">
        <f>IF(TITLE_DATE_PR_CHANGE="",IF(TITLE_DATE_PR="","",TITLE_DATE_PR),TITLE_DATE_PR_CHANGE)</f>
        <v>45289.465104166666</v>
      </c>
      <c r="AD28" s="4076"/>
      <c r="AE28" s="4076"/>
      <c r="AF28" s="4076"/>
      <c r="AG28" s="4076"/>
      <c r="AH28" s="4076"/>
      <c r="AI28" s="253"/>
      <c r="AJ28" s="253"/>
      <c r="AK28" s="200"/>
      <c r="AL28" s="296"/>
      <c r="AM28" s="296"/>
      <c r="AN28" s="296"/>
      <c r="AO28" s="296"/>
      <c r="AP28" s="296"/>
    </row>
    <row r="29" spans="1:42" s="2564" customFormat="1" ht="18.75" hidden="1" customHeight="1">
      <c r="A29" s="1284"/>
      <c r="B29" s="1284"/>
      <c r="C29" s="1284"/>
      <c r="D29" s="1284"/>
      <c r="E29" s="1284"/>
      <c r="F29" s="1284"/>
      <c r="G29" s="1284"/>
      <c r="H29" s="1284"/>
      <c r="I29" s="1284"/>
      <c r="J29" s="1284"/>
      <c r="K29" s="1284"/>
      <c r="L29" s="1285"/>
      <c r="M29" s="1284"/>
      <c r="N29" s="1284"/>
      <c r="O29" s="1284"/>
      <c r="S29" s="4066" t="s">
        <v>413</v>
      </c>
      <c r="T29" s="4066"/>
      <c r="U29" s="1288"/>
      <c r="V29" s="4067" t="str">
        <f>IF(TITLE_NUMBER_PR_CHANGE="",IF(TITLE_NUMBER_PR="","",TITLE_NUMBER_PR),TITLE_NUMBER_PR_CHANGE)</f>
        <v>761-1/201-1</v>
      </c>
      <c r="W29" s="4067"/>
      <c r="X29" s="4067"/>
      <c r="Y29" s="4067"/>
      <c r="Z29" s="4067"/>
      <c r="AA29" s="4067"/>
      <c r="AB29" s="253"/>
      <c r="AC29" s="4067" t="str">
        <f>IF(TITLE_NUMBER_PR_CHANGE="",IF(TITLE_NUMBER_PR="","",TITLE_NUMBER_PR),TITLE_NUMBER_PR_CHANGE)</f>
        <v>761-1/201-1</v>
      </c>
      <c r="AD29" s="4067"/>
      <c r="AE29" s="4067"/>
      <c r="AF29" s="4067"/>
      <c r="AG29" s="4067"/>
      <c r="AH29" s="4067"/>
      <c r="AI29" s="253"/>
      <c r="AJ29" s="253"/>
      <c r="AK29" s="200"/>
      <c r="AL29" s="296"/>
      <c r="AM29" s="296"/>
      <c r="AN29" s="296"/>
      <c r="AO29" s="296"/>
      <c r="AP29" s="296"/>
    </row>
    <row r="30" spans="1:42" s="2564" customFormat="1" ht="18.75" hidden="1" customHeight="1">
      <c r="A30" s="1284"/>
      <c r="B30" s="1284"/>
      <c r="C30" s="1284"/>
      <c r="D30" s="1284"/>
      <c r="E30" s="1284"/>
      <c r="F30" s="1284"/>
      <c r="G30" s="1284"/>
      <c r="H30" s="1284"/>
      <c r="I30" s="1284"/>
      <c r="J30" s="1284"/>
      <c r="K30" s="1284"/>
      <c r="L30" s="1285"/>
      <c r="M30" s="1284"/>
      <c r="N30" s="1284"/>
      <c r="O30" s="1284"/>
      <c r="S30" s="4066" t="s">
        <v>39</v>
      </c>
      <c r="T30" s="4066"/>
      <c r="U30" s="1288"/>
      <c r="V30" s="4067" t="str">
        <f>IF(TITLE_IST_PUB_CHANGE="",IF(TITLE_IST_PUB="","",TITLE_IST_PUB),TITLE_IST_PUB_CHANGE)</f>
        <v/>
      </c>
      <c r="W30" s="4067"/>
      <c r="X30" s="4067"/>
      <c r="Y30" s="4067"/>
      <c r="Z30" s="4067"/>
      <c r="AA30" s="4067"/>
      <c r="AB30" s="253"/>
      <c r="AC30" s="4067" t="str">
        <f>IF(TITLE_IST_PUB_CHANGE="",IF(TITLE_IST_PUB="","",TITLE_IST_PUB),TITLE_IST_PUB_CHANGE)</f>
        <v/>
      </c>
      <c r="AD30" s="4067"/>
      <c r="AE30" s="4067"/>
      <c r="AF30" s="4067"/>
      <c r="AG30" s="4067"/>
      <c r="AH30" s="4067"/>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2564" customFormat="1" ht="18.75" customHeight="1">
      <c r="A32" s="1284"/>
      <c r="B32" s="1284"/>
      <c r="C32" s="1284"/>
      <c r="D32" s="1284"/>
      <c r="E32" s="1284"/>
      <c r="F32" s="1284"/>
      <c r="G32" s="1284"/>
      <c r="H32" s="1284"/>
      <c r="I32" s="1284"/>
      <c r="J32" s="1284"/>
      <c r="K32" s="1284"/>
      <c r="L32" s="1285"/>
      <c r="M32" s="1284"/>
      <c r="N32" s="1284"/>
      <c r="O32" s="1284"/>
      <c r="S32" s="4066" t="s">
        <v>414</v>
      </c>
      <c r="T32" s="4066"/>
      <c r="U32" s="1288"/>
      <c r="V32" s="4076">
        <f>IF(TITLE_DATE_PR_CHANGE="",IF(TITLE_DATE_PR="","",TITLE_DATE_PR),TITLE_DATE_PR_CHANGE)</f>
        <v>45289.465104166666</v>
      </c>
      <c r="W32" s="4076"/>
      <c r="X32" s="4076"/>
      <c r="Y32" s="4076"/>
      <c r="Z32" s="4076"/>
      <c r="AA32" s="4076"/>
      <c r="AB32" s="253"/>
      <c r="AC32" s="4076">
        <f>IF(TITLE_DATE_PR_CHANGE="",IF(TITLE_DATE_PR="","",TITLE_DATE_PR),TITLE_DATE_PR_CHANGE)</f>
        <v>45289.465104166666</v>
      </c>
      <c r="AD32" s="4076"/>
      <c r="AE32" s="4076"/>
      <c r="AF32" s="4076"/>
      <c r="AG32" s="4076"/>
      <c r="AH32" s="4076"/>
      <c r="AI32" s="253"/>
      <c r="AJ32" s="253"/>
      <c r="AK32" s="200"/>
      <c r="AL32" s="296"/>
      <c r="AM32" s="296"/>
      <c r="AN32" s="296"/>
      <c r="AO32" s="296"/>
      <c r="AP32" s="296"/>
    </row>
    <row r="33" spans="1:42" s="2564" customFormat="1" ht="18.75" customHeight="1">
      <c r="A33" s="1284"/>
      <c r="B33" s="1284"/>
      <c r="C33" s="1284"/>
      <c r="D33" s="1284"/>
      <c r="E33" s="1284"/>
      <c r="F33" s="1284"/>
      <c r="G33" s="1284"/>
      <c r="H33" s="1284"/>
      <c r="I33" s="1284"/>
      <c r="J33" s="1284"/>
      <c r="K33" s="1284"/>
      <c r="L33" s="1285"/>
      <c r="M33" s="1284"/>
      <c r="N33" s="1284"/>
      <c r="O33" s="1284"/>
      <c r="S33" s="4066" t="s">
        <v>415</v>
      </c>
      <c r="T33" s="4066"/>
      <c r="U33" s="1288"/>
      <c r="V33" s="4067" t="str">
        <f>IF(TITLE_NUMBER_PR_CHANGE="",IF(TITLE_NUMBER_PR="","",TITLE_NUMBER_PR),TITLE_NUMBER_PR_CHANGE)</f>
        <v>761-1/201-1</v>
      </c>
      <c r="W33" s="4067"/>
      <c r="X33" s="4067"/>
      <c r="Y33" s="4067"/>
      <c r="Z33" s="4067"/>
      <c r="AA33" s="4067"/>
      <c r="AB33" s="253"/>
      <c r="AC33" s="4067" t="str">
        <f>IF(TITLE_NUMBER_PR_CHANGE="",IF(TITLE_NUMBER_PR="","",TITLE_NUMBER_PR),TITLE_NUMBER_PR_CHANGE)</f>
        <v>761-1/201-1</v>
      </c>
      <c r="AD33" s="4067"/>
      <c r="AE33" s="4067"/>
      <c r="AF33" s="4067"/>
      <c r="AG33" s="4067"/>
      <c r="AH33" s="4067"/>
      <c r="AI33" s="253"/>
      <c r="AJ33" s="253"/>
      <c r="AK33" s="200"/>
      <c r="AL33" s="296"/>
      <c r="AM33" s="296"/>
      <c r="AN33" s="296"/>
      <c r="AO33" s="296"/>
      <c r="AP33" s="296"/>
    </row>
    <row r="34" spans="1:42" s="2564"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416</v>
      </c>
      <c r="AC34" s="253"/>
      <c r="AD34" s="253"/>
      <c r="AE34" s="253"/>
      <c r="AF34" s="253"/>
      <c r="AG34" s="253"/>
      <c r="AH34" s="253"/>
      <c r="AI34" s="198" t="s">
        <v>416</v>
      </c>
      <c r="AL34" s="296"/>
      <c r="AM34" s="296"/>
      <c r="AN34" s="296"/>
      <c r="AO34" s="296"/>
      <c r="AP34" s="296"/>
    </row>
    <row r="35" spans="1:42" ht="14.25" customHeight="1">
      <c r="Q35" s="305"/>
      <c r="R35" s="305"/>
      <c r="S35" s="1195"/>
      <c r="T35" s="290"/>
      <c r="U35" s="1153"/>
      <c r="V35" s="4068"/>
      <c r="W35" s="4068"/>
      <c r="X35" s="4068"/>
      <c r="Y35" s="4068"/>
      <c r="Z35" s="4068"/>
      <c r="AA35" s="4068"/>
      <c r="AB35" s="4068"/>
      <c r="AC35" s="4068"/>
      <c r="AD35" s="4068"/>
      <c r="AE35" s="4068"/>
      <c r="AF35" s="4068"/>
      <c r="AG35" s="4068"/>
      <c r="AH35" s="4068"/>
      <c r="AI35" s="4068"/>
    </row>
    <row r="36" spans="1:42" ht="14.25" customHeight="1">
      <c r="Q36" s="305"/>
      <c r="R36" s="305"/>
      <c r="S36" s="3946" t="s">
        <v>290</v>
      </c>
      <c r="T36" s="3946"/>
      <c r="U36" s="3946"/>
      <c r="V36" s="3946"/>
      <c r="W36" s="3946"/>
      <c r="X36" s="3946"/>
      <c r="Y36" s="3946"/>
      <c r="Z36" s="3946"/>
      <c r="AA36" s="3946"/>
      <c r="AB36" s="3946"/>
      <c r="AC36" s="3946"/>
      <c r="AD36" s="3946"/>
      <c r="AE36" s="3946"/>
      <c r="AF36" s="3946"/>
      <c r="AG36" s="3946"/>
      <c r="AH36" s="3946"/>
      <c r="AI36" s="3946"/>
      <c r="AJ36" s="3946"/>
      <c r="AK36" s="3946" t="s">
        <v>291</v>
      </c>
    </row>
    <row r="37" spans="1:42" ht="14.25" customHeight="1">
      <c r="Q37" s="305"/>
      <c r="R37" s="305"/>
      <c r="S37" s="4082" t="s">
        <v>86</v>
      </c>
      <c r="T37" s="4033" t="s">
        <v>418</v>
      </c>
      <c r="U37" s="220"/>
      <c r="V37" s="4083" t="s">
        <v>419</v>
      </c>
      <c r="W37" s="4084"/>
      <c r="X37" s="4084"/>
      <c r="Y37" s="4084"/>
      <c r="Z37" s="4084"/>
      <c r="AA37" s="4085"/>
      <c r="AB37" s="4086" t="s">
        <v>420</v>
      </c>
      <c r="AC37" s="4083" t="s">
        <v>419</v>
      </c>
      <c r="AD37" s="4084"/>
      <c r="AE37" s="4084"/>
      <c r="AF37" s="4084"/>
      <c r="AG37" s="4084"/>
      <c r="AH37" s="4085"/>
      <c r="AI37" s="4086" t="s">
        <v>421</v>
      </c>
      <c r="AJ37" s="4089" t="s">
        <v>422</v>
      </c>
      <c r="AK37" s="3946"/>
    </row>
    <row r="38" spans="1:42" ht="33.75" customHeight="1">
      <c r="Q38" s="305"/>
      <c r="R38" s="305"/>
      <c r="S38" s="4082"/>
      <c r="T38" s="4033"/>
      <c r="U38" s="938"/>
      <c r="V38" s="1393" t="s">
        <v>480</v>
      </c>
      <c r="W38" s="3918" t="s">
        <v>425</v>
      </c>
      <c r="X38" s="3917"/>
      <c r="Y38" s="3918" t="s">
        <v>426</v>
      </c>
      <c r="Z38" s="3923"/>
      <c r="AA38" s="3917"/>
      <c r="AB38" s="4087"/>
      <c r="AC38" s="1393" t="s">
        <v>480</v>
      </c>
      <c r="AD38" s="3918" t="s">
        <v>425</v>
      </c>
      <c r="AE38" s="3917"/>
      <c r="AF38" s="3918" t="s">
        <v>426</v>
      </c>
      <c r="AG38" s="3923"/>
      <c r="AH38" s="3917"/>
      <c r="AI38" s="4087"/>
      <c r="AJ38" s="4090"/>
      <c r="AK38" s="3946"/>
    </row>
    <row r="39" spans="1:42" ht="86.25" customHeight="1">
      <c r="A39" s="1286"/>
      <c r="B39" s="1286" t="s">
        <v>133</v>
      </c>
      <c r="C39" s="1286" t="s">
        <v>134</v>
      </c>
      <c r="D39" s="1286" t="s">
        <v>135</v>
      </c>
      <c r="E39" s="1280" t="s">
        <v>427</v>
      </c>
      <c r="F39" s="1280" t="s">
        <v>428</v>
      </c>
      <c r="G39" s="1280" t="s">
        <v>429</v>
      </c>
      <c r="H39" s="1280"/>
      <c r="I39" s="1280" t="s">
        <v>481</v>
      </c>
      <c r="J39" s="1280" t="s">
        <v>432</v>
      </c>
      <c r="K39" s="1280" t="s">
        <v>482</v>
      </c>
      <c r="L39" s="1280" t="s">
        <v>407</v>
      </c>
      <c r="Q39" s="305"/>
      <c r="R39" s="305"/>
      <c r="S39" s="4082"/>
      <c r="T39" s="4033"/>
      <c r="U39" s="221"/>
      <c r="V39" s="1393" t="s">
        <v>507</v>
      </c>
      <c r="W39" s="1128" t="s">
        <v>508</v>
      </c>
      <c r="X39" s="1128" t="s">
        <v>485</v>
      </c>
      <c r="Y39" s="1399" t="s">
        <v>436</v>
      </c>
      <c r="Z39" s="4042" t="s">
        <v>437</v>
      </c>
      <c r="AA39" s="4044"/>
      <c r="AB39" s="4088"/>
      <c r="AC39" s="1393" t="s">
        <v>507</v>
      </c>
      <c r="AD39" s="1128" t="s">
        <v>508</v>
      </c>
      <c r="AE39" s="1128" t="s">
        <v>485</v>
      </c>
      <c r="AF39" s="1399" t="s">
        <v>436</v>
      </c>
      <c r="AG39" s="4042" t="s">
        <v>437</v>
      </c>
      <c r="AH39" s="4044"/>
      <c r="AI39" s="4088"/>
      <c r="AJ39" s="4091"/>
      <c r="AK39" s="3946"/>
    </row>
    <row r="40" spans="1:42" s="1820"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107</v>
      </c>
      <c r="T40" s="1172" t="s">
        <v>108</v>
      </c>
      <c r="U40" s="1154" t="str">
        <f ca="1">OFFSET(U40,0,-1)</f>
        <v>2</v>
      </c>
      <c r="V40" s="1392">
        <f ca="1">OFFSET(V40,0,-1)+1</f>
        <v>3</v>
      </c>
      <c r="W40" s="1392">
        <f ca="1">OFFSET(W40,0,-1)+1</f>
        <v>4</v>
      </c>
      <c r="X40" s="1392">
        <f ca="1">OFFSET(X40,0,-1)+1</f>
        <v>5</v>
      </c>
      <c r="Y40" s="1392">
        <f ca="1">OFFSET(Y40,0,-1)+1</f>
        <v>6</v>
      </c>
      <c r="Z40" s="4081">
        <f ca="1">OFFSET(Z40,0,-1)+1</f>
        <v>7</v>
      </c>
      <c r="AA40" s="4081"/>
      <c r="AB40" s="1392">
        <f ca="1">OFFSET(AB40,0,-2)+1</f>
        <v>8</v>
      </c>
      <c r="AC40" s="1392">
        <f ca="1">OFFSET(AC40,0,-1)+1</f>
        <v>9</v>
      </c>
      <c r="AD40" s="1392">
        <f ca="1">OFFSET(AD40,0,-1)+1</f>
        <v>10</v>
      </c>
      <c r="AE40" s="1392">
        <f ca="1">OFFSET(AE40,0,-1)+1</f>
        <v>11</v>
      </c>
      <c r="AF40" s="1392">
        <f ca="1">OFFSET(AF40,0,-1)+1</f>
        <v>12</v>
      </c>
      <c r="AG40" s="4081">
        <f ca="1">OFFSET(AG40,0,-1)+1</f>
        <v>13</v>
      </c>
      <c r="AH40" s="4081"/>
      <c r="AI40" s="1392">
        <f ca="1">OFFSET(AI40,0,-2)+1</f>
        <v>14</v>
      </c>
      <c r="AJ40" s="1154">
        <f ca="1">OFFSET(AJ40,0,-1)</f>
        <v>14</v>
      </c>
      <c r="AK40" s="1392">
        <f ca="1">OFFSET(AK40,0,-1)+1</f>
        <v>15</v>
      </c>
      <c r="AL40" s="437"/>
      <c r="AM40" s="437"/>
      <c r="AN40" s="437"/>
      <c r="AO40" s="437"/>
      <c r="AP40" s="437"/>
    </row>
    <row r="41" spans="1:42" ht="23.25" customHeight="1">
      <c r="A41" s="1279" t="s">
        <v>256</v>
      </c>
      <c r="B41" s="1279"/>
      <c r="C41" s="1279"/>
      <c r="D41" s="1279"/>
      <c r="E41" s="4074">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121</v>
      </c>
      <c r="U41" s="219"/>
      <c r="V41" s="4060"/>
      <c r="W41" s="4061"/>
      <c r="X41" s="4061"/>
      <c r="Y41" s="4061"/>
      <c r="Z41" s="4061"/>
      <c r="AA41" s="4061"/>
      <c r="AB41" s="4062"/>
      <c r="AC41" s="4060" t="str">
        <f>INDEX(PT_DIFFERENTIATION_NTAR,MATCH(A41,PT_DIFFERENTIATION_NTAR_ID,0))</f>
        <v/>
      </c>
      <c r="AD41" s="4061"/>
      <c r="AE41" s="4061"/>
      <c r="AF41" s="4061"/>
      <c r="AG41" s="4061"/>
      <c r="AH41" s="4061"/>
      <c r="AI41" s="4061"/>
      <c r="AJ41" s="4062"/>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256</v>
      </c>
      <c r="B42" s="1279" t="s">
        <v>257</v>
      </c>
      <c r="C42" s="1279"/>
      <c r="D42" s="1279"/>
      <c r="E42" s="4075"/>
      <c r="F42" s="4074">
        <v>1</v>
      </c>
      <c r="G42" s="1279"/>
      <c r="H42" s="1279"/>
      <c r="I42" s="1279"/>
      <c r="J42" s="1279"/>
      <c r="K42" s="1279"/>
      <c r="L42" s="1280"/>
      <c r="M42" s="1281"/>
      <c r="N42" s="1281"/>
      <c r="O42" s="1281"/>
      <c r="P42" s="1397"/>
      <c r="Q42" s="277"/>
      <c r="R42" s="278"/>
      <c r="S42" s="1403" t="str">
        <f>INDEX(PT_DIFFERENTIATION_NUM_TER,MATCH(B42,PT_DIFFERENTIATION_TER_ID,0))</f>
        <v>.</v>
      </c>
      <c r="T42" s="229" t="s">
        <v>389</v>
      </c>
      <c r="U42" s="219"/>
      <c r="V42" s="4060"/>
      <c r="W42" s="4061"/>
      <c r="X42" s="4061"/>
      <c r="Y42" s="4061"/>
      <c r="Z42" s="4061"/>
      <c r="AA42" s="4061"/>
      <c r="AB42" s="4062"/>
      <c r="AC42" s="4060" t="str">
        <f>INDEX(PT_DIFFERENTIATION_TER,MATCH(B42,PT_DIFFERENTIATION_TER_ID,0))</f>
        <v/>
      </c>
      <c r="AD42" s="4061"/>
      <c r="AE42" s="4061"/>
      <c r="AF42" s="4061"/>
      <c r="AG42" s="4061"/>
      <c r="AH42" s="4061"/>
      <c r="AI42" s="4061"/>
      <c r="AJ42" s="4062"/>
      <c r="AK42" s="1177" t="s">
        <v>390</v>
      </c>
      <c r="AM42" s="426"/>
      <c r="AN42" s="426" t="str">
        <f t="shared" si="1"/>
        <v>Территория действия тарифа</v>
      </c>
      <c r="AO42" s="426"/>
      <c r="AP42" s="426"/>
    </row>
    <row r="43" spans="1:42" ht="23.25" customHeight="1">
      <c r="A43" s="1279" t="s">
        <v>256</v>
      </c>
      <c r="B43" s="1279" t="s">
        <v>257</v>
      </c>
      <c r="C43" s="1279" t="s">
        <v>258</v>
      </c>
      <c r="D43" s="1279"/>
      <c r="E43" s="4075"/>
      <c r="F43" s="4075"/>
      <c r="G43" s="4074">
        <v>1</v>
      </c>
      <c r="H43" s="1279"/>
      <c r="I43" s="1279"/>
      <c r="J43" s="1279"/>
      <c r="K43" s="1279"/>
      <c r="L43" s="1280"/>
      <c r="M43" s="1281"/>
      <c r="N43" s="1281"/>
      <c r="O43" s="1281"/>
      <c r="P43" s="279"/>
      <c r="Q43" s="277"/>
      <c r="R43" s="278"/>
      <c r="S43" s="1403" t="str">
        <f>INDEX(PT_DIFFERENTIATION_NUM_CS,MATCH(C43,PT_DIFFERENTIATION_CS_ID,0))</f>
        <v>..</v>
      </c>
      <c r="T43" s="230" t="s">
        <v>505</v>
      </c>
      <c r="U43" s="219"/>
      <c r="V43" s="4060"/>
      <c r="W43" s="4061"/>
      <c r="X43" s="4061"/>
      <c r="Y43" s="4061"/>
      <c r="Z43" s="4061"/>
      <c r="AA43" s="4061"/>
      <c r="AB43" s="4062"/>
      <c r="AC43" s="4060" t="str">
        <f>INDEX(PT_DIFFERENTIATION_CS,MATCH(C43,PT_DIFFERENTIATION_CS_ID,0))</f>
        <v/>
      </c>
      <c r="AD43" s="4061"/>
      <c r="AE43" s="4061"/>
      <c r="AF43" s="4061"/>
      <c r="AG43" s="4061"/>
      <c r="AH43" s="4061"/>
      <c r="AI43" s="4061"/>
      <c r="AJ43" s="4062"/>
      <c r="AK43" s="1177" t="s">
        <v>506</v>
      </c>
      <c r="AM43" s="426"/>
      <c r="AN43" s="426" t="str">
        <f t="shared" si="1"/>
        <v>Наименование централизованной системы водоотведения</v>
      </c>
      <c r="AO43" s="426"/>
      <c r="AP43" s="426"/>
    </row>
    <row r="44" spans="1:42" ht="23.25" customHeight="1">
      <c r="A44" s="1279" t="s">
        <v>256</v>
      </c>
      <c r="B44" s="1279" t="s">
        <v>257</v>
      </c>
      <c r="C44" s="1279" t="s">
        <v>258</v>
      </c>
      <c r="D44" s="1279" t="s">
        <v>509</v>
      </c>
      <c r="E44" s="4075"/>
      <c r="F44" s="4075"/>
      <c r="G44" s="4075"/>
      <c r="H44" s="4075"/>
      <c r="I44" s="4072" t="str">
        <f>S43&amp;".1"</f>
        <v>...1</v>
      </c>
      <c r="J44" s="1279"/>
      <c r="K44" s="1279"/>
      <c r="L44" s="1280"/>
      <c r="P44" s="4073">
        <v>1</v>
      </c>
      <c r="Q44" s="1391"/>
      <c r="R44" s="281"/>
      <c r="S44" s="1403" t="str">
        <f>$I44</f>
        <v>...1</v>
      </c>
      <c r="T44" s="204" t="s">
        <v>474</v>
      </c>
      <c r="U44" s="219"/>
      <c r="V44" s="4133"/>
      <c r="W44" s="4134"/>
      <c r="X44" s="4134"/>
      <c r="Y44" s="4134"/>
      <c r="Z44" s="4134"/>
      <c r="AA44" s="4134"/>
      <c r="AB44" s="4135"/>
      <c r="AC44" s="4136"/>
      <c r="AD44" s="4137"/>
      <c r="AE44" s="4137"/>
      <c r="AF44" s="4137"/>
      <c r="AG44" s="4137"/>
      <c r="AH44" s="4137"/>
      <c r="AI44" s="4137"/>
      <c r="AJ44" s="4138"/>
      <c r="AK44" s="1177" t="s">
        <v>475</v>
      </c>
      <c r="AM44" s="426"/>
      <c r="AN44" s="426" t="str">
        <f t="shared" si="1"/>
        <v>Наименование признака дифференциации</v>
      </c>
      <c r="AO44" s="426"/>
      <c r="AP44" s="426"/>
    </row>
    <row r="45" spans="1:42" ht="23.25" customHeight="1">
      <c r="A45" s="1279" t="s">
        <v>256</v>
      </c>
      <c r="B45" s="1279" t="s">
        <v>257</v>
      </c>
      <c r="C45" s="1279" t="s">
        <v>258</v>
      </c>
      <c r="D45" s="1279" t="s">
        <v>509</v>
      </c>
      <c r="E45" s="4075"/>
      <c r="F45" s="4075"/>
      <c r="G45" s="4075"/>
      <c r="H45" s="4075"/>
      <c r="I45" s="4095"/>
      <c r="J45" s="4072" t="str">
        <f>I44&amp;".1"</f>
        <v>...1.1</v>
      </c>
      <c r="K45" s="1279"/>
      <c r="L45" s="1280" t="s">
        <v>398</v>
      </c>
      <c r="P45" s="4073"/>
      <c r="Q45" s="4073">
        <v>1</v>
      </c>
      <c r="R45" s="282"/>
      <c r="S45" s="1403" t="str">
        <f>$J45</f>
        <v>...1.1</v>
      </c>
      <c r="T45" s="205" t="s">
        <v>399</v>
      </c>
      <c r="U45" s="219"/>
      <c r="V45" s="4063"/>
      <c r="W45" s="4064"/>
      <c r="X45" s="4064"/>
      <c r="Y45" s="4064"/>
      <c r="Z45" s="4064"/>
      <c r="AA45" s="4064"/>
      <c r="AB45" s="4065"/>
      <c r="AC45" s="4063"/>
      <c r="AD45" s="4064"/>
      <c r="AE45" s="4064"/>
      <c r="AF45" s="4064"/>
      <c r="AG45" s="4064"/>
      <c r="AH45" s="4064"/>
      <c r="AI45" s="4064"/>
      <c r="AJ45" s="4065"/>
      <c r="AK45" s="1226" t="s">
        <v>476</v>
      </c>
      <c r="AM45" s="426"/>
      <c r="AN45" s="426" t="str">
        <f t="shared" si="1"/>
        <v>Группа потребителей</v>
      </c>
      <c r="AO45" s="426"/>
      <c r="AP45" s="426"/>
    </row>
    <row r="46" spans="1:42" ht="23.25" customHeight="1">
      <c r="A46" s="1279" t="s">
        <v>256</v>
      </c>
      <c r="B46" s="1279" t="s">
        <v>257</v>
      </c>
      <c r="C46" s="1279" t="s">
        <v>258</v>
      </c>
      <c r="D46" s="1279" t="s">
        <v>509</v>
      </c>
      <c r="E46" s="4075"/>
      <c r="F46" s="4075"/>
      <c r="G46" s="4075"/>
      <c r="H46" s="4075"/>
      <c r="I46" s="4095"/>
      <c r="J46" s="4095"/>
      <c r="K46" s="4072" t="str">
        <f>J45&amp;".1"</f>
        <v>...1.1.1</v>
      </c>
      <c r="L46" s="1280"/>
      <c r="P46" s="4073"/>
      <c r="Q46" s="4073"/>
      <c r="R46" s="282">
        <v>1</v>
      </c>
      <c r="S46" s="1403" t="str">
        <f>$K46</f>
        <v>...1.1.1</v>
      </c>
      <c r="T46" s="1352"/>
      <c r="U46" s="219"/>
      <c r="V46" s="1276"/>
      <c r="W46" s="1276"/>
      <c r="X46" s="1277"/>
      <c r="Y46" s="4079"/>
      <c r="Z46" s="4080" t="s">
        <v>65</v>
      </c>
      <c r="AA46" s="4079"/>
      <c r="AB46" s="4080" t="s">
        <v>65</v>
      </c>
      <c r="AC46" s="668"/>
      <c r="AD46" s="668"/>
      <c r="AE46" s="1176"/>
      <c r="AF46" s="4077"/>
      <c r="AG46" s="3927" t="s">
        <v>65</v>
      </c>
      <c r="AH46" s="4096"/>
      <c r="AI46" s="3927" t="s">
        <v>55</v>
      </c>
      <c r="AJ46" s="1353"/>
      <c r="AK46" s="41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256</v>
      </c>
      <c r="B47" s="1279" t="s">
        <v>257</v>
      </c>
      <c r="C47" s="1279" t="s">
        <v>258</v>
      </c>
      <c r="D47" s="1279" t="s">
        <v>509</v>
      </c>
      <c r="E47" s="4075"/>
      <c r="F47" s="4075"/>
      <c r="G47" s="4075"/>
      <c r="H47" s="4075"/>
      <c r="I47" s="4095"/>
      <c r="J47" s="4095"/>
      <c r="K47" s="4072"/>
      <c r="L47" s="1280"/>
      <c r="P47" s="4073"/>
      <c r="Q47" s="4073"/>
      <c r="R47" s="282"/>
      <c r="S47" s="1400"/>
      <c r="T47" s="219"/>
      <c r="U47" s="219"/>
      <c r="V47" s="1276"/>
      <c r="W47" s="1276"/>
      <c r="X47" s="255" t="str">
        <f>Y46&amp;"-"&amp;AA46</f>
        <v>-</v>
      </c>
      <c r="Y47" s="4080"/>
      <c r="Z47" s="4080"/>
      <c r="AA47" s="4080"/>
      <c r="AB47" s="4080"/>
      <c r="AC47" s="251"/>
      <c r="AD47" s="251"/>
      <c r="AE47" s="255" t="str">
        <f>AF46&amp;"-"&amp;AH46</f>
        <v>-</v>
      </c>
      <c r="AF47" s="4078"/>
      <c r="AG47" s="3927"/>
      <c r="AH47" s="4097"/>
      <c r="AI47" s="3927"/>
      <c r="AJ47" s="1354"/>
      <c r="AK47" s="4132"/>
      <c r="AM47" s="426"/>
      <c r="AN47" s="426" t="str">
        <f t="shared" si="1"/>
        <v/>
      </c>
      <c r="AO47" s="426"/>
      <c r="AP47" s="426"/>
    </row>
    <row r="48" spans="1:42" ht="21" customHeight="1">
      <c r="A48" s="1279" t="s">
        <v>256</v>
      </c>
      <c r="B48" s="1279" t="s">
        <v>257</v>
      </c>
      <c r="C48" s="1279" t="s">
        <v>258</v>
      </c>
      <c r="D48" s="1279" t="s">
        <v>509</v>
      </c>
      <c r="E48" s="4075"/>
      <c r="F48" s="4075"/>
      <c r="G48" s="4075"/>
      <c r="H48" s="4075"/>
      <c r="I48" s="4095"/>
      <c r="J48" s="4072"/>
      <c r="K48" s="1279"/>
      <c r="L48" s="1280"/>
      <c r="P48" s="4073"/>
      <c r="Q48" s="4073"/>
      <c r="R48" s="281"/>
      <c r="S48" s="1198"/>
      <c r="T48" s="206" t="s">
        <v>477</v>
      </c>
      <c r="U48" s="295"/>
      <c r="V48" s="295"/>
      <c r="W48" s="295"/>
      <c r="X48" s="295"/>
      <c r="Y48" s="295"/>
      <c r="Z48" s="295"/>
      <c r="AA48" s="295"/>
      <c r="AB48" s="295"/>
      <c r="AC48" s="295"/>
      <c r="AD48" s="295"/>
      <c r="AE48" s="295"/>
      <c r="AF48" s="295"/>
      <c r="AG48" s="295"/>
      <c r="AH48" s="295"/>
      <c r="AI48" s="295"/>
      <c r="AJ48" s="295"/>
      <c r="AK48" s="1177" t="s">
        <v>478</v>
      </c>
      <c r="AM48" s="426"/>
      <c r="AN48" s="426" t="str">
        <f t="shared" si="1"/>
        <v>Добавить значение признака дифференциации</v>
      </c>
      <c r="AO48" s="426"/>
      <c r="AP48" s="426"/>
    </row>
    <row r="49" spans="1:42" ht="21" customHeight="1">
      <c r="A49" s="1279" t="s">
        <v>256</v>
      </c>
      <c r="B49" s="1279" t="s">
        <v>257</v>
      </c>
      <c r="C49" s="1279" t="s">
        <v>258</v>
      </c>
      <c r="D49" s="1279" t="s">
        <v>509</v>
      </c>
      <c r="E49" s="4075"/>
      <c r="F49" s="4075"/>
      <c r="G49" s="4075"/>
      <c r="H49" s="4075"/>
      <c r="I49" s="4072"/>
      <c r="J49" s="1279"/>
      <c r="K49" s="1279"/>
      <c r="L49" s="1280"/>
      <c r="P49" s="4073"/>
      <c r="Q49" s="1391"/>
      <c r="R49" s="281"/>
      <c r="S49" s="1198"/>
      <c r="T49" s="292" t="s">
        <v>404</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256</v>
      </c>
      <c r="B50" s="1279" t="s">
        <v>257</v>
      </c>
      <c r="C50" s="1279" t="s">
        <v>258</v>
      </c>
      <c r="D50" s="1279" t="s">
        <v>509</v>
      </c>
      <c r="E50" s="4075"/>
      <c r="F50" s="4075"/>
      <c r="G50" s="4075"/>
      <c r="H50" s="4074"/>
      <c r="I50" s="1279"/>
      <c r="J50" s="1279"/>
      <c r="K50" s="1279"/>
      <c r="L50" s="1280"/>
      <c r="M50" s="1281"/>
      <c r="N50" s="1281"/>
      <c r="O50" s="462"/>
      <c r="P50" s="285"/>
      <c r="Q50" s="304"/>
      <c r="R50" s="280"/>
      <c r="S50" s="1198"/>
      <c r="T50" s="300" t="s">
        <v>479</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2550" customFormat="1" ht="0" hidden="1" customHeight="1">
      <c r="A51" s="1260" t="s">
        <v>256</v>
      </c>
      <c r="B51" s="1260" t="s">
        <v>257</v>
      </c>
      <c r="C51" s="1232"/>
      <c r="D51" s="1232"/>
      <c r="E51" s="4075"/>
      <c r="F51" s="4074"/>
      <c r="G51" s="1232"/>
      <c r="H51" s="1232"/>
      <c r="I51" s="1232"/>
      <c r="J51" s="1232"/>
      <c r="K51" s="1232"/>
      <c r="L51" s="1404"/>
      <c r="M51" s="1239"/>
      <c r="N51" s="1239"/>
      <c r="P51" s="1234"/>
      <c r="Q51" s="1235"/>
      <c r="R51" s="1234"/>
      <c r="S51" s="1240"/>
      <c r="T51" s="1243" t="s">
        <v>167</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1" customFormat="1" ht="0" hidden="1" customHeight="1">
      <c r="A52" s="1260" t="s">
        <v>256</v>
      </c>
      <c r="B52" s="1260"/>
      <c r="C52" s="1260"/>
      <c r="D52" s="1260"/>
      <c r="E52" s="4074"/>
      <c r="F52" s="1260"/>
      <c r="G52" s="1260"/>
      <c r="H52" s="1260"/>
      <c r="I52" s="1260"/>
      <c r="J52" s="1260"/>
      <c r="K52" s="1260"/>
      <c r="L52" s="1263"/>
      <c r="M52" s="1239"/>
      <c r="N52" s="1239"/>
      <c r="O52" s="444"/>
      <c r="P52" s="313"/>
      <c r="Q52" s="1261"/>
      <c r="R52" s="313"/>
      <c r="S52" s="1240"/>
      <c r="T52" s="1243" t="s">
        <v>168</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2550"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169</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4094"/>
      <c r="U55" s="4094"/>
      <c r="V55" s="4094"/>
      <c r="W55" s="4094"/>
      <c r="X55" s="4094"/>
      <c r="Y55" s="4094"/>
      <c r="Z55" s="4094"/>
      <c r="AA55" s="4094"/>
      <c r="AB55" s="4094"/>
      <c r="AC55" s="4094"/>
      <c r="AD55" s="4094"/>
      <c r="AE55" s="4094"/>
      <c r="AF55" s="4094"/>
      <c r="AG55" s="4094"/>
      <c r="AH55" s="4094"/>
      <c r="AI55" s="4094"/>
      <c r="AJ55" s="4094"/>
      <c r="AK55" s="4094"/>
    </row>
    <row r="56" spans="1:42" ht="14.25" customHeight="1">
      <c r="O56" s="462"/>
    </row>
    <row r="57" spans="1:42" ht="14.25" customHeight="1">
      <c r="O57" s="462"/>
      <c r="S57" s="1164"/>
      <c r="T57" s="4094"/>
      <c r="U57" s="4094"/>
      <c r="V57" s="4094"/>
      <c r="W57" s="4094"/>
      <c r="X57" s="4094"/>
      <c r="Y57" s="4094"/>
      <c r="Z57" s="4094"/>
      <c r="AA57" s="4094"/>
      <c r="AB57" s="4094"/>
      <c r="AC57" s="4094"/>
      <c r="AD57" s="4094"/>
      <c r="AE57" s="4094"/>
      <c r="AF57" s="4094"/>
      <c r="AG57" s="4094"/>
      <c r="AH57" s="4094"/>
      <c r="AI57" s="4094"/>
      <c r="AJ57" s="4094"/>
      <c r="AK57" s="409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553" hidden="1"/>
    <col min="2" max="2" width="11" style="2553" hidden="1" customWidth="1"/>
    <col min="3" max="3" width="10.5703125" style="2553" hidden="1"/>
    <col min="4" max="4" width="11.85546875" style="2553" hidden="1" customWidth="1"/>
    <col min="5" max="5" width="10" style="2553" hidden="1" customWidth="1"/>
    <col min="6" max="6" width="8.7109375" style="2553" hidden="1" customWidth="1"/>
    <col min="7" max="7" width="7.5703125" style="2553" hidden="1" customWidth="1"/>
    <col min="8" max="8" width="11.42578125" style="2553" hidden="1" customWidth="1"/>
    <col min="9" max="9" width="14.140625" style="2553" hidden="1" customWidth="1"/>
    <col min="10" max="10" width="9.85546875" style="2553" hidden="1" customWidth="1"/>
    <col min="11" max="11" width="14.7109375" style="2553" hidden="1" customWidth="1"/>
    <col min="12" max="12" width="19.140625" style="3808" hidden="1" customWidth="1"/>
    <col min="13" max="14" width="12.28515625" style="2555" hidden="1" customWidth="1"/>
    <col min="15" max="15" width="23.42578125" style="2555" hidden="1" customWidth="1"/>
    <col min="16" max="16" width="3.7109375" style="3809" customWidth="1"/>
    <col min="17" max="18" width="3.7109375" style="3173" customWidth="1"/>
    <col min="19" max="19" width="12.7109375" style="3174" customWidth="1"/>
    <col min="20" max="20" width="35.7109375" style="1920" customWidth="1"/>
    <col min="21" max="21" width="0.140625" style="1920" customWidth="1"/>
    <col min="22" max="24" width="24.7109375" style="1920" hidden="1" customWidth="1"/>
    <col min="25" max="25" width="11.7109375" style="1920" hidden="1" customWidth="1"/>
    <col min="26" max="26" width="3.7109375" style="1920" hidden="1" customWidth="1"/>
    <col min="27" max="27" width="11.7109375" style="1920" hidden="1" customWidth="1"/>
    <col min="28" max="28" width="8.5703125" style="1920" hidden="1" customWidth="1"/>
    <col min="29" max="31" width="24.7109375" style="1920" customWidth="1"/>
    <col min="32" max="32" width="11.7109375" style="1920" customWidth="1"/>
    <col min="33" max="33" width="3.7109375" style="1920" customWidth="1"/>
    <col min="34" max="34" width="11.7109375" style="1920" customWidth="1"/>
    <col min="35" max="35" width="8.5703125" style="1920" hidden="1" customWidth="1"/>
    <col min="36" max="36" width="4.7109375" style="1920" customWidth="1"/>
    <col min="37" max="37" width="115.7109375" style="1920" customWidth="1"/>
    <col min="38" max="39" width="10.5703125" style="1821"/>
    <col min="40" max="40" width="11.140625" style="1821" customWidth="1"/>
    <col min="41" max="42" width="10.5703125" style="1821"/>
  </cols>
  <sheetData>
    <row r="1" spans="1:42" ht="14.25" hidden="1" customHeight="1">
      <c r="X1" s="254"/>
      <c r="Y1" s="254"/>
      <c r="AE1" s="254"/>
      <c r="AF1" s="254"/>
    </row>
    <row r="2" spans="1:42" ht="23.25" hidden="1" customHeight="1">
      <c r="A2" s="1279"/>
      <c r="B2" s="1279"/>
      <c r="C2" s="1279"/>
      <c r="D2" s="1279"/>
      <c r="E2" s="4074">
        <v>1</v>
      </c>
      <c r="F2" s="1279"/>
      <c r="G2" s="1279"/>
      <c r="H2" s="1279"/>
      <c r="I2" s="1279"/>
      <c r="J2" s="1279"/>
      <c r="K2" s="1279"/>
      <c r="L2" s="1280"/>
      <c r="M2" s="1281"/>
      <c r="N2" s="1281"/>
      <c r="O2" s="1281"/>
      <c r="P2" s="286"/>
      <c r="Q2" s="285"/>
      <c r="R2" s="280"/>
      <c r="S2" s="1403" t="e">
        <f>INDEX(PT_DIFFERENTIATION_NUM_NTAR,MATCH(A2,PT_DIFFERENTIATION_NTAR_ID,0))</f>
        <v>#N/A</v>
      </c>
      <c r="T2" s="217" t="s">
        <v>121</v>
      </c>
      <c r="U2" s="219"/>
      <c r="V2" s="4060"/>
      <c r="W2" s="4061"/>
      <c r="X2" s="4061"/>
      <c r="Y2" s="4061"/>
      <c r="Z2" s="4061"/>
      <c r="AA2" s="4061"/>
      <c r="AB2" s="4062"/>
      <c r="AC2" s="4060" t="e">
        <f>INDEX(PT_DIFFERENTIATION_NTAR,MATCH(A2,PT_DIFFERENTIATION_NTAR_ID,0))</f>
        <v>#N/A</v>
      </c>
      <c r="AD2" s="4061"/>
      <c r="AE2" s="4061"/>
      <c r="AF2" s="4061"/>
      <c r="AG2" s="4061"/>
      <c r="AH2" s="4061"/>
      <c r="AI2" s="4061"/>
      <c r="AJ2" s="4062"/>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4075"/>
      <c r="F3" s="4074">
        <v>1</v>
      </c>
      <c r="G3" s="1279"/>
      <c r="H3" s="1279"/>
      <c r="I3" s="1279"/>
      <c r="J3" s="1279"/>
      <c r="K3" s="1279"/>
      <c r="L3" s="1280"/>
      <c r="M3" s="1281"/>
      <c r="N3" s="1281"/>
      <c r="O3" s="1281"/>
      <c r="P3" s="1397"/>
      <c r="Q3" s="277"/>
      <c r="R3" s="278"/>
      <c r="S3" s="1403" t="e">
        <f>INDEX(PT_DIFFERENTIATION_NUM_TER,MATCH(B3,PT_DIFFERENTIATION_TER_ID,0))</f>
        <v>#N/A</v>
      </c>
      <c r="T3" s="229" t="s">
        <v>389</v>
      </c>
      <c r="U3" s="219"/>
      <c r="V3" s="4060"/>
      <c r="W3" s="4061"/>
      <c r="X3" s="4061"/>
      <c r="Y3" s="4061"/>
      <c r="Z3" s="4061"/>
      <c r="AA3" s="4061"/>
      <c r="AB3" s="4062"/>
      <c r="AC3" s="4060" t="e">
        <f>INDEX(PT_DIFFERENTIATION_TER,MATCH(B3,PT_DIFFERENTIATION_TER_ID,0))</f>
        <v>#N/A</v>
      </c>
      <c r="AD3" s="4061"/>
      <c r="AE3" s="4061"/>
      <c r="AF3" s="4061"/>
      <c r="AG3" s="4061"/>
      <c r="AH3" s="4061"/>
      <c r="AI3" s="4061"/>
      <c r="AJ3" s="4062"/>
      <c r="AK3" s="1177" t="s">
        <v>390</v>
      </c>
      <c r="AM3" s="426"/>
      <c r="AN3" s="426" t="str">
        <f t="shared" si="0"/>
        <v>Территория действия тарифа</v>
      </c>
      <c r="AO3" s="426"/>
      <c r="AP3" s="426"/>
    </row>
    <row r="4" spans="1:42" ht="23.25" hidden="1" customHeight="1">
      <c r="A4" s="1279"/>
      <c r="B4" s="1279"/>
      <c r="C4" s="1279"/>
      <c r="D4" s="1279"/>
      <c r="E4" s="4075"/>
      <c r="F4" s="4075"/>
      <c r="G4" s="4074">
        <v>1</v>
      </c>
      <c r="H4" s="1279"/>
      <c r="I4" s="1279"/>
      <c r="J4" s="1279"/>
      <c r="K4" s="1279"/>
      <c r="L4" s="1280"/>
      <c r="M4" s="1281"/>
      <c r="N4" s="1281"/>
      <c r="O4" s="1281"/>
      <c r="P4" s="279"/>
      <c r="Q4" s="277"/>
      <c r="R4" s="278"/>
      <c r="S4" s="1403" t="e">
        <f>INDEX(PT_DIFFERENTIATION_NUM_CS,MATCH(C4,PT_DIFFERENTIATION_CS_ID,0))</f>
        <v>#N/A</v>
      </c>
      <c r="T4" s="230" t="s">
        <v>505</v>
      </c>
      <c r="U4" s="219"/>
      <c r="V4" s="4060"/>
      <c r="W4" s="4061"/>
      <c r="X4" s="4061"/>
      <c r="Y4" s="4061"/>
      <c r="Z4" s="4061"/>
      <c r="AA4" s="4061"/>
      <c r="AB4" s="4062"/>
      <c r="AC4" s="4060" t="e">
        <f>INDEX(PT_DIFFERENTIATION_CS,MATCH(C4,PT_DIFFERENTIATION_CS_ID,0))</f>
        <v>#N/A</v>
      </c>
      <c r="AD4" s="4061"/>
      <c r="AE4" s="4061"/>
      <c r="AF4" s="4061"/>
      <c r="AG4" s="4061"/>
      <c r="AH4" s="4061"/>
      <c r="AI4" s="4061"/>
      <c r="AJ4" s="4062"/>
      <c r="AK4" s="1177" t="s">
        <v>506</v>
      </c>
      <c r="AM4" s="426"/>
      <c r="AN4" s="426" t="str">
        <f t="shared" si="0"/>
        <v>Наименование централизованной системы водоотведения</v>
      </c>
      <c r="AO4" s="426"/>
      <c r="AP4" s="426"/>
    </row>
    <row r="5" spans="1:42" ht="23.25" hidden="1" customHeight="1">
      <c r="A5" s="1279"/>
      <c r="B5" s="1279"/>
      <c r="C5" s="1279"/>
      <c r="D5" s="1279"/>
      <c r="E5" s="4075"/>
      <c r="F5" s="4075"/>
      <c r="G5" s="4075"/>
      <c r="H5" s="4075"/>
      <c r="I5" s="4072" t="e">
        <f>S4&amp;".1"</f>
        <v>#N/A</v>
      </c>
      <c r="J5" s="1279"/>
      <c r="K5" s="1279"/>
      <c r="L5" s="1280"/>
      <c r="P5" s="4073">
        <v>1</v>
      </c>
      <c r="Q5" s="1391"/>
      <c r="R5" s="281"/>
      <c r="S5" s="1403" t="e">
        <f>$I5</f>
        <v>#N/A</v>
      </c>
      <c r="T5" s="204" t="s">
        <v>474</v>
      </c>
      <c r="U5" s="219"/>
      <c r="V5" s="4133"/>
      <c r="W5" s="4134"/>
      <c r="X5" s="4134"/>
      <c r="Y5" s="4134"/>
      <c r="Z5" s="4134"/>
      <c r="AA5" s="4134"/>
      <c r="AB5" s="4135"/>
      <c r="AC5" s="4136"/>
      <c r="AD5" s="4137"/>
      <c r="AE5" s="4137"/>
      <c r="AF5" s="4137"/>
      <c r="AG5" s="4137"/>
      <c r="AH5" s="4137"/>
      <c r="AI5" s="4137"/>
      <c r="AJ5" s="4138"/>
      <c r="AK5" s="1177" t="s">
        <v>475</v>
      </c>
      <c r="AM5" s="426"/>
      <c r="AN5" s="426" t="str">
        <f t="shared" si="0"/>
        <v>Наименование признака дифференциации</v>
      </c>
      <c r="AO5" s="426"/>
      <c r="AP5" s="426"/>
    </row>
    <row r="6" spans="1:42" ht="23.25" hidden="1" customHeight="1">
      <c r="A6" s="1279"/>
      <c r="B6" s="1279"/>
      <c r="C6" s="1279"/>
      <c r="D6" s="1279"/>
      <c r="E6" s="4075"/>
      <c r="F6" s="4075"/>
      <c r="G6" s="4075"/>
      <c r="H6" s="4075"/>
      <c r="I6" s="4095"/>
      <c r="J6" s="4072" t="e">
        <f>I5&amp;".1"</f>
        <v>#N/A</v>
      </c>
      <c r="K6" s="1279"/>
      <c r="L6" s="1280" t="s">
        <v>398</v>
      </c>
      <c r="P6" s="4073"/>
      <c r="Q6" s="4073">
        <v>1</v>
      </c>
      <c r="R6" s="282"/>
      <c r="S6" s="1403" t="e">
        <f>$J6</f>
        <v>#N/A</v>
      </c>
      <c r="T6" s="205" t="s">
        <v>399</v>
      </c>
      <c r="U6" s="219"/>
      <c r="V6" s="4063"/>
      <c r="W6" s="4064"/>
      <c r="X6" s="4064"/>
      <c r="Y6" s="4064"/>
      <c r="Z6" s="4064"/>
      <c r="AA6" s="4064"/>
      <c r="AB6" s="4065"/>
      <c r="AC6" s="4063"/>
      <c r="AD6" s="4064"/>
      <c r="AE6" s="4064"/>
      <c r="AF6" s="4064"/>
      <c r="AG6" s="4064"/>
      <c r="AH6" s="4064"/>
      <c r="AI6" s="4064"/>
      <c r="AJ6" s="4065"/>
      <c r="AK6" s="1226" t="s">
        <v>476</v>
      </c>
      <c r="AM6" s="426"/>
      <c r="AN6" s="426" t="str">
        <f t="shared" si="0"/>
        <v>Группа потребителей</v>
      </c>
      <c r="AO6" s="426"/>
      <c r="AP6" s="426"/>
    </row>
    <row r="7" spans="1:42" ht="23.25" hidden="1" customHeight="1">
      <c r="A7" s="1279"/>
      <c r="B7" s="1279"/>
      <c r="C7" s="1279"/>
      <c r="D7" s="1279"/>
      <c r="E7" s="4075"/>
      <c r="F7" s="4075"/>
      <c r="G7" s="4075"/>
      <c r="H7" s="4075"/>
      <c r="I7" s="4095"/>
      <c r="J7" s="4095"/>
      <c r="K7" s="4072" t="e">
        <f>J6&amp;".1"</f>
        <v>#N/A</v>
      </c>
      <c r="L7" s="1280"/>
      <c r="P7" s="4073"/>
      <c r="Q7" s="4073"/>
      <c r="R7" s="282">
        <v>1</v>
      </c>
      <c r="S7" s="1403" t="e">
        <f>$K7</f>
        <v>#N/A</v>
      </c>
      <c r="T7" s="1352"/>
      <c r="U7" s="219"/>
      <c r="V7" s="668"/>
      <c r="W7" s="668"/>
      <c r="X7" s="1176"/>
      <c r="Y7" s="4077"/>
      <c r="Z7" s="3927" t="s">
        <v>65</v>
      </c>
      <c r="AA7" s="4077"/>
      <c r="AB7" s="3927" t="s">
        <v>65</v>
      </c>
      <c r="AC7" s="668"/>
      <c r="AD7" s="668"/>
      <c r="AE7" s="1176"/>
      <c r="AF7" s="4077"/>
      <c r="AG7" s="3927" t="s">
        <v>65</v>
      </c>
      <c r="AH7" s="4096"/>
      <c r="AI7" s="3927" t="s">
        <v>65</v>
      </c>
      <c r="AJ7" s="1353"/>
      <c r="AK7" s="41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4075"/>
      <c r="F8" s="4075"/>
      <c r="G8" s="4075"/>
      <c r="H8" s="4075"/>
      <c r="I8" s="4095"/>
      <c r="J8" s="4095"/>
      <c r="K8" s="4072"/>
      <c r="L8" s="1280"/>
      <c r="P8" s="4073"/>
      <c r="Q8" s="4073"/>
      <c r="R8" s="282"/>
      <c r="S8" s="1400"/>
      <c r="T8" s="219"/>
      <c r="U8" s="219"/>
      <c r="V8" s="251"/>
      <c r="W8" s="251"/>
      <c r="X8" s="255" t="str">
        <f>Y7&amp;"-"&amp;AA7</f>
        <v>-</v>
      </c>
      <c r="Y8" s="4078"/>
      <c r="Z8" s="3927"/>
      <c r="AA8" s="4078"/>
      <c r="AB8" s="3927"/>
      <c r="AC8" s="251"/>
      <c r="AD8" s="251"/>
      <c r="AE8" s="255" t="str">
        <f>AF7&amp;"-"&amp;AH7</f>
        <v>-</v>
      </c>
      <c r="AF8" s="4078"/>
      <c r="AG8" s="3927"/>
      <c r="AH8" s="4097"/>
      <c r="AI8" s="3927"/>
      <c r="AJ8" s="1354"/>
      <c r="AK8" s="4132"/>
      <c r="AM8" s="426"/>
      <c r="AN8" s="426" t="str">
        <f t="shared" si="0"/>
        <v/>
      </c>
      <c r="AO8" s="426"/>
      <c r="AP8" s="426"/>
    </row>
    <row r="9" spans="1:42" ht="21" hidden="1" customHeight="1">
      <c r="A9" s="1279"/>
      <c r="B9" s="1279"/>
      <c r="C9" s="1279"/>
      <c r="D9" s="1279"/>
      <c r="E9" s="4075"/>
      <c r="F9" s="4075"/>
      <c r="G9" s="4075"/>
      <c r="H9" s="4075"/>
      <c r="I9" s="4095"/>
      <c r="J9" s="4072"/>
      <c r="K9" s="1279"/>
      <c r="L9" s="1280"/>
      <c r="P9" s="4073"/>
      <c r="Q9" s="4073"/>
      <c r="R9" s="281"/>
      <c r="S9" s="1198"/>
      <c r="T9" s="206" t="s">
        <v>477</v>
      </c>
      <c r="U9" s="295"/>
      <c r="V9" s="295"/>
      <c r="W9" s="295"/>
      <c r="X9" s="295"/>
      <c r="Y9" s="295"/>
      <c r="Z9" s="295"/>
      <c r="AA9" s="295"/>
      <c r="AB9" s="295"/>
      <c r="AC9" s="295"/>
      <c r="AD9" s="295"/>
      <c r="AE9" s="295"/>
      <c r="AF9" s="295"/>
      <c r="AG9" s="295"/>
      <c r="AH9" s="295"/>
      <c r="AI9" s="295"/>
      <c r="AJ9" s="295"/>
      <c r="AK9" s="1177" t="s">
        <v>478</v>
      </c>
      <c r="AM9" s="426"/>
      <c r="AN9" s="426" t="str">
        <f t="shared" si="0"/>
        <v>Добавить значение признака дифференциации</v>
      </c>
      <c r="AO9" s="426"/>
      <c r="AP9" s="426"/>
    </row>
    <row r="10" spans="1:42" ht="21" hidden="1" customHeight="1">
      <c r="A10" s="1279"/>
      <c r="B10" s="1279"/>
      <c r="C10" s="1279"/>
      <c r="D10" s="1279"/>
      <c r="E10" s="4075"/>
      <c r="F10" s="4075"/>
      <c r="G10" s="4075"/>
      <c r="H10" s="4075"/>
      <c r="I10" s="4072"/>
      <c r="J10" s="1279"/>
      <c r="K10" s="1279"/>
      <c r="L10" s="1280"/>
      <c r="P10" s="4073"/>
      <c r="Q10" s="1391"/>
      <c r="R10" s="281"/>
      <c r="S10" s="1198"/>
      <c r="T10" s="292" t="s">
        <v>404</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4075"/>
      <c r="F11" s="4075"/>
      <c r="G11" s="4075"/>
      <c r="H11" s="4074"/>
      <c r="I11" s="1279"/>
      <c r="J11" s="1279"/>
      <c r="K11" s="1279"/>
      <c r="L11" s="1280"/>
      <c r="M11" s="1281"/>
      <c r="N11" s="1281"/>
      <c r="O11" s="462"/>
      <c r="P11" s="285"/>
      <c r="Q11" s="304"/>
      <c r="R11" s="280"/>
      <c r="S11" s="1198"/>
      <c r="T11" s="300" t="s">
        <v>479</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2550" customFormat="1" ht="14.25" hidden="1" customHeight="1">
      <c r="A12" s="1260"/>
      <c r="B12" s="1260"/>
      <c r="C12" s="1232"/>
      <c r="D12" s="1232"/>
      <c r="E12" s="4075"/>
      <c r="F12" s="4074"/>
      <c r="G12" s="1232"/>
      <c r="H12" s="1232"/>
      <c r="I12" s="1232"/>
      <c r="J12" s="1232"/>
      <c r="K12" s="1232"/>
      <c r="L12" s="1404"/>
      <c r="M12" s="1239"/>
      <c r="N12" s="1239"/>
      <c r="P12" s="1234"/>
      <c r="Q12" s="1235"/>
      <c r="R12" s="1234"/>
      <c r="S12" s="1240"/>
      <c r="T12" s="1243" t="s">
        <v>167</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1" customFormat="1" ht="14.25" hidden="1" customHeight="1">
      <c r="A13" s="1260"/>
      <c r="B13" s="1260"/>
      <c r="C13" s="1260"/>
      <c r="D13" s="1260"/>
      <c r="E13" s="4074"/>
      <c r="F13" s="1260"/>
      <c r="G13" s="1260"/>
      <c r="H13" s="1260"/>
      <c r="I13" s="1260"/>
      <c r="J13" s="1260"/>
      <c r="K13" s="1260"/>
      <c r="L13" s="1263"/>
      <c r="M13" s="1239"/>
      <c r="N13" s="1239"/>
      <c r="O13" s="444"/>
      <c r="P13" s="313"/>
      <c r="Q13" s="1261"/>
      <c r="R13" s="313"/>
      <c r="S13" s="1240"/>
      <c r="T13" s="1243" t="s">
        <v>168</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4079"/>
      <c r="AG15" s="4080" t="s">
        <v>65</v>
      </c>
      <c r="AH15" s="4079"/>
      <c r="AI15" s="4080" t="s">
        <v>65</v>
      </c>
    </row>
    <row r="16" spans="1:42" ht="14.25" hidden="1" customHeight="1">
      <c r="AC16" s="1276"/>
      <c r="AD16" s="1276"/>
      <c r="AE16" s="255" t="str">
        <f>AF15&amp;"-"&amp;AH15</f>
        <v>-</v>
      </c>
      <c r="AF16" s="4080"/>
      <c r="AG16" s="4080"/>
      <c r="AH16" s="4080"/>
      <c r="AI16" s="4080"/>
    </row>
    <row r="17" spans="1:42" ht="14.25" hidden="1" customHeight="1">
      <c r="AI17" s="254"/>
    </row>
    <row r="18" spans="1:42" s="2553" customFormat="1" ht="22.5" hidden="1" customHeight="1">
      <c r="L18" s="1388"/>
      <c r="M18" s="1278"/>
      <c r="N18" s="1278"/>
      <c r="O18" s="1283" t="s">
        <v>406</v>
      </c>
      <c r="P18" s="1278"/>
      <c r="Q18" s="1287"/>
      <c r="R18" s="1287"/>
      <c r="S18" s="648"/>
      <c r="Y18" s="1283"/>
      <c r="AA18" s="1283"/>
      <c r="AB18" s="1282"/>
      <c r="AF18" s="1283"/>
      <c r="AH18" s="1283"/>
      <c r="AI18" s="1282"/>
      <c r="AL18" s="437"/>
      <c r="AM18" s="437"/>
      <c r="AN18" s="437"/>
      <c r="AO18" s="437"/>
      <c r="AP18" s="437"/>
    </row>
    <row r="19" spans="1:42" s="2553" customFormat="1" ht="14.25" hidden="1" customHeight="1">
      <c r="L19" s="1388"/>
      <c r="M19" s="1278"/>
      <c r="N19" s="1278"/>
      <c r="O19" s="1278"/>
      <c r="P19" s="1278"/>
      <c r="Q19" s="1287"/>
      <c r="R19" s="1287"/>
      <c r="S19" s="648"/>
      <c r="AB19" s="1282"/>
      <c r="AI19" s="1282"/>
      <c r="AL19" s="437"/>
      <c r="AM19" s="437"/>
      <c r="AN19" s="437"/>
      <c r="AO19" s="437"/>
      <c r="AP19" s="437"/>
    </row>
    <row r="20" spans="1:42" s="2553" customFormat="1" ht="12" hidden="1" customHeight="1">
      <c r="L20" s="1388"/>
      <c r="M20" s="1278"/>
      <c r="N20" s="1278"/>
      <c r="O20" s="1280" t="s">
        <v>407</v>
      </c>
      <c r="P20" s="1278"/>
      <c r="Q20" s="1356"/>
      <c r="R20" s="1356"/>
      <c r="S20" s="648"/>
      <c r="T20" s="1060" t="s">
        <v>408</v>
      </c>
      <c r="Z20" s="107" t="s">
        <v>409</v>
      </c>
      <c r="AB20" s="107" t="s">
        <v>410</v>
      </c>
      <c r="AC20" s="1060" t="s">
        <v>408</v>
      </c>
      <c r="AG20" s="107" t="s">
        <v>411</v>
      </c>
      <c r="AI20" s="107" t="s">
        <v>410</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405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4058"/>
      <c r="U24" s="4058"/>
      <c r="V24" s="4058"/>
      <c r="W24" s="4058"/>
      <c r="X24" s="4058"/>
      <c r="Y24" s="4058"/>
      <c r="Z24" s="4058"/>
      <c r="AA24" s="4058"/>
      <c r="AB24" s="4058"/>
      <c r="AC24" s="4058"/>
      <c r="AD24" s="4058"/>
      <c r="AE24" s="4058"/>
      <c r="AF24" s="4058"/>
      <c r="AG24" s="4058"/>
      <c r="AH24" s="4058"/>
      <c r="AI24" s="1152"/>
    </row>
    <row r="25" spans="1:42" ht="14.25" customHeight="1">
      <c r="Q25" s="305"/>
      <c r="R25" s="305"/>
      <c r="S25" s="4004" t="str">
        <f>IF(org=0,"Не определено",org)</f>
        <v>ООО «РИР-Сахалин»</v>
      </c>
      <c r="T25" s="4004"/>
      <c r="U25" s="4004"/>
      <c r="V25" s="4004"/>
      <c r="W25" s="4004"/>
      <c r="X25" s="4004"/>
      <c r="Y25" s="4004"/>
      <c r="Z25" s="4004"/>
      <c r="AA25" s="4004"/>
      <c r="AB25" s="4004"/>
      <c r="AC25" s="4004"/>
      <c r="AD25" s="4004"/>
      <c r="AE25" s="4004"/>
      <c r="AF25" s="4004"/>
      <c r="AG25" s="4004"/>
      <c r="AH25" s="4004"/>
      <c r="AI25" s="1152"/>
    </row>
    <row r="26" spans="1:42" ht="14.25" hidden="1"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2564" customFormat="1" ht="25.5" hidden="1" customHeight="1">
      <c r="A27" s="1284"/>
      <c r="B27" s="1284"/>
      <c r="C27" s="1284"/>
      <c r="D27" s="1284"/>
      <c r="E27" s="1284"/>
      <c r="F27" s="1284"/>
      <c r="G27" s="1284"/>
      <c r="H27" s="1284"/>
      <c r="I27" s="1284"/>
      <c r="J27" s="1284"/>
      <c r="K27" s="1284"/>
      <c r="L27" s="1285"/>
      <c r="M27" s="1284"/>
      <c r="N27" s="1284"/>
      <c r="O27" s="1284"/>
      <c r="S27" s="4066" t="s">
        <v>38</v>
      </c>
      <c r="T27" s="4066"/>
      <c r="U27" s="1288"/>
      <c r="V27" s="4067" t="str">
        <f>IF(TITLE_NAME_OR_PR_CHANGE="",IF(TITLE_NAME_OR_PR="","",TITLE_NAME_OR_PR),TITLE_NAME_OR_PR_CHANGE)</f>
        <v/>
      </c>
      <c r="W27" s="4067"/>
      <c r="X27" s="4067"/>
      <c r="Y27" s="4067"/>
      <c r="Z27" s="4067"/>
      <c r="AA27" s="4067"/>
      <c r="AB27" s="253"/>
      <c r="AC27" s="4067" t="str">
        <f>IF(TITLE_NAME_OR_PR_CHANGE="",IF(TITLE_NAME_OR_PR="","",TITLE_NAME_OR_PR),TITLE_NAME_OR_PR_CHANGE)</f>
        <v/>
      </c>
      <c r="AD27" s="4067"/>
      <c r="AE27" s="4067"/>
      <c r="AF27" s="4067"/>
      <c r="AG27" s="4067"/>
      <c r="AH27" s="4067"/>
      <c r="AI27" s="253"/>
      <c r="AJ27" s="253"/>
      <c r="AK27" s="200"/>
      <c r="AL27" s="296"/>
      <c r="AM27" s="296"/>
      <c r="AN27" s="296"/>
      <c r="AO27" s="296"/>
      <c r="AP27" s="296"/>
    </row>
    <row r="28" spans="1:42" s="2564" customFormat="1" ht="18.75" hidden="1" customHeight="1">
      <c r="A28" s="1284"/>
      <c r="B28" s="1284"/>
      <c r="C28" s="1284"/>
      <c r="D28" s="1284"/>
      <c r="E28" s="1284"/>
      <c r="F28" s="1284"/>
      <c r="G28" s="1284"/>
      <c r="H28" s="1284"/>
      <c r="I28" s="1284"/>
      <c r="J28" s="1284"/>
      <c r="K28" s="1284"/>
      <c r="L28" s="1285"/>
      <c r="M28" s="1284"/>
      <c r="N28" s="1284"/>
      <c r="O28" s="1284"/>
      <c r="S28" s="4066" t="s">
        <v>412</v>
      </c>
      <c r="T28" s="4066"/>
      <c r="U28" s="1288"/>
      <c r="V28" s="4076">
        <f>IF(TITLE_DATE_PR_CHANGE="",IF(TITLE_DATE_PR="","",TITLE_DATE_PR),TITLE_DATE_PR_CHANGE)</f>
        <v>45289.465104166666</v>
      </c>
      <c r="W28" s="4076"/>
      <c r="X28" s="4076"/>
      <c r="Y28" s="4076"/>
      <c r="Z28" s="4076"/>
      <c r="AA28" s="4076"/>
      <c r="AB28" s="253"/>
      <c r="AC28" s="4076">
        <f>IF(TITLE_DATE_PR_CHANGE="",IF(TITLE_DATE_PR="","",TITLE_DATE_PR),TITLE_DATE_PR_CHANGE)</f>
        <v>45289.465104166666</v>
      </c>
      <c r="AD28" s="4076"/>
      <c r="AE28" s="4076"/>
      <c r="AF28" s="4076"/>
      <c r="AG28" s="4076"/>
      <c r="AH28" s="4076"/>
      <c r="AI28" s="253"/>
      <c r="AJ28" s="253"/>
      <c r="AK28" s="200"/>
      <c r="AL28" s="296"/>
      <c r="AM28" s="296"/>
      <c r="AN28" s="296"/>
      <c r="AO28" s="296"/>
      <c r="AP28" s="296"/>
    </row>
    <row r="29" spans="1:42" s="2564" customFormat="1" ht="18.75" hidden="1" customHeight="1">
      <c r="A29" s="1284"/>
      <c r="B29" s="1284"/>
      <c r="C29" s="1284"/>
      <c r="D29" s="1284"/>
      <c r="E29" s="1284"/>
      <c r="F29" s="1284"/>
      <c r="G29" s="1284"/>
      <c r="H29" s="1284"/>
      <c r="I29" s="1284"/>
      <c r="J29" s="1284"/>
      <c r="K29" s="1284"/>
      <c r="L29" s="1285"/>
      <c r="M29" s="1284"/>
      <c r="N29" s="1284"/>
      <c r="O29" s="1284"/>
      <c r="S29" s="4066" t="s">
        <v>413</v>
      </c>
      <c r="T29" s="4066"/>
      <c r="U29" s="1288"/>
      <c r="V29" s="4067" t="str">
        <f>IF(TITLE_NUMBER_PR_CHANGE="",IF(TITLE_NUMBER_PR="","",TITLE_NUMBER_PR),TITLE_NUMBER_PR_CHANGE)</f>
        <v>761-1/201-1</v>
      </c>
      <c r="W29" s="4067"/>
      <c r="X29" s="4067"/>
      <c r="Y29" s="4067"/>
      <c r="Z29" s="4067"/>
      <c r="AA29" s="4067"/>
      <c r="AB29" s="253"/>
      <c r="AC29" s="4067" t="str">
        <f>IF(TITLE_NUMBER_PR_CHANGE="",IF(TITLE_NUMBER_PR="","",TITLE_NUMBER_PR),TITLE_NUMBER_PR_CHANGE)</f>
        <v>761-1/201-1</v>
      </c>
      <c r="AD29" s="4067"/>
      <c r="AE29" s="4067"/>
      <c r="AF29" s="4067"/>
      <c r="AG29" s="4067"/>
      <c r="AH29" s="4067"/>
      <c r="AI29" s="253"/>
      <c r="AJ29" s="253"/>
      <c r="AK29" s="200"/>
      <c r="AL29" s="296"/>
      <c r="AM29" s="296"/>
      <c r="AN29" s="296"/>
      <c r="AO29" s="296"/>
      <c r="AP29" s="296"/>
    </row>
    <row r="30" spans="1:42" s="2564" customFormat="1" ht="18.75" hidden="1" customHeight="1">
      <c r="A30" s="1284"/>
      <c r="B30" s="1284"/>
      <c r="C30" s="1284"/>
      <c r="D30" s="1284"/>
      <c r="E30" s="1284"/>
      <c r="F30" s="1284"/>
      <c r="G30" s="1284"/>
      <c r="H30" s="1284"/>
      <c r="I30" s="1284"/>
      <c r="J30" s="1284"/>
      <c r="K30" s="1284"/>
      <c r="L30" s="1285"/>
      <c r="M30" s="1284"/>
      <c r="N30" s="1284"/>
      <c r="O30" s="1284"/>
      <c r="S30" s="4066" t="s">
        <v>39</v>
      </c>
      <c r="T30" s="4066"/>
      <c r="U30" s="1288"/>
      <c r="V30" s="4067" t="str">
        <f>IF(TITLE_IST_PUB_CHANGE="",IF(TITLE_IST_PUB="","",TITLE_IST_PUB),TITLE_IST_PUB_CHANGE)</f>
        <v/>
      </c>
      <c r="W30" s="4067"/>
      <c r="X30" s="4067"/>
      <c r="Y30" s="4067"/>
      <c r="Z30" s="4067"/>
      <c r="AA30" s="4067"/>
      <c r="AB30" s="253"/>
      <c r="AC30" s="4067" t="str">
        <f>IF(TITLE_IST_PUB_CHANGE="",IF(TITLE_IST_PUB="","",TITLE_IST_PUB),TITLE_IST_PUB_CHANGE)</f>
        <v/>
      </c>
      <c r="AD30" s="4067"/>
      <c r="AE30" s="4067"/>
      <c r="AF30" s="4067"/>
      <c r="AG30" s="4067"/>
      <c r="AH30" s="4067"/>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2564" customFormat="1" ht="18.75" customHeight="1">
      <c r="A32" s="1284"/>
      <c r="B32" s="1284"/>
      <c r="C32" s="1284"/>
      <c r="D32" s="1284"/>
      <c r="E32" s="1284"/>
      <c r="F32" s="1284"/>
      <c r="G32" s="1284"/>
      <c r="H32" s="1284"/>
      <c r="I32" s="1284"/>
      <c r="J32" s="1284"/>
      <c r="K32" s="1284"/>
      <c r="L32" s="1285"/>
      <c r="M32" s="1284"/>
      <c r="N32" s="1284"/>
      <c r="O32" s="1284"/>
      <c r="S32" s="4066" t="s">
        <v>414</v>
      </c>
      <c r="T32" s="4066"/>
      <c r="U32" s="1288"/>
      <c r="V32" s="4076">
        <f>IF(TITLE_DATE_PR_CHANGE="",IF(TITLE_DATE_PR="","",TITLE_DATE_PR),TITLE_DATE_PR_CHANGE)</f>
        <v>45289.465104166666</v>
      </c>
      <c r="W32" s="4076"/>
      <c r="X32" s="4076"/>
      <c r="Y32" s="4076"/>
      <c r="Z32" s="4076"/>
      <c r="AA32" s="4076"/>
      <c r="AB32" s="253"/>
      <c r="AC32" s="4076">
        <f>IF(TITLE_DATE_PR_CHANGE="",IF(TITLE_DATE_PR="","",TITLE_DATE_PR),TITLE_DATE_PR_CHANGE)</f>
        <v>45289.465104166666</v>
      </c>
      <c r="AD32" s="4076"/>
      <c r="AE32" s="4076"/>
      <c r="AF32" s="4076"/>
      <c r="AG32" s="4076"/>
      <c r="AH32" s="4076"/>
      <c r="AI32" s="253"/>
      <c r="AJ32" s="253"/>
      <c r="AK32" s="200"/>
      <c r="AL32" s="296"/>
      <c r="AM32" s="296"/>
      <c r="AN32" s="296"/>
      <c r="AO32" s="296"/>
      <c r="AP32" s="296"/>
    </row>
    <row r="33" spans="1:42" s="2564" customFormat="1" ht="18.75" customHeight="1">
      <c r="A33" s="1284"/>
      <c r="B33" s="1284"/>
      <c r="C33" s="1284"/>
      <c r="D33" s="1284"/>
      <c r="E33" s="1284"/>
      <c r="F33" s="1284"/>
      <c r="G33" s="1284"/>
      <c r="H33" s="1284"/>
      <c r="I33" s="1284"/>
      <c r="J33" s="1284"/>
      <c r="K33" s="1284"/>
      <c r="L33" s="1285"/>
      <c r="M33" s="1284"/>
      <c r="N33" s="1284"/>
      <c r="O33" s="1284"/>
      <c r="S33" s="4066" t="s">
        <v>415</v>
      </c>
      <c r="T33" s="4066"/>
      <c r="U33" s="1288"/>
      <c r="V33" s="4067" t="str">
        <f>IF(TITLE_NUMBER_PR_CHANGE="",IF(TITLE_NUMBER_PR="","",TITLE_NUMBER_PR),TITLE_NUMBER_PR_CHANGE)</f>
        <v>761-1/201-1</v>
      </c>
      <c r="W33" s="4067"/>
      <c r="X33" s="4067"/>
      <c r="Y33" s="4067"/>
      <c r="Z33" s="4067"/>
      <c r="AA33" s="4067"/>
      <c r="AB33" s="253"/>
      <c r="AC33" s="4067" t="str">
        <f>IF(TITLE_NUMBER_PR_CHANGE="",IF(TITLE_NUMBER_PR="","",TITLE_NUMBER_PR),TITLE_NUMBER_PR_CHANGE)</f>
        <v>761-1/201-1</v>
      </c>
      <c r="AD33" s="4067"/>
      <c r="AE33" s="4067"/>
      <c r="AF33" s="4067"/>
      <c r="AG33" s="4067"/>
      <c r="AH33" s="4067"/>
      <c r="AI33" s="253"/>
      <c r="AJ33" s="253"/>
      <c r="AK33" s="200"/>
      <c r="AL33" s="296"/>
      <c r="AM33" s="296"/>
      <c r="AN33" s="296"/>
      <c r="AO33" s="296"/>
      <c r="AP33" s="296"/>
    </row>
    <row r="34" spans="1:42" s="2564"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416</v>
      </c>
      <c r="AC34" s="253"/>
      <c r="AD34" s="253"/>
      <c r="AE34" s="253"/>
      <c r="AF34" s="253"/>
      <c r="AG34" s="253"/>
      <c r="AH34" s="253"/>
      <c r="AI34" s="198" t="s">
        <v>416</v>
      </c>
      <c r="AL34" s="296"/>
      <c r="AM34" s="296"/>
      <c r="AN34" s="296"/>
      <c r="AO34" s="296"/>
      <c r="AP34" s="296"/>
    </row>
    <row r="35" spans="1:42" ht="14.25" customHeight="1">
      <c r="Q35" s="305"/>
      <c r="R35" s="305"/>
      <c r="S35" s="1195"/>
      <c r="T35" s="290"/>
      <c r="U35" s="1153"/>
      <c r="V35" s="4068"/>
      <c r="W35" s="4068"/>
      <c r="X35" s="4068"/>
      <c r="Y35" s="4068"/>
      <c r="Z35" s="4068"/>
      <c r="AA35" s="4068"/>
      <c r="AB35" s="4068"/>
      <c r="AC35" s="4068"/>
      <c r="AD35" s="4068"/>
      <c r="AE35" s="4068"/>
      <c r="AF35" s="4068"/>
      <c r="AG35" s="4068"/>
      <c r="AH35" s="4068"/>
      <c r="AI35" s="4068"/>
    </row>
    <row r="36" spans="1:42" ht="14.25" customHeight="1">
      <c r="Q36" s="305"/>
      <c r="R36" s="305"/>
      <c r="S36" s="3946" t="s">
        <v>290</v>
      </c>
      <c r="T36" s="3946"/>
      <c r="U36" s="3946"/>
      <c r="V36" s="3946"/>
      <c r="W36" s="3946"/>
      <c r="X36" s="3946"/>
      <c r="Y36" s="3946"/>
      <c r="Z36" s="3946"/>
      <c r="AA36" s="3946"/>
      <c r="AB36" s="3946"/>
      <c r="AC36" s="3946"/>
      <c r="AD36" s="3946"/>
      <c r="AE36" s="3946"/>
      <c r="AF36" s="3946"/>
      <c r="AG36" s="3946"/>
      <c r="AH36" s="3946"/>
      <c r="AI36" s="3946"/>
      <c r="AJ36" s="3946"/>
      <c r="AK36" s="3946" t="s">
        <v>291</v>
      </c>
    </row>
    <row r="37" spans="1:42" ht="14.25" customHeight="1">
      <c r="Q37" s="305"/>
      <c r="R37" s="305"/>
      <c r="S37" s="4082" t="s">
        <v>86</v>
      </c>
      <c r="T37" s="4033" t="s">
        <v>418</v>
      </c>
      <c r="U37" s="220"/>
      <c r="V37" s="4083" t="s">
        <v>419</v>
      </c>
      <c r="W37" s="4084"/>
      <c r="X37" s="4084"/>
      <c r="Y37" s="4084"/>
      <c r="Z37" s="4084"/>
      <c r="AA37" s="4085"/>
      <c r="AB37" s="4086" t="s">
        <v>420</v>
      </c>
      <c r="AC37" s="4083" t="s">
        <v>419</v>
      </c>
      <c r="AD37" s="4084"/>
      <c r="AE37" s="4084"/>
      <c r="AF37" s="4084"/>
      <c r="AG37" s="4084"/>
      <c r="AH37" s="4085"/>
      <c r="AI37" s="4086" t="s">
        <v>421</v>
      </c>
      <c r="AJ37" s="4089" t="s">
        <v>422</v>
      </c>
      <c r="AK37" s="3946"/>
    </row>
    <row r="38" spans="1:42" ht="33.75" customHeight="1">
      <c r="Q38" s="305"/>
      <c r="R38" s="305"/>
      <c r="S38" s="4082"/>
      <c r="T38" s="4033"/>
      <c r="U38" s="938"/>
      <c r="V38" s="1393" t="s">
        <v>480</v>
      </c>
      <c r="W38" s="3918" t="s">
        <v>425</v>
      </c>
      <c r="X38" s="3917"/>
      <c r="Y38" s="3918" t="s">
        <v>426</v>
      </c>
      <c r="Z38" s="3923"/>
      <c r="AA38" s="3917"/>
      <c r="AB38" s="4087"/>
      <c r="AC38" s="1393" t="s">
        <v>480</v>
      </c>
      <c r="AD38" s="3918" t="s">
        <v>425</v>
      </c>
      <c r="AE38" s="3917"/>
      <c r="AF38" s="3918" t="s">
        <v>426</v>
      </c>
      <c r="AG38" s="3923"/>
      <c r="AH38" s="3917"/>
      <c r="AI38" s="4087"/>
      <c r="AJ38" s="4090"/>
      <c r="AK38" s="3946"/>
    </row>
    <row r="39" spans="1:42" ht="86.25" customHeight="1">
      <c r="A39" s="1286"/>
      <c r="B39" s="1286" t="s">
        <v>133</v>
      </c>
      <c r="C39" s="1286" t="s">
        <v>134</v>
      </c>
      <c r="D39" s="1286" t="s">
        <v>135</v>
      </c>
      <c r="E39" s="1280" t="s">
        <v>427</v>
      </c>
      <c r="F39" s="1280" t="s">
        <v>428</v>
      </c>
      <c r="G39" s="1280" t="s">
        <v>429</v>
      </c>
      <c r="H39" s="1280"/>
      <c r="I39" s="1280" t="s">
        <v>481</v>
      </c>
      <c r="J39" s="1280" t="s">
        <v>432</v>
      </c>
      <c r="K39" s="1280" t="s">
        <v>482</v>
      </c>
      <c r="L39" s="1280" t="s">
        <v>407</v>
      </c>
      <c r="Q39" s="305"/>
      <c r="R39" s="305"/>
      <c r="S39" s="4082"/>
      <c r="T39" s="4033"/>
      <c r="U39" s="221"/>
      <c r="V39" s="1393" t="s">
        <v>507</v>
      </c>
      <c r="W39" s="1128" t="s">
        <v>508</v>
      </c>
      <c r="X39" s="1128" t="s">
        <v>485</v>
      </c>
      <c r="Y39" s="1399" t="s">
        <v>436</v>
      </c>
      <c r="Z39" s="4042" t="s">
        <v>437</v>
      </c>
      <c r="AA39" s="4044"/>
      <c r="AB39" s="4088"/>
      <c r="AC39" s="1393" t="s">
        <v>507</v>
      </c>
      <c r="AD39" s="1128" t="s">
        <v>508</v>
      </c>
      <c r="AE39" s="1128" t="s">
        <v>485</v>
      </c>
      <c r="AF39" s="1399" t="s">
        <v>436</v>
      </c>
      <c r="AG39" s="4042" t="s">
        <v>437</v>
      </c>
      <c r="AH39" s="4044"/>
      <c r="AI39" s="4088"/>
      <c r="AJ39" s="4091"/>
      <c r="AK39" s="3946"/>
    </row>
    <row r="40" spans="1:42" s="1820"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107</v>
      </c>
      <c r="T40" s="1172" t="s">
        <v>108</v>
      </c>
      <c r="U40" s="1154" t="str">
        <f ca="1">OFFSET(U40,0,-1)</f>
        <v>2</v>
      </c>
      <c r="V40" s="1392">
        <f ca="1">OFFSET(V40,0,-1)+1</f>
        <v>3</v>
      </c>
      <c r="W40" s="1392">
        <f ca="1">OFFSET(W40,0,-1)+1</f>
        <v>4</v>
      </c>
      <c r="X40" s="1392">
        <f ca="1">OFFSET(X40,0,-1)+1</f>
        <v>5</v>
      </c>
      <c r="Y40" s="1392">
        <f ca="1">OFFSET(Y40,0,-1)+1</f>
        <v>6</v>
      </c>
      <c r="Z40" s="4081">
        <f ca="1">OFFSET(Z40,0,-1)+1</f>
        <v>7</v>
      </c>
      <c r="AA40" s="4081"/>
      <c r="AB40" s="1392">
        <f ca="1">OFFSET(AB40,0,-2)+1</f>
        <v>8</v>
      </c>
      <c r="AC40" s="1392">
        <f ca="1">OFFSET(AC40,0,-1)+1</f>
        <v>9</v>
      </c>
      <c r="AD40" s="1392">
        <f ca="1">OFFSET(AD40,0,-1)+1</f>
        <v>10</v>
      </c>
      <c r="AE40" s="1392">
        <f ca="1">OFFSET(AE40,0,-1)+1</f>
        <v>11</v>
      </c>
      <c r="AF40" s="1392">
        <f ca="1">OFFSET(AF40,0,-1)+1</f>
        <v>12</v>
      </c>
      <c r="AG40" s="4081">
        <f ca="1">OFFSET(AG40,0,-1)+1</f>
        <v>13</v>
      </c>
      <c r="AH40" s="4081"/>
      <c r="AI40" s="1392">
        <f ca="1">OFFSET(AI40,0,-2)+1</f>
        <v>14</v>
      </c>
      <c r="AJ40" s="1154">
        <f ca="1">OFFSET(AJ40,0,-1)</f>
        <v>14</v>
      </c>
      <c r="AK40" s="1392">
        <f ca="1">OFFSET(AK40,0,-1)+1</f>
        <v>15</v>
      </c>
      <c r="AL40" s="437"/>
      <c r="AM40" s="437"/>
      <c r="AN40" s="437"/>
      <c r="AO40" s="437"/>
      <c r="AP40" s="437"/>
    </row>
    <row r="41" spans="1:42" ht="23.25" customHeight="1">
      <c r="A41" s="1279" t="s">
        <v>261</v>
      </c>
      <c r="B41" s="1279"/>
      <c r="C41" s="1279"/>
      <c r="D41" s="1279"/>
      <c r="E41" s="4074">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121</v>
      </c>
      <c r="U41" s="219"/>
      <c r="V41" s="4060"/>
      <c r="W41" s="4061"/>
      <c r="X41" s="4061"/>
      <c r="Y41" s="4061"/>
      <c r="Z41" s="4061"/>
      <c r="AA41" s="4061"/>
      <c r="AB41" s="4062"/>
      <c r="AC41" s="4060" t="str">
        <f>INDEX(PT_DIFFERENTIATION_NTAR,MATCH(A41,PT_DIFFERENTIATION_NTAR_ID,0))</f>
        <v/>
      </c>
      <c r="AD41" s="4061"/>
      <c r="AE41" s="4061"/>
      <c r="AF41" s="4061"/>
      <c r="AG41" s="4061"/>
      <c r="AH41" s="4061"/>
      <c r="AI41" s="4061"/>
      <c r="AJ41" s="4062"/>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261</v>
      </c>
      <c r="B42" s="1279" t="s">
        <v>262</v>
      </c>
      <c r="C42" s="1279"/>
      <c r="D42" s="1279"/>
      <c r="E42" s="4075"/>
      <c r="F42" s="4074">
        <v>1</v>
      </c>
      <c r="G42" s="1279"/>
      <c r="H42" s="1279"/>
      <c r="I42" s="1279"/>
      <c r="J42" s="1279"/>
      <c r="K42" s="1279"/>
      <c r="L42" s="1280"/>
      <c r="M42" s="1281"/>
      <c r="N42" s="1281"/>
      <c r="O42" s="1281"/>
      <c r="P42" s="1397"/>
      <c r="Q42" s="277"/>
      <c r="R42" s="278"/>
      <c r="S42" s="1403" t="str">
        <f>INDEX(PT_DIFFERENTIATION_NUM_TER,MATCH(B42,PT_DIFFERENTIATION_TER_ID,0))</f>
        <v>.</v>
      </c>
      <c r="T42" s="229" t="s">
        <v>389</v>
      </c>
      <c r="U42" s="219"/>
      <c r="V42" s="4060"/>
      <c r="W42" s="4061"/>
      <c r="X42" s="4061"/>
      <c r="Y42" s="4061"/>
      <c r="Z42" s="4061"/>
      <c r="AA42" s="4061"/>
      <c r="AB42" s="4062"/>
      <c r="AC42" s="4060" t="str">
        <f>INDEX(PT_DIFFERENTIATION_TER,MATCH(B42,PT_DIFFERENTIATION_TER_ID,0))</f>
        <v/>
      </c>
      <c r="AD42" s="4061"/>
      <c r="AE42" s="4061"/>
      <c r="AF42" s="4061"/>
      <c r="AG42" s="4061"/>
      <c r="AH42" s="4061"/>
      <c r="AI42" s="4061"/>
      <c r="AJ42" s="4062"/>
      <c r="AK42" s="1177" t="s">
        <v>390</v>
      </c>
      <c r="AM42" s="426"/>
      <c r="AN42" s="426" t="str">
        <f t="shared" si="1"/>
        <v>Территория действия тарифа</v>
      </c>
      <c r="AO42" s="426"/>
      <c r="AP42" s="426"/>
    </row>
    <row r="43" spans="1:42" ht="23.25" customHeight="1">
      <c r="A43" s="1279" t="s">
        <v>261</v>
      </c>
      <c r="B43" s="1279" t="s">
        <v>262</v>
      </c>
      <c r="C43" s="1279" t="s">
        <v>263</v>
      </c>
      <c r="D43" s="1279"/>
      <c r="E43" s="4075"/>
      <c r="F43" s="4075"/>
      <c r="G43" s="4074">
        <v>1</v>
      </c>
      <c r="H43" s="1279"/>
      <c r="I43" s="1279"/>
      <c r="J43" s="1279"/>
      <c r="K43" s="1279"/>
      <c r="L43" s="1280"/>
      <c r="M43" s="1281"/>
      <c r="N43" s="1281"/>
      <c r="O43" s="1281"/>
      <c r="P43" s="279"/>
      <c r="Q43" s="277"/>
      <c r="R43" s="278"/>
      <c r="S43" s="1403" t="str">
        <f>INDEX(PT_DIFFERENTIATION_NUM_CS,MATCH(C43,PT_DIFFERENTIATION_CS_ID,0))</f>
        <v>..</v>
      </c>
      <c r="T43" s="230" t="s">
        <v>505</v>
      </c>
      <c r="U43" s="219"/>
      <c r="V43" s="4060"/>
      <c r="W43" s="4061"/>
      <c r="X43" s="4061"/>
      <c r="Y43" s="4061"/>
      <c r="Z43" s="4061"/>
      <c r="AA43" s="4061"/>
      <c r="AB43" s="4062"/>
      <c r="AC43" s="4060" t="str">
        <f>INDEX(PT_DIFFERENTIATION_CS,MATCH(C43,PT_DIFFERENTIATION_CS_ID,0))</f>
        <v/>
      </c>
      <c r="AD43" s="4061"/>
      <c r="AE43" s="4061"/>
      <c r="AF43" s="4061"/>
      <c r="AG43" s="4061"/>
      <c r="AH43" s="4061"/>
      <c r="AI43" s="4061"/>
      <c r="AJ43" s="4062"/>
      <c r="AK43" s="1177" t="s">
        <v>506</v>
      </c>
      <c r="AM43" s="426"/>
      <c r="AN43" s="426" t="str">
        <f t="shared" si="1"/>
        <v>Наименование централизованной системы водоотведения</v>
      </c>
      <c r="AO43" s="426"/>
      <c r="AP43" s="426"/>
    </row>
    <row r="44" spans="1:42" ht="23.25" customHeight="1">
      <c r="A44" s="1279" t="s">
        <v>261</v>
      </c>
      <c r="B44" s="1279" t="s">
        <v>262</v>
      </c>
      <c r="C44" s="1279" t="s">
        <v>263</v>
      </c>
      <c r="D44" s="1279" t="s">
        <v>510</v>
      </c>
      <c r="E44" s="4075"/>
      <c r="F44" s="4075"/>
      <c r="G44" s="4075"/>
      <c r="H44" s="4075"/>
      <c r="I44" s="4072" t="str">
        <f>S43&amp;".1"</f>
        <v>...1</v>
      </c>
      <c r="J44" s="1279"/>
      <c r="K44" s="1279"/>
      <c r="L44" s="1280"/>
      <c r="P44" s="4073">
        <v>1</v>
      </c>
      <c r="Q44" s="1391"/>
      <c r="R44" s="281"/>
      <c r="S44" s="1403" t="str">
        <f>$I44</f>
        <v>...1</v>
      </c>
      <c r="T44" s="204" t="s">
        <v>474</v>
      </c>
      <c r="U44" s="219"/>
      <c r="V44" s="4133"/>
      <c r="W44" s="4134"/>
      <c r="X44" s="4134"/>
      <c r="Y44" s="4134"/>
      <c r="Z44" s="4134"/>
      <c r="AA44" s="4134"/>
      <c r="AB44" s="4135"/>
      <c r="AC44" s="4136"/>
      <c r="AD44" s="4137"/>
      <c r="AE44" s="4137"/>
      <c r="AF44" s="4137"/>
      <c r="AG44" s="4137"/>
      <c r="AH44" s="4137"/>
      <c r="AI44" s="4137"/>
      <c r="AJ44" s="4138"/>
      <c r="AK44" s="1177" t="s">
        <v>475</v>
      </c>
      <c r="AM44" s="426"/>
      <c r="AN44" s="426" t="str">
        <f t="shared" si="1"/>
        <v>Наименование признака дифференциации</v>
      </c>
      <c r="AO44" s="426"/>
      <c r="AP44" s="426"/>
    </row>
    <row r="45" spans="1:42" ht="23.25" customHeight="1">
      <c r="A45" s="1279" t="s">
        <v>261</v>
      </c>
      <c r="B45" s="1279" t="s">
        <v>262</v>
      </c>
      <c r="C45" s="1279" t="s">
        <v>263</v>
      </c>
      <c r="D45" s="1279" t="s">
        <v>510</v>
      </c>
      <c r="E45" s="4075"/>
      <c r="F45" s="4075"/>
      <c r="G45" s="4075"/>
      <c r="H45" s="4075"/>
      <c r="I45" s="4095"/>
      <c r="J45" s="4072" t="str">
        <f>I44&amp;".1"</f>
        <v>...1.1</v>
      </c>
      <c r="K45" s="1279"/>
      <c r="L45" s="1280" t="s">
        <v>398</v>
      </c>
      <c r="P45" s="4073"/>
      <c r="Q45" s="4073">
        <v>1</v>
      </c>
      <c r="R45" s="282"/>
      <c r="S45" s="1403" t="str">
        <f>$J45</f>
        <v>...1.1</v>
      </c>
      <c r="T45" s="205" t="s">
        <v>399</v>
      </c>
      <c r="U45" s="219"/>
      <c r="V45" s="4063"/>
      <c r="W45" s="4064"/>
      <c r="X45" s="4064"/>
      <c r="Y45" s="4064"/>
      <c r="Z45" s="4064"/>
      <c r="AA45" s="4064"/>
      <c r="AB45" s="4065"/>
      <c r="AC45" s="4063"/>
      <c r="AD45" s="4064"/>
      <c r="AE45" s="4064"/>
      <c r="AF45" s="4064"/>
      <c r="AG45" s="4064"/>
      <c r="AH45" s="4064"/>
      <c r="AI45" s="4064"/>
      <c r="AJ45" s="4065"/>
      <c r="AK45" s="1226" t="s">
        <v>476</v>
      </c>
      <c r="AM45" s="426"/>
      <c r="AN45" s="426" t="str">
        <f t="shared" si="1"/>
        <v>Группа потребителей</v>
      </c>
      <c r="AO45" s="426"/>
      <c r="AP45" s="426"/>
    </row>
    <row r="46" spans="1:42" ht="23.25" customHeight="1">
      <c r="A46" s="1279" t="s">
        <v>261</v>
      </c>
      <c r="B46" s="1279" t="s">
        <v>262</v>
      </c>
      <c r="C46" s="1279" t="s">
        <v>263</v>
      </c>
      <c r="D46" s="1279" t="s">
        <v>510</v>
      </c>
      <c r="E46" s="4075"/>
      <c r="F46" s="4075"/>
      <c r="G46" s="4075"/>
      <c r="H46" s="4075"/>
      <c r="I46" s="4095"/>
      <c r="J46" s="4095"/>
      <c r="K46" s="4072" t="str">
        <f>J45&amp;".1"</f>
        <v>...1.1.1</v>
      </c>
      <c r="L46" s="1280"/>
      <c r="P46" s="4073"/>
      <c r="Q46" s="4073"/>
      <c r="R46" s="282">
        <v>1</v>
      </c>
      <c r="S46" s="1403" t="str">
        <f>$K46</f>
        <v>...1.1.1</v>
      </c>
      <c r="T46" s="1352"/>
      <c r="U46" s="219"/>
      <c r="V46" s="1276"/>
      <c r="W46" s="1276"/>
      <c r="X46" s="1277"/>
      <c r="Y46" s="4079"/>
      <c r="Z46" s="4080" t="s">
        <v>65</v>
      </c>
      <c r="AA46" s="4079"/>
      <c r="AB46" s="4080" t="s">
        <v>65</v>
      </c>
      <c r="AC46" s="668"/>
      <c r="AD46" s="668"/>
      <c r="AE46" s="1176"/>
      <c r="AF46" s="4077"/>
      <c r="AG46" s="3927" t="s">
        <v>65</v>
      </c>
      <c r="AH46" s="4096"/>
      <c r="AI46" s="3927" t="s">
        <v>55</v>
      </c>
      <c r="AJ46" s="1353"/>
      <c r="AK46" s="41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261</v>
      </c>
      <c r="B47" s="1279" t="s">
        <v>262</v>
      </c>
      <c r="C47" s="1279" t="s">
        <v>263</v>
      </c>
      <c r="D47" s="1279" t="s">
        <v>510</v>
      </c>
      <c r="E47" s="4075"/>
      <c r="F47" s="4075"/>
      <c r="G47" s="4075"/>
      <c r="H47" s="4075"/>
      <c r="I47" s="4095"/>
      <c r="J47" s="4095"/>
      <c r="K47" s="4072"/>
      <c r="L47" s="1280"/>
      <c r="P47" s="4073"/>
      <c r="Q47" s="4073"/>
      <c r="R47" s="282"/>
      <c r="S47" s="1400"/>
      <c r="T47" s="219"/>
      <c r="U47" s="219"/>
      <c r="V47" s="1276"/>
      <c r="W47" s="1276"/>
      <c r="X47" s="255" t="str">
        <f>Y46&amp;"-"&amp;AA46</f>
        <v>-</v>
      </c>
      <c r="Y47" s="4080"/>
      <c r="Z47" s="4080"/>
      <c r="AA47" s="4080"/>
      <c r="AB47" s="4080"/>
      <c r="AC47" s="251"/>
      <c r="AD47" s="251"/>
      <c r="AE47" s="255" t="str">
        <f>AF46&amp;"-"&amp;AH46</f>
        <v>-</v>
      </c>
      <c r="AF47" s="4078"/>
      <c r="AG47" s="3927"/>
      <c r="AH47" s="4097"/>
      <c r="AI47" s="3927"/>
      <c r="AJ47" s="1354"/>
      <c r="AK47" s="4132"/>
      <c r="AM47" s="426"/>
      <c r="AN47" s="426" t="str">
        <f t="shared" si="1"/>
        <v/>
      </c>
      <c r="AO47" s="426"/>
      <c r="AP47" s="426"/>
    </row>
    <row r="48" spans="1:42" ht="21" customHeight="1">
      <c r="A48" s="1279" t="s">
        <v>261</v>
      </c>
      <c r="B48" s="1279" t="s">
        <v>262</v>
      </c>
      <c r="C48" s="1279" t="s">
        <v>263</v>
      </c>
      <c r="D48" s="1279" t="s">
        <v>510</v>
      </c>
      <c r="E48" s="4075"/>
      <c r="F48" s="4075"/>
      <c r="G48" s="4075"/>
      <c r="H48" s="4075"/>
      <c r="I48" s="4095"/>
      <c r="J48" s="4072"/>
      <c r="K48" s="1279"/>
      <c r="L48" s="1280"/>
      <c r="P48" s="4073"/>
      <c r="Q48" s="4073"/>
      <c r="R48" s="281"/>
      <c r="S48" s="1198"/>
      <c r="T48" s="206" t="s">
        <v>477</v>
      </c>
      <c r="U48" s="295"/>
      <c r="V48" s="295"/>
      <c r="W48" s="295"/>
      <c r="X48" s="295"/>
      <c r="Y48" s="295"/>
      <c r="Z48" s="295"/>
      <c r="AA48" s="295"/>
      <c r="AB48" s="295"/>
      <c r="AC48" s="295"/>
      <c r="AD48" s="295"/>
      <c r="AE48" s="295"/>
      <c r="AF48" s="295"/>
      <c r="AG48" s="295"/>
      <c r="AH48" s="295"/>
      <c r="AI48" s="295"/>
      <c r="AJ48" s="295"/>
      <c r="AK48" s="1177" t="s">
        <v>478</v>
      </c>
      <c r="AM48" s="426"/>
      <c r="AN48" s="426" t="str">
        <f t="shared" si="1"/>
        <v>Добавить значение признака дифференциации</v>
      </c>
      <c r="AO48" s="426"/>
      <c r="AP48" s="426"/>
    </row>
    <row r="49" spans="1:42" ht="21" customHeight="1">
      <c r="A49" s="1279" t="s">
        <v>261</v>
      </c>
      <c r="B49" s="1279" t="s">
        <v>262</v>
      </c>
      <c r="C49" s="1279" t="s">
        <v>263</v>
      </c>
      <c r="D49" s="1279" t="s">
        <v>510</v>
      </c>
      <c r="E49" s="4075"/>
      <c r="F49" s="4075"/>
      <c r="G49" s="4075"/>
      <c r="H49" s="4075"/>
      <c r="I49" s="4072"/>
      <c r="J49" s="1279"/>
      <c r="K49" s="1279"/>
      <c r="L49" s="1280"/>
      <c r="P49" s="4073"/>
      <c r="Q49" s="1391"/>
      <c r="R49" s="281"/>
      <c r="S49" s="1198"/>
      <c r="T49" s="292" t="s">
        <v>404</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261</v>
      </c>
      <c r="B50" s="1279" t="s">
        <v>262</v>
      </c>
      <c r="C50" s="1279" t="s">
        <v>263</v>
      </c>
      <c r="D50" s="1279" t="s">
        <v>510</v>
      </c>
      <c r="E50" s="4075"/>
      <c r="F50" s="4075"/>
      <c r="G50" s="4075"/>
      <c r="H50" s="4074"/>
      <c r="I50" s="1279"/>
      <c r="J50" s="1279"/>
      <c r="K50" s="1279"/>
      <c r="L50" s="1280"/>
      <c r="M50" s="1281"/>
      <c r="N50" s="1281"/>
      <c r="O50" s="462"/>
      <c r="P50" s="285"/>
      <c r="Q50" s="304"/>
      <c r="R50" s="280"/>
      <c r="S50" s="1198"/>
      <c r="T50" s="300" t="s">
        <v>479</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2550" customFormat="1" ht="0" hidden="1" customHeight="1">
      <c r="A51" s="1260" t="s">
        <v>261</v>
      </c>
      <c r="B51" s="1260" t="s">
        <v>262</v>
      </c>
      <c r="C51" s="1232"/>
      <c r="D51" s="1232"/>
      <c r="E51" s="4075"/>
      <c r="F51" s="4074"/>
      <c r="G51" s="1232"/>
      <c r="H51" s="1232"/>
      <c r="I51" s="1232"/>
      <c r="J51" s="1232"/>
      <c r="K51" s="1232"/>
      <c r="L51" s="1404"/>
      <c r="M51" s="1239"/>
      <c r="N51" s="1239"/>
      <c r="P51" s="1234"/>
      <c r="Q51" s="1235"/>
      <c r="R51" s="1234"/>
      <c r="S51" s="1240"/>
      <c r="T51" s="1243" t="s">
        <v>167</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1" customFormat="1" ht="0" hidden="1" customHeight="1">
      <c r="A52" s="1260" t="s">
        <v>261</v>
      </c>
      <c r="B52" s="1260"/>
      <c r="C52" s="1260"/>
      <c r="D52" s="1260"/>
      <c r="E52" s="4074"/>
      <c r="F52" s="1260"/>
      <c r="G52" s="1260"/>
      <c r="H52" s="1260"/>
      <c r="I52" s="1260"/>
      <c r="J52" s="1260"/>
      <c r="K52" s="1260"/>
      <c r="L52" s="1263"/>
      <c r="M52" s="1239"/>
      <c r="N52" s="1239"/>
      <c r="O52" s="444"/>
      <c r="P52" s="313"/>
      <c r="Q52" s="1261"/>
      <c r="R52" s="313"/>
      <c r="S52" s="1240"/>
      <c r="T52" s="1243" t="s">
        <v>168</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2550"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169</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4094"/>
      <c r="U55" s="4094"/>
      <c r="V55" s="4094"/>
      <c r="W55" s="4094"/>
      <c r="X55" s="4094"/>
      <c r="Y55" s="4094"/>
      <c r="Z55" s="4094"/>
      <c r="AA55" s="4094"/>
      <c r="AB55" s="4094"/>
      <c r="AC55" s="4094"/>
      <c r="AD55" s="4094"/>
      <c r="AE55" s="4094"/>
      <c r="AF55" s="4094"/>
      <c r="AG55" s="4094"/>
      <c r="AH55" s="4094"/>
      <c r="AI55" s="4094"/>
      <c r="AJ55" s="4094"/>
      <c r="AK55" s="4094"/>
    </row>
    <row r="56" spans="1:42" ht="14.25" customHeight="1">
      <c r="O56" s="462"/>
    </row>
    <row r="57" spans="1:42" ht="14.25" customHeight="1">
      <c r="O57" s="462"/>
      <c r="S57" s="1164"/>
      <c r="T57" s="4094"/>
      <c r="U57" s="4094"/>
      <c r="V57" s="4094"/>
      <c r="W57" s="4094"/>
      <c r="X57" s="4094"/>
      <c r="Y57" s="4094"/>
      <c r="Z57" s="4094"/>
      <c r="AA57" s="4094"/>
      <c r="AB57" s="4094"/>
      <c r="AC57" s="4094"/>
      <c r="AD57" s="4094"/>
      <c r="AE57" s="4094"/>
      <c r="AF57" s="4094"/>
      <c r="AG57" s="4094"/>
      <c r="AH57" s="4094"/>
      <c r="AI57" s="4094"/>
      <c r="AJ57" s="4094"/>
      <c r="AK57" s="409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2553" hidden="1" customWidth="1"/>
    <col min="2" max="2" width="11" style="2553" hidden="1" customWidth="1"/>
    <col min="3" max="3" width="10.5703125" style="2553" hidden="1"/>
    <col min="4" max="4" width="12.85546875" style="2553" hidden="1" customWidth="1"/>
    <col min="5" max="5" width="10" style="2553" hidden="1" customWidth="1"/>
    <col min="6" max="6" width="8.7109375" style="2553" hidden="1" customWidth="1"/>
    <col min="7" max="7" width="7.5703125" style="2553" hidden="1" customWidth="1"/>
    <col min="8" max="8" width="11.42578125" style="2553" hidden="1" customWidth="1"/>
    <col min="9" max="9" width="12" style="2553" hidden="1" customWidth="1"/>
    <col min="10" max="10" width="9.85546875" style="2553" hidden="1" customWidth="1"/>
    <col min="11" max="11" width="11.42578125" style="2553" hidden="1" customWidth="1"/>
    <col min="12" max="12" width="19.140625" style="3808" hidden="1" customWidth="1"/>
    <col min="13" max="14" width="12.28515625" style="2555" hidden="1" customWidth="1"/>
    <col min="15" max="15" width="23.42578125" style="2555" hidden="1" customWidth="1"/>
    <col min="16" max="16" width="3.7109375" style="2555" hidden="1" customWidth="1"/>
    <col min="17" max="17" width="3.7109375" style="2556" hidden="1" customWidth="1"/>
    <col min="18" max="18" width="3.7109375" style="3173" customWidth="1"/>
    <col min="19" max="19" width="12.7109375" style="3174" customWidth="1"/>
    <col min="20" max="20" width="32" style="1920" customWidth="1"/>
    <col min="21" max="21" width="0.140625" style="1920" customWidth="1"/>
    <col min="22" max="25" width="21.7109375" style="1920" hidden="1" customWidth="1"/>
    <col min="26" max="26" width="11.7109375" style="1920" hidden="1" customWidth="1"/>
    <col min="27" max="27" width="3.7109375" style="1920" hidden="1" customWidth="1"/>
    <col min="28" max="28" width="11.7109375" style="1920" hidden="1" customWidth="1"/>
    <col min="29" max="29" width="8.5703125" style="1920" hidden="1" customWidth="1"/>
    <col min="30" max="32" width="3.7109375" style="1920" customWidth="1"/>
    <col min="33" max="33" width="24.7109375" style="1920" customWidth="1"/>
    <col min="34" max="36" width="3.7109375" style="1920" customWidth="1"/>
    <col min="37" max="37" width="24.7109375" style="1920" customWidth="1"/>
    <col min="38" max="40" width="3.7109375" style="1920" customWidth="1"/>
    <col min="41" max="41" width="18.85546875" style="1920" customWidth="1"/>
    <col min="42" max="44" width="3.7109375" style="1920" customWidth="1"/>
    <col min="45" max="45" width="18.85546875" style="1920" customWidth="1"/>
    <col min="46" max="49" width="21.7109375" style="1920" customWidth="1"/>
    <col min="50" max="50" width="11.7109375" style="1920" customWidth="1"/>
    <col min="51" max="51" width="3.7109375" style="1920" customWidth="1"/>
    <col min="52" max="52" width="11.7109375" style="1920" customWidth="1"/>
    <col min="53" max="53" width="8.5703125" style="1920" hidden="1" customWidth="1"/>
    <col min="54" max="54" width="4.7109375" style="1920" customWidth="1"/>
    <col min="55" max="55" width="115.7109375" style="1920" customWidth="1"/>
    <col min="56" max="57" width="10.5703125" style="1821"/>
    <col min="58" max="58" width="11.140625" style="1821" customWidth="1"/>
    <col min="59" max="60" width="10.5703125" style="1821"/>
  </cols>
  <sheetData>
    <row r="1" spans="1:60" ht="14.25" hidden="1" customHeight="1">
      <c r="W1" s="254"/>
      <c r="Y1" s="254"/>
      <c r="Z1" s="254"/>
      <c r="AW1" s="254"/>
      <c r="AX1" s="254"/>
    </row>
    <row r="2" spans="1:60" ht="21" hidden="1" customHeight="1">
      <c r="A2" s="1279"/>
      <c r="B2" s="1279"/>
      <c r="C2" s="1279"/>
      <c r="D2" s="1279"/>
      <c r="E2" s="4074">
        <v>1</v>
      </c>
      <c r="F2" s="1279"/>
      <c r="G2" s="1279"/>
      <c r="H2" s="1279"/>
      <c r="I2" s="1279"/>
      <c r="J2" s="1279"/>
      <c r="K2" s="1279"/>
      <c r="L2" s="1280"/>
      <c r="M2" s="1281"/>
      <c r="N2" s="1281"/>
      <c r="O2" s="1281"/>
      <c r="P2" s="1325"/>
      <c r="Q2" s="786"/>
      <c r="R2" s="280"/>
      <c r="S2" s="1403" t="e">
        <f>INDEX(PT_DIFFERENTIATION_NUM_NTAR,MATCH(A2,PT_DIFFERENTIATION_NTAR_ID,0))</f>
        <v>#N/A</v>
      </c>
      <c r="T2" s="217" t="s">
        <v>121</v>
      </c>
      <c r="U2" s="219"/>
      <c r="V2" s="4061"/>
      <c r="W2" s="4061"/>
      <c r="X2" s="4061"/>
      <c r="Y2" s="4061"/>
      <c r="Z2" s="4061"/>
      <c r="AA2" s="4061"/>
      <c r="AB2" s="4061"/>
      <c r="AC2" s="4062"/>
      <c r="AD2" s="4060" t="e">
        <f>INDEX(PT_DIFFERENTIATION_NTAR,MATCH(A2,PT_DIFFERENTIATION_NTAR_ID,0))</f>
        <v>#N/A</v>
      </c>
      <c r="AE2" s="4061"/>
      <c r="AF2" s="4061"/>
      <c r="AG2" s="4061"/>
      <c r="AH2" s="4061"/>
      <c r="AI2" s="4061"/>
      <c r="AJ2" s="4061"/>
      <c r="AK2" s="4061"/>
      <c r="AL2" s="4061"/>
      <c r="AM2" s="4061"/>
      <c r="AN2" s="4061"/>
      <c r="AO2" s="4061"/>
      <c r="AP2" s="4061"/>
      <c r="AQ2" s="4061"/>
      <c r="AR2" s="4061"/>
      <c r="AS2" s="4061"/>
      <c r="AT2" s="4061"/>
      <c r="AU2" s="4061"/>
      <c r="AV2" s="4061"/>
      <c r="AW2" s="4061"/>
      <c r="AX2" s="4061"/>
      <c r="AY2" s="4061"/>
      <c r="AZ2" s="4061"/>
      <c r="BA2" s="4061"/>
      <c r="BB2" s="4062"/>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4075"/>
      <c r="F3" s="4074">
        <v>1</v>
      </c>
      <c r="G3" s="1279"/>
      <c r="H3" s="1279"/>
      <c r="I3" s="1279"/>
      <c r="J3" s="1279"/>
      <c r="K3" s="1279"/>
      <c r="L3" s="1280"/>
      <c r="M3" s="1281"/>
      <c r="N3" s="1281"/>
      <c r="O3" s="1281"/>
      <c r="P3" s="1326"/>
      <c r="Q3" s="1327"/>
      <c r="R3" s="278"/>
      <c r="S3" s="1403" t="e">
        <f>INDEX(PT_DIFFERENTIATION_NUM_TER,MATCH(B3,PT_DIFFERENTIATION_TER_ID,0))</f>
        <v>#N/A</v>
      </c>
      <c r="T3" s="229" t="s">
        <v>389</v>
      </c>
      <c r="U3" s="219"/>
      <c r="V3" s="4061"/>
      <c r="W3" s="4061"/>
      <c r="X3" s="4061"/>
      <c r="Y3" s="4061"/>
      <c r="Z3" s="4061"/>
      <c r="AA3" s="4061"/>
      <c r="AB3" s="4061"/>
      <c r="AC3" s="4062"/>
      <c r="AD3" s="4060" t="e">
        <f>INDEX(PT_DIFFERENTIATION_TER,MATCH(B3,PT_DIFFERENTIATION_TER_ID,0))</f>
        <v>#N/A</v>
      </c>
      <c r="AE3" s="4061"/>
      <c r="AF3" s="4061"/>
      <c r="AG3" s="4061"/>
      <c r="AH3" s="4061"/>
      <c r="AI3" s="4061"/>
      <c r="AJ3" s="4061"/>
      <c r="AK3" s="4061"/>
      <c r="AL3" s="4061"/>
      <c r="AM3" s="4061"/>
      <c r="AN3" s="4061"/>
      <c r="AO3" s="4061"/>
      <c r="AP3" s="4061"/>
      <c r="AQ3" s="4061"/>
      <c r="AR3" s="4061"/>
      <c r="AS3" s="4061"/>
      <c r="AT3" s="4061"/>
      <c r="AU3" s="4061"/>
      <c r="AV3" s="4061"/>
      <c r="AW3" s="4061"/>
      <c r="AX3" s="4061"/>
      <c r="AY3" s="4061"/>
      <c r="AZ3" s="4061"/>
      <c r="BA3" s="4061"/>
      <c r="BB3" s="4062"/>
      <c r="BC3" s="1177" t="s">
        <v>390</v>
      </c>
      <c r="BE3" s="426"/>
      <c r="BF3" s="426" t="str">
        <f t="shared" si="0"/>
        <v>Территория действия тарифа</v>
      </c>
      <c r="BG3" s="426"/>
      <c r="BH3" s="426"/>
    </row>
    <row r="4" spans="1:60" ht="33.75" hidden="1" customHeight="1">
      <c r="A4" s="1279"/>
      <c r="B4" s="1279"/>
      <c r="C4" s="1279"/>
      <c r="D4" s="1279"/>
      <c r="E4" s="4075"/>
      <c r="F4" s="4075"/>
      <c r="G4" s="4074">
        <v>1</v>
      </c>
      <c r="H4" s="1279"/>
      <c r="I4" s="1279"/>
      <c r="J4" s="1279"/>
      <c r="K4" s="1279"/>
      <c r="L4" s="1280"/>
      <c r="M4" s="1281"/>
      <c r="N4" s="1281"/>
      <c r="O4" s="1281"/>
      <c r="P4" s="1328"/>
      <c r="Q4" s="1327"/>
      <c r="R4" s="278"/>
      <c r="S4" s="1403" t="e">
        <f>INDEX(PT_DIFFERENTIATION_NUM_CS,MATCH(C4,PT_DIFFERENTIATION_CS_ID,0))</f>
        <v>#N/A</v>
      </c>
      <c r="T4" s="230" t="s">
        <v>505</v>
      </c>
      <c r="U4" s="219"/>
      <c r="V4" s="4061"/>
      <c r="W4" s="4061"/>
      <c r="X4" s="4061"/>
      <c r="Y4" s="4061"/>
      <c r="Z4" s="4061"/>
      <c r="AA4" s="4061"/>
      <c r="AB4" s="4061"/>
      <c r="AC4" s="4062"/>
      <c r="AD4" s="4060" t="e">
        <f>INDEX(PT_DIFFERENTIATION_CS,MATCH(C4,PT_DIFFERENTIATION_CS_ID,0))</f>
        <v>#N/A</v>
      </c>
      <c r="AE4" s="4061"/>
      <c r="AF4" s="4061"/>
      <c r="AG4" s="4061"/>
      <c r="AH4" s="4061"/>
      <c r="AI4" s="4061"/>
      <c r="AJ4" s="4061"/>
      <c r="AK4" s="4061"/>
      <c r="AL4" s="4061"/>
      <c r="AM4" s="4061"/>
      <c r="AN4" s="4061"/>
      <c r="AO4" s="4061"/>
      <c r="AP4" s="4061"/>
      <c r="AQ4" s="4061"/>
      <c r="AR4" s="4061"/>
      <c r="AS4" s="4061"/>
      <c r="AT4" s="4061"/>
      <c r="AU4" s="4061"/>
      <c r="AV4" s="4061"/>
      <c r="AW4" s="4061"/>
      <c r="AX4" s="4061"/>
      <c r="AY4" s="4061"/>
      <c r="AZ4" s="4061"/>
      <c r="BA4" s="4061"/>
      <c r="BB4" s="4062"/>
      <c r="BC4" s="1177" t="s">
        <v>506</v>
      </c>
      <c r="BE4" s="426"/>
      <c r="BF4" s="426" t="str">
        <f t="shared" si="0"/>
        <v>Наименование централизованной системы водоотведения</v>
      </c>
      <c r="BG4" s="426"/>
      <c r="BH4" s="426"/>
    </row>
    <row r="5" spans="1:60" s="1821" customFormat="1" ht="14.25" hidden="1" customHeight="1">
      <c r="A5" s="1260"/>
      <c r="B5" s="1260"/>
      <c r="C5" s="1260"/>
      <c r="D5" s="1260"/>
      <c r="E5" s="4075"/>
      <c r="F5" s="4075"/>
      <c r="G5" s="4075"/>
      <c r="H5" s="4074">
        <v>1</v>
      </c>
      <c r="I5" s="1260"/>
      <c r="J5" s="1260"/>
      <c r="K5" s="1260"/>
      <c r="L5" s="1263"/>
      <c r="M5" s="1233"/>
      <c r="N5" s="1233"/>
      <c r="O5" s="1233"/>
      <c r="P5" s="1407"/>
      <c r="Q5" s="1408"/>
      <c r="R5" s="282"/>
      <c r="S5" s="949"/>
      <c r="T5" s="1409"/>
      <c r="U5" s="1300"/>
      <c r="V5" s="4102"/>
      <c r="W5" s="4102"/>
      <c r="X5" s="4102"/>
      <c r="Y5" s="4102"/>
      <c r="Z5" s="4102"/>
      <c r="AA5" s="4102"/>
      <c r="AB5" s="4102"/>
      <c r="AC5" s="4103"/>
      <c r="AD5" s="4101"/>
      <c r="AE5" s="4102"/>
      <c r="AF5" s="4102"/>
      <c r="AG5" s="4102"/>
      <c r="AH5" s="4102"/>
      <c r="AI5" s="4102"/>
      <c r="AJ5" s="4102"/>
      <c r="AK5" s="4102"/>
      <c r="AL5" s="4102"/>
      <c r="AM5" s="4102"/>
      <c r="AN5" s="4102"/>
      <c r="AO5" s="4102"/>
      <c r="AP5" s="4102"/>
      <c r="AQ5" s="4102"/>
      <c r="AR5" s="4102"/>
      <c r="AS5" s="4102"/>
      <c r="AT5" s="4102"/>
      <c r="AU5" s="4102"/>
      <c r="AV5" s="4102"/>
      <c r="AW5" s="4102"/>
      <c r="AX5" s="4102"/>
      <c r="AY5" s="4102"/>
      <c r="AZ5" s="4102"/>
      <c r="BA5" s="4102"/>
      <c r="BB5" s="4103"/>
      <c r="BC5" s="1301" t="s">
        <v>394</v>
      </c>
      <c r="BE5" s="426"/>
      <c r="BF5" s="426" t="str">
        <f t="shared" si="0"/>
        <v/>
      </c>
      <c r="BG5" s="426"/>
      <c r="BH5" s="426"/>
    </row>
    <row r="6" spans="1:60" s="1821" customFormat="1" ht="14.25" hidden="1" customHeight="1">
      <c r="A6" s="1260"/>
      <c r="B6" s="1260"/>
      <c r="C6" s="1260"/>
      <c r="D6" s="1260"/>
      <c r="E6" s="4075"/>
      <c r="F6" s="4075"/>
      <c r="G6" s="4075"/>
      <c r="H6" s="4075"/>
      <c r="I6" s="4072" t="str">
        <f>S5&amp;".1"</f>
        <v>.1</v>
      </c>
      <c r="J6" s="1260"/>
      <c r="K6" s="1260"/>
      <c r="L6" s="1263" t="s">
        <v>395</v>
      </c>
      <c r="M6" s="436"/>
      <c r="N6" s="436"/>
      <c r="O6" s="436"/>
      <c r="P6" s="4073">
        <v>1</v>
      </c>
      <c r="Q6" s="1391"/>
      <c r="R6" s="281"/>
      <c r="S6" s="949"/>
      <c r="T6" s="1299"/>
      <c r="U6" s="1300"/>
      <c r="V6" s="4102"/>
      <c r="W6" s="4102"/>
      <c r="X6" s="4102"/>
      <c r="Y6" s="4102"/>
      <c r="Z6" s="4102"/>
      <c r="AA6" s="4102"/>
      <c r="AB6" s="4102"/>
      <c r="AC6" s="4103"/>
      <c r="AD6" s="4101"/>
      <c r="AE6" s="4102"/>
      <c r="AF6" s="4102"/>
      <c r="AG6" s="4102"/>
      <c r="AH6" s="4102"/>
      <c r="AI6" s="4102"/>
      <c r="AJ6" s="4102"/>
      <c r="AK6" s="4102"/>
      <c r="AL6" s="4102"/>
      <c r="AM6" s="4102"/>
      <c r="AN6" s="4102"/>
      <c r="AO6" s="4102"/>
      <c r="AP6" s="4102"/>
      <c r="AQ6" s="4102"/>
      <c r="AR6" s="4102"/>
      <c r="AS6" s="4102"/>
      <c r="AT6" s="4102"/>
      <c r="AU6" s="4102"/>
      <c r="AV6" s="4102"/>
      <c r="AW6" s="4102"/>
      <c r="AX6" s="4102"/>
      <c r="AY6" s="4102"/>
      <c r="AZ6" s="4102"/>
      <c r="BA6" s="4102"/>
      <c r="BB6" s="4103"/>
      <c r="BC6" s="1301"/>
      <c r="BE6" s="426"/>
      <c r="BF6" s="426" t="str">
        <f t="shared" si="0"/>
        <v/>
      </c>
      <c r="BG6" s="426"/>
      <c r="BH6" s="426"/>
    </row>
    <row r="7" spans="1:60" s="1821" customFormat="1" ht="14.25" hidden="1" customHeight="1">
      <c r="A7" s="1260"/>
      <c r="B7" s="1260"/>
      <c r="C7" s="1260"/>
      <c r="D7" s="1260"/>
      <c r="E7" s="4075"/>
      <c r="F7" s="4075"/>
      <c r="G7" s="4075"/>
      <c r="H7" s="4075"/>
      <c r="I7" s="4095"/>
      <c r="J7" s="4072" t="str">
        <f>S5&amp;".1"</f>
        <v>.1</v>
      </c>
      <c r="K7" s="1260"/>
      <c r="L7" s="1263"/>
      <c r="M7" s="436"/>
      <c r="N7" s="436"/>
      <c r="O7" s="436"/>
      <c r="P7" s="4073"/>
      <c r="Q7" s="4073">
        <v>1</v>
      </c>
      <c r="R7" s="282"/>
      <c r="S7" s="949"/>
      <c r="T7" s="1315"/>
      <c r="U7" s="1300"/>
      <c r="V7" s="4102"/>
      <c r="W7" s="4102"/>
      <c r="X7" s="4102"/>
      <c r="Y7" s="4102"/>
      <c r="Z7" s="4102"/>
      <c r="AA7" s="4102"/>
      <c r="AB7" s="4102"/>
      <c r="AC7" s="4103"/>
      <c r="AD7" s="4101"/>
      <c r="AE7" s="4102"/>
      <c r="AF7" s="4102"/>
      <c r="AG7" s="4102"/>
      <c r="AH7" s="4102"/>
      <c r="AI7" s="4102"/>
      <c r="AJ7" s="4102"/>
      <c r="AK7" s="4102"/>
      <c r="AL7" s="4102"/>
      <c r="AM7" s="4102"/>
      <c r="AN7" s="4102"/>
      <c r="AO7" s="4102"/>
      <c r="AP7" s="4102"/>
      <c r="AQ7" s="4102"/>
      <c r="AR7" s="4102"/>
      <c r="AS7" s="4102"/>
      <c r="AT7" s="4102"/>
      <c r="AU7" s="4102"/>
      <c r="AV7" s="4102"/>
      <c r="AW7" s="4102"/>
      <c r="AX7" s="4102"/>
      <c r="AY7" s="4102"/>
      <c r="AZ7" s="4102"/>
      <c r="BA7" s="4102"/>
      <c r="BB7" s="4103"/>
      <c r="BC7" s="1301"/>
      <c r="BE7" s="426"/>
      <c r="BF7" s="426" t="str">
        <f t="shared" si="0"/>
        <v/>
      </c>
      <c r="BG7" s="426"/>
      <c r="BH7" s="426"/>
    </row>
    <row r="8" spans="1:60" ht="11.25" hidden="1" customHeight="1">
      <c r="A8" s="1279"/>
      <c r="B8" s="1279"/>
      <c r="C8" s="1279"/>
      <c r="D8" s="1279"/>
      <c r="E8" s="4075"/>
      <c r="F8" s="4075"/>
      <c r="G8" s="4075"/>
      <c r="H8" s="4075"/>
      <c r="I8" s="4095"/>
      <c r="J8" s="4095"/>
      <c r="K8" s="4072" t="e">
        <f>S4&amp;".1"</f>
        <v>#N/A</v>
      </c>
      <c r="L8" s="1280"/>
      <c r="P8" s="4073"/>
      <c r="Q8" s="4073"/>
      <c r="R8" s="4130">
        <v>1</v>
      </c>
      <c r="S8" s="4124" t="e">
        <f>$K8</f>
        <v>#N/A</v>
      </c>
      <c r="T8" s="4142"/>
      <c r="U8" s="219"/>
      <c r="V8" s="668"/>
      <c r="W8" s="1176"/>
      <c r="X8" s="668"/>
      <c r="Y8" s="1176"/>
      <c r="Z8" s="1644"/>
      <c r="AA8" s="1380" t="s">
        <v>65</v>
      </c>
      <c r="AB8" s="1644"/>
      <c r="AC8" s="1380" t="s">
        <v>65</v>
      </c>
      <c r="AD8" s="4001" t="s">
        <v>65</v>
      </c>
      <c r="AE8" s="4110"/>
      <c r="AF8" s="4028">
        <v>1</v>
      </c>
      <c r="AG8" s="4146"/>
      <c r="AH8" s="3927" t="s">
        <v>65</v>
      </c>
      <c r="AI8" s="4110"/>
      <c r="AJ8" s="4028">
        <v>1</v>
      </c>
      <c r="AK8" s="4145" t="s">
        <v>24</v>
      </c>
      <c r="AL8" s="3927" t="s">
        <v>65</v>
      </c>
      <c r="AM8" s="4018"/>
      <c r="AN8" s="4028">
        <v>1</v>
      </c>
      <c r="AO8" s="4139"/>
      <c r="AP8" s="4140" t="s">
        <v>65</v>
      </c>
      <c r="AQ8" s="232"/>
      <c r="AR8" s="1396">
        <v>1</v>
      </c>
      <c r="AS8" s="1402" t="s">
        <v>24</v>
      </c>
      <c r="AT8" s="668"/>
      <c r="AU8" s="1176"/>
      <c r="AV8" s="668"/>
      <c r="AW8" s="1176"/>
      <c r="AX8" s="1644"/>
      <c r="AY8" s="1380" t="s">
        <v>65</v>
      </c>
      <c r="AZ8" s="1644"/>
      <c r="BA8" s="1380" t="s">
        <v>65</v>
      </c>
      <c r="BB8" s="1265"/>
      <c r="BC8" s="4069" t="s">
        <v>490</v>
      </c>
      <c r="BE8" s="426"/>
      <c r="BF8" s="426" t="str">
        <f t="shared" si="0"/>
        <v/>
      </c>
      <c r="BG8" s="426"/>
      <c r="BH8" s="426"/>
    </row>
    <row r="9" spans="1:60" ht="11.25" hidden="1" customHeight="1">
      <c r="A9" s="1279"/>
      <c r="B9" s="1279"/>
      <c r="C9" s="1279"/>
      <c r="D9" s="1279"/>
      <c r="E9" s="4075"/>
      <c r="F9" s="4075"/>
      <c r="G9" s="4075"/>
      <c r="H9" s="4075"/>
      <c r="I9" s="4095"/>
      <c r="J9" s="4095"/>
      <c r="K9" s="4072"/>
      <c r="L9" s="1280"/>
      <c r="P9" s="4073"/>
      <c r="Q9" s="4073"/>
      <c r="R9" s="4130"/>
      <c r="S9" s="4125"/>
      <c r="T9" s="4143"/>
      <c r="U9" s="219"/>
      <c r="V9" s="1309"/>
      <c r="W9" s="1406"/>
      <c r="X9" s="1309"/>
      <c r="Y9" s="1406"/>
      <c r="Z9" s="1309"/>
      <c r="AA9" s="1309"/>
      <c r="AB9" s="1309"/>
      <c r="AC9" s="1309"/>
      <c r="AD9" s="4002"/>
      <c r="AE9" s="4110"/>
      <c r="AF9" s="4028"/>
      <c r="AG9" s="4146"/>
      <c r="AH9" s="3927"/>
      <c r="AI9" s="4110"/>
      <c r="AJ9" s="4028"/>
      <c r="AK9" s="4145"/>
      <c r="AL9" s="3927"/>
      <c r="AM9" s="4023"/>
      <c r="AN9" s="4028"/>
      <c r="AO9" s="4139"/>
      <c r="AP9" s="4141"/>
      <c r="AQ9" s="239"/>
      <c r="AR9" s="350"/>
      <c r="AS9" s="350" t="s">
        <v>491</v>
      </c>
      <c r="AT9" s="1309"/>
      <c r="AU9" s="1406"/>
      <c r="AV9" s="1309"/>
      <c r="AW9" s="1406"/>
      <c r="AX9" s="1309"/>
      <c r="AY9" s="1309"/>
      <c r="AZ9" s="1309"/>
      <c r="BA9" s="1309"/>
      <c r="BB9" s="1313"/>
      <c r="BC9" s="4070"/>
      <c r="BE9" s="426"/>
      <c r="BF9" s="426"/>
      <c r="BG9" s="426"/>
      <c r="BH9" s="426"/>
    </row>
    <row r="10" spans="1:60" ht="11.25" hidden="1" customHeight="1">
      <c r="A10" s="1279"/>
      <c r="B10" s="1279"/>
      <c r="C10" s="1279"/>
      <c r="D10" s="1279"/>
      <c r="E10" s="4075"/>
      <c r="F10" s="4075"/>
      <c r="G10" s="4075"/>
      <c r="H10" s="4075"/>
      <c r="I10" s="4095"/>
      <c r="J10" s="4095"/>
      <c r="K10" s="4072"/>
      <c r="L10" s="1280"/>
      <c r="P10" s="4073"/>
      <c r="Q10" s="4073"/>
      <c r="R10" s="4130"/>
      <c r="S10" s="4125"/>
      <c r="T10" s="4143"/>
      <c r="U10" s="219"/>
      <c r="V10" s="1309"/>
      <c r="W10" s="1406"/>
      <c r="X10" s="1309"/>
      <c r="Y10" s="1406"/>
      <c r="Z10" s="1309"/>
      <c r="AA10" s="1309"/>
      <c r="AB10" s="1309"/>
      <c r="AC10" s="1309"/>
      <c r="AD10" s="4002"/>
      <c r="AE10" s="4110"/>
      <c r="AF10" s="4028"/>
      <c r="AG10" s="4146"/>
      <c r="AH10" s="3927"/>
      <c r="AI10" s="4110"/>
      <c r="AJ10" s="4028"/>
      <c r="AK10" s="4145"/>
      <c r="AL10" s="3927"/>
      <c r="AM10" s="239"/>
      <c r="AN10" s="1410"/>
      <c r="AO10" s="1410" t="s">
        <v>511</v>
      </c>
      <c r="AP10" s="350"/>
      <c r="AQ10" s="350"/>
      <c r="AR10" s="350"/>
      <c r="AS10" s="1309"/>
      <c r="AT10" s="1309"/>
      <c r="AU10" s="1406"/>
      <c r="AV10" s="1309"/>
      <c r="AW10" s="1406"/>
      <c r="AX10" s="1309"/>
      <c r="AY10" s="1309"/>
      <c r="AZ10" s="1309"/>
      <c r="BA10" s="1309"/>
      <c r="BB10" s="1313"/>
      <c r="BC10" s="4070"/>
      <c r="BE10" s="426"/>
      <c r="BF10" s="426"/>
      <c r="BG10" s="426"/>
      <c r="BH10" s="426"/>
    </row>
    <row r="11" spans="1:60" ht="11.25" hidden="1" customHeight="1">
      <c r="A11" s="1279"/>
      <c r="B11" s="1279"/>
      <c r="C11" s="1279"/>
      <c r="D11" s="1279"/>
      <c r="E11" s="4075"/>
      <c r="F11" s="4075"/>
      <c r="G11" s="4075"/>
      <c r="H11" s="4075"/>
      <c r="I11" s="4095"/>
      <c r="J11" s="4095"/>
      <c r="K11" s="4072"/>
      <c r="L11" s="1280"/>
      <c r="P11" s="4073"/>
      <c r="Q11" s="4073"/>
      <c r="R11" s="4130"/>
      <c r="S11" s="4125"/>
      <c r="T11" s="4143"/>
      <c r="U11" s="219"/>
      <c r="V11" s="1309"/>
      <c r="W11" s="1406"/>
      <c r="X11" s="1309"/>
      <c r="Y11" s="1406"/>
      <c r="Z11" s="1309"/>
      <c r="AA11" s="1309"/>
      <c r="AB11" s="1309"/>
      <c r="AC11" s="1309"/>
      <c r="AD11" s="4002"/>
      <c r="AE11" s="4110"/>
      <c r="AF11" s="4028"/>
      <c r="AG11" s="4146"/>
      <c r="AH11" s="3927"/>
      <c r="AI11" s="213"/>
      <c r="AJ11" s="349"/>
      <c r="AK11" s="234" t="s">
        <v>512</v>
      </c>
      <c r="AL11" s="1309"/>
      <c r="AM11" s="1309"/>
      <c r="AN11" s="1309"/>
      <c r="AO11" s="1309"/>
      <c r="AP11" s="1309"/>
      <c r="AQ11" s="1309"/>
      <c r="AR11" s="1309"/>
      <c r="AS11" s="1309"/>
      <c r="AT11" s="1309"/>
      <c r="AU11" s="1406"/>
      <c r="AV11" s="1309"/>
      <c r="AW11" s="1406"/>
      <c r="AX11" s="1309"/>
      <c r="AY11" s="1309"/>
      <c r="AZ11" s="1309"/>
      <c r="BA11" s="1309"/>
      <c r="BB11" s="1313"/>
      <c r="BC11" s="4070"/>
      <c r="BE11" s="426"/>
      <c r="BF11" s="426"/>
      <c r="BG11" s="426"/>
      <c r="BH11" s="426"/>
    </row>
    <row r="12" spans="1:60" ht="11.25" hidden="1" customHeight="1">
      <c r="A12" s="1279"/>
      <c r="B12" s="1279"/>
      <c r="C12" s="1279"/>
      <c r="D12" s="1279"/>
      <c r="E12" s="4075"/>
      <c r="F12" s="4075"/>
      <c r="G12" s="4075"/>
      <c r="H12" s="4075"/>
      <c r="I12" s="4095"/>
      <c r="J12" s="4095"/>
      <c r="K12" s="4072"/>
      <c r="L12" s="1280"/>
      <c r="P12" s="4073"/>
      <c r="Q12" s="4073"/>
      <c r="R12" s="4130"/>
      <c r="S12" s="4126"/>
      <c r="T12" s="4144"/>
      <c r="U12" s="219"/>
      <c r="V12" s="1309"/>
      <c r="W12" s="1310" t="str">
        <f>Z8&amp;"-"&amp;AB8</f>
        <v>-</v>
      </c>
      <c r="X12" s="1309"/>
      <c r="Y12" s="1310" t="str">
        <f>AB8&amp;"-"&amp;AD8</f>
        <v>-да</v>
      </c>
      <c r="Z12" s="1309"/>
      <c r="AA12" s="1309"/>
      <c r="AB12" s="1309"/>
      <c r="AC12" s="1309"/>
      <c r="AD12" s="3932"/>
      <c r="AE12" s="233"/>
      <c r="AF12" s="235"/>
      <c r="AG12" s="350" t="s">
        <v>494</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4070"/>
      <c r="BE12" s="426"/>
      <c r="BF12" s="426" t="str">
        <f t="shared" ref="BF12:BF18" si="1">IF(T12="","",T12)</f>
        <v/>
      </c>
      <c r="BG12" s="426"/>
      <c r="BH12" s="426"/>
    </row>
    <row r="13" spans="1:60" ht="11.25" hidden="1" customHeight="1">
      <c r="A13" s="1279"/>
      <c r="B13" s="1279"/>
      <c r="C13" s="1279"/>
      <c r="D13" s="1279"/>
      <c r="E13" s="4075"/>
      <c r="F13" s="4075"/>
      <c r="G13" s="4075"/>
      <c r="H13" s="4075"/>
      <c r="I13" s="4095"/>
      <c r="J13" s="4072"/>
      <c r="K13" s="1279"/>
      <c r="L13" s="1280"/>
      <c r="P13" s="4073"/>
      <c r="Q13" s="4073"/>
      <c r="R13" s="281"/>
      <c r="S13" s="1198"/>
      <c r="T13" s="206" t="s">
        <v>458</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4071"/>
      <c r="BE13" s="426"/>
      <c r="BF13" s="426" t="str">
        <f t="shared" si="1"/>
        <v>Добавить строку</v>
      </c>
      <c r="BG13" s="426"/>
      <c r="BH13" s="426"/>
    </row>
    <row r="14" spans="1:60" s="1821" customFormat="1" ht="14.25" hidden="1" customHeight="1">
      <c r="A14" s="1260"/>
      <c r="B14" s="1260"/>
      <c r="C14" s="1260"/>
      <c r="D14" s="1260"/>
      <c r="E14" s="4075"/>
      <c r="F14" s="4075"/>
      <c r="G14" s="4075"/>
      <c r="H14" s="4075"/>
      <c r="I14" s="4072"/>
      <c r="J14" s="1260"/>
      <c r="K14" s="1260"/>
      <c r="L14" s="1263"/>
      <c r="M14" s="436"/>
      <c r="N14" s="436"/>
      <c r="O14" s="436"/>
      <c r="P14" s="4073"/>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21" customFormat="1" ht="14.25" hidden="1" customHeight="1">
      <c r="A15" s="1260"/>
      <c r="B15" s="1260"/>
      <c r="C15" s="1260"/>
      <c r="D15" s="1260"/>
      <c r="E15" s="4075"/>
      <c r="F15" s="4075"/>
      <c r="G15" s="4075"/>
      <c r="H15" s="4074"/>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2550" customFormat="1" ht="14.25" hidden="1" customHeight="1">
      <c r="A16" s="1260"/>
      <c r="B16" s="1260"/>
      <c r="C16" s="1260"/>
      <c r="D16" s="1232"/>
      <c r="E16" s="4075"/>
      <c r="F16" s="4075"/>
      <c r="G16" s="4074"/>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2550" customFormat="1" ht="14.25" hidden="1" customHeight="1">
      <c r="A17" s="1260"/>
      <c r="B17" s="1260"/>
      <c r="C17" s="1232"/>
      <c r="D17" s="1232"/>
      <c r="E17" s="4075"/>
      <c r="F17" s="4074"/>
      <c r="G17" s="1232"/>
      <c r="H17" s="1232"/>
      <c r="I17" s="1232"/>
      <c r="J17" s="1232"/>
      <c r="K17" s="1232"/>
      <c r="L17" s="1404"/>
      <c r="M17" s="1239"/>
      <c r="N17" s="1239"/>
      <c r="P17" s="1234"/>
      <c r="Q17" s="1235"/>
      <c r="R17" s="1234"/>
      <c r="S17" s="1240"/>
      <c r="T17" s="1243" t="s">
        <v>167</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21" customFormat="1" ht="14.25" hidden="1" customHeight="1">
      <c r="A18" s="1260"/>
      <c r="B18" s="1260"/>
      <c r="C18" s="1260"/>
      <c r="D18" s="1260"/>
      <c r="E18" s="4074"/>
      <c r="F18" s="1260"/>
      <c r="G18" s="1260"/>
      <c r="H18" s="1260"/>
      <c r="I18" s="1260"/>
      <c r="J18" s="1260"/>
      <c r="K18" s="1260"/>
      <c r="L18" s="1263"/>
      <c r="M18" s="1239"/>
      <c r="N18" s="1239"/>
      <c r="O18" s="444"/>
      <c r="P18" s="313"/>
      <c r="Q18" s="1261"/>
      <c r="R18" s="313"/>
      <c r="S18" s="1240"/>
      <c r="T18" s="1243" t="s">
        <v>168</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55</v>
      </c>
      <c r="AE20" s="1411"/>
      <c r="AF20" s="473">
        <v>1</v>
      </c>
      <c r="AG20" s="1412"/>
      <c r="AH20" s="1242" t="s">
        <v>55</v>
      </c>
      <c r="AI20" s="1411"/>
      <c r="AJ20" s="473">
        <v>1</v>
      </c>
      <c r="AK20" s="1412"/>
      <c r="AL20" s="1242" t="s">
        <v>55</v>
      </c>
      <c r="AM20" s="1413"/>
      <c r="AN20" s="473">
        <v>1</v>
      </c>
      <c r="AO20" s="1414"/>
      <c r="AP20" s="1242" t="s">
        <v>55</v>
      </c>
      <c r="AQ20" s="1413"/>
      <c r="AR20" s="473">
        <v>1</v>
      </c>
      <c r="AS20" s="1414"/>
      <c r="AT20" s="251"/>
      <c r="AU20" s="318"/>
      <c r="AV20" s="251"/>
      <c r="AW20" s="318"/>
      <c r="AX20" s="1646"/>
      <c r="AY20" s="1395" t="s">
        <v>65</v>
      </c>
      <c r="AZ20" s="1646"/>
      <c r="BA20" s="1395" t="s">
        <v>65</v>
      </c>
    </row>
    <row r="21" spans="1:60" ht="14.25" hidden="1" customHeight="1">
      <c r="BD21" s="422"/>
      <c r="BE21" s="422"/>
      <c r="BF21" s="422"/>
      <c r="BG21" s="422"/>
      <c r="BH21" s="422"/>
    </row>
    <row r="22" spans="1:60" ht="14.25" hidden="1" customHeight="1">
      <c r="O22" s="1283" t="s">
        <v>406</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3802" customFormat="1" ht="14.25" hidden="1" customHeight="1">
      <c r="M24" s="1418"/>
      <c r="N24" s="1418"/>
      <c r="O24" s="1419" t="s">
        <v>407</v>
      </c>
      <c r="P24" s="1418"/>
      <c r="Q24" s="1420"/>
      <c r="R24" s="1420"/>
      <c r="AA24" s="1417" t="s">
        <v>409</v>
      </c>
      <c r="AC24" s="1417" t="s">
        <v>410</v>
      </c>
      <c r="AD24" s="1417" t="s">
        <v>459</v>
      </c>
      <c r="AH24" s="1417" t="s">
        <v>459</v>
      </c>
      <c r="AK24" s="1417" t="s">
        <v>495</v>
      </c>
      <c r="AL24" s="1417" t="s">
        <v>459</v>
      </c>
      <c r="AP24" s="1417" t="s">
        <v>459</v>
      </c>
      <c r="AY24" s="1417" t="s">
        <v>409</v>
      </c>
      <c r="BA24" s="1417" t="s">
        <v>410</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405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4058"/>
      <c r="U28" s="4058"/>
      <c r="V28" s="4058"/>
      <c r="W28" s="4058"/>
      <c r="X28" s="4058"/>
      <c r="Y28" s="4058"/>
      <c r="Z28" s="4058"/>
      <c r="AA28" s="4058"/>
      <c r="AB28" s="4058"/>
      <c r="AC28" s="4058"/>
      <c r="AD28" s="4058"/>
      <c r="AE28" s="4058"/>
      <c r="AF28" s="4058"/>
      <c r="AG28" s="4058"/>
      <c r="AH28" s="4058"/>
      <c r="AI28" s="4058"/>
      <c r="AJ28" s="4058"/>
      <c r="AK28" s="4058"/>
      <c r="AL28" s="4058"/>
      <c r="AM28" s="4058"/>
      <c r="AN28" s="4058"/>
      <c r="AO28" s="4058"/>
      <c r="AP28" s="4058"/>
      <c r="AQ28" s="4058"/>
      <c r="AR28" s="4058"/>
      <c r="AS28" s="4058"/>
      <c r="AT28" s="4058"/>
      <c r="AU28" s="4058"/>
      <c r="AV28" s="4058"/>
      <c r="AW28" s="4058"/>
      <c r="AX28" s="4058"/>
      <c r="AY28" s="4058"/>
      <c r="AZ28" s="4058"/>
      <c r="BA28" s="1152"/>
    </row>
    <row r="29" spans="1:60" ht="14.25" customHeight="1">
      <c r="Q29" s="210"/>
      <c r="R29" s="305"/>
      <c r="S29" s="4004" t="str">
        <f>IF(org=0,"Не определено",org)</f>
        <v>ООО «РИР-Сахалин»</v>
      </c>
      <c r="T29" s="4004"/>
      <c r="U29" s="4004"/>
      <c r="V29" s="4004"/>
      <c r="W29" s="4004"/>
      <c r="X29" s="4004"/>
      <c r="Y29" s="4004"/>
      <c r="Z29" s="4004"/>
      <c r="AA29" s="4004"/>
      <c r="AB29" s="4004"/>
      <c r="AC29" s="4004"/>
      <c r="AD29" s="4004"/>
      <c r="AE29" s="4004"/>
      <c r="AF29" s="4004"/>
      <c r="AG29" s="4004"/>
      <c r="AH29" s="4004"/>
      <c r="AI29" s="4004"/>
      <c r="AJ29" s="4004"/>
      <c r="AK29" s="4004"/>
      <c r="AL29" s="4004"/>
      <c r="AM29" s="4004"/>
      <c r="AN29" s="4004"/>
      <c r="AO29" s="4004"/>
      <c r="AP29" s="4004"/>
      <c r="AQ29" s="4004"/>
      <c r="AR29" s="4004"/>
      <c r="AS29" s="4004"/>
      <c r="AT29" s="4004"/>
      <c r="AU29" s="4004"/>
      <c r="AV29" s="4004"/>
      <c r="AW29" s="4004"/>
      <c r="AX29" s="4004"/>
      <c r="AY29" s="4004"/>
      <c r="AZ29" s="4004"/>
      <c r="BA29" s="1152"/>
    </row>
    <row r="30" spans="1:60" ht="14.25" hidden="1"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2564" customFormat="1" ht="25.5" hidden="1" customHeight="1">
      <c r="A31" s="1284"/>
      <c r="B31" s="1284"/>
      <c r="C31" s="1284"/>
      <c r="D31" s="1284"/>
      <c r="E31" s="1284"/>
      <c r="F31" s="1284"/>
      <c r="G31" s="1284"/>
      <c r="H31" s="1284"/>
      <c r="I31" s="1284"/>
      <c r="J31" s="1284"/>
      <c r="K31" s="1284"/>
      <c r="L31" s="1285"/>
      <c r="M31" s="1284"/>
      <c r="N31" s="1284"/>
      <c r="O31" s="1284"/>
      <c r="P31" s="1284"/>
      <c r="Q31" s="1284"/>
      <c r="S31" s="4066" t="s">
        <v>38</v>
      </c>
      <c r="T31" s="4066"/>
      <c r="U31" s="1288"/>
      <c r="V31" s="4067" t="str">
        <f>IF(TITLE_NAME_OR_PR_CHANGE="",IF(TITLE_NAME_OR_PR="","",TITLE_NAME_OR_PR),TITLE_NAME_OR_PR_CHANGE)</f>
        <v/>
      </c>
      <c r="W31" s="4067"/>
      <c r="X31" s="4067"/>
      <c r="Y31" s="4067"/>
      <c r="Z31" s="4067"/>
      <c r="AA31" s="4067"/>
      <c r="AB31" s="4067"/>
      <c r="AC31" s="253"/>
      <c r="AD31" s="4067" t="str">
        <f>IF(TITLE_NAME_OR_PR_CHANGE="",IF(TITLE_NAME_OR_PR="","",TITLE_NAME_OR_PR),TITLE_NAME_OR_PR_CHANGE)</f>
        <v/>
      </c>
      <c r="AE31" s="4067"/>
      <c r="AF31" s="4067"/>
      <c r="AG31" s="4067"/>
      <c r="AH31" s="4067"/>
      <c r="AI31" s="4067"/>
      <c r="AJ31" s="4067"/>
      <c r="AK31" s="4067"/>
      <c r="AL31" s="4067"/>
      <c r="AM31" s="4067"/>
      <c r="AN31" s="4067"/>
      <c r="AO31" s="4067"/>
      <c r="AP31" s="4067"/>
      <c r="AQ31" s="4067"/>
      <c r="AR31" s="4067"/>
      <c r="AS31" s="4067"/>
      <c r="AT31" s="4067"/>
      <c r="AU31" s="4067"/>
      <c r="AV31" s="4067"/>
      <c r="AW31" s="4067"/>
      <c r="AX31" s="4067"/>
      <c r="AY31" s="4067"/>
      <c r="AZ31" s="4067"/>
      <c r="BA31" s="253"/>
      <c r="BB31" s="253"/>
      <c r="BC31" s="200"/>
      <c r="BD31" s="296"/>
      <c r="BE31" s="296"/>
      <c r="BF31" s="296"/>
      <c r="BG31" s="296"/>
      <c r="BH31" s="296"/>
    </row>
    <row r="32" spans="1:60" s="2564" customFormat="1" ht="18.75" hidden="1" customHeight="1">
      <c r="A32" s="1284"/>
      <c r="B32" s="1284"/>
      <c r="C32" s="1284"/>
      <c r="D32" s="1284"/>
      <c r="E32" s="1284"/>
      <c r="F32" s="1284"/>
      <c r="G32" s="1284"/>
      <c r="H32" s="1284"/>
      <c r="I32" s="1284"/>
      <c r="J32" s="1284"/>
      <c r="K32" s="1284"/>
      <c r="L32" s="1285"/>
      <c r="M32" s="1284"/>
      <c r="N32" s="1284"/>
      <c r="O32" s="1284"/>
      <c r="P32" s="1284"/>
      <c r="Q32" s="1284"/>
      <c r="S32" s="4066" t="s">
        <v>412</v>
      </c>
      <c r="T32" s="4066"/>
      <c r="U32" s="1288"/>
      <c r="V32" s="4076">
        <f>IF(TITLE_DATE_PR_CHANGE="",IF(TITLE_DATE_PR="","",TITLE_DATE_PR),TITLE_DATE_PR_CHANGE)</f>
        <v>45289.465104166666</v>
      </c>
      <c r="W32" s="4076"/>
      <c r="X32" s="4076"/>
      <c r="Y32" s="4076"/>
      <c r="Z32" s="4076"/>
      <c r="AA32" s="4076"/>
      <c r="AB32" s="4076"/>
      <c r="AC32" s="253"/>
      <c r="AD32" s="4076">
        <f>IF(TITLE_DATE_PR_CHANGE="",IF(TITLE_DATE_PR="","",TITLE_DATE_PR),TITLE_DATE_PR_CHANGE)</f>
        <v>45289.465104166666</v>
      </c>
      <c r="AE32" s="4076"/>
      <c r="AF32" s="4076"/>
      <c r="AG32" s="4076"/>
      <c r="AH32" s="4076"/>
      <c r="AI32" s="4076"/>
      <c r="AJ32" s="4076"/>
      <c r="AK32" s="4076"/>
      <c r="AL32" s="4076"/>
      <c r="AM32" s="4076"/>
      <c r="AN32" s="4076"/>
      <c r="AO32" s="4076"/>
      <c r="AP32" s="4076"/>
      <c r="AQ32" s="4076"/>
      <c r="AR32" s="4076"/>
      <c r="AS32" s="4076"/>
      <c r="AT32" s="4076"/>
      <c r="AU32" s="4076"/>
      <c r="AV32" s="4076"/>
      <c r="AW32" s="4076"/>
      <c r="AX32" s="4076"/>
      <c r="AY32" s="4076"/>
      <c r="AZ32" s="4076"/>
      <c r="BA32" s="253"/>
      <c r="BB32" s="253"/>
      <c r="BC32" s="200"/>
      <c r="BD32" s="296"/>
      <c r="BE32" s="296"/>
      <c r="BF32" s="296"/>
      <c r="BG32" s="296"/>
      <c r="BH32" s="296"/>
    </row>
    <row r="33" spans="1:60" s="2564" customFormat="1" ht="18.75" hidden="1" customHeight="1">
      <c r="A33" s="1284"/>
      <c r="B33" s="1284"/>
      <c r="C33" s="1284"/>
      <c r="D33" s="1284"/>
      <c r="E33" s="1284"/>
      <c r="F33" s="1284"/>
      <c r="G33" s="1284"/>
      <c r="H33" s="1284"/>
      <c r="I33" s="1284"/>
      <c r="J33" s="1284"/>
      <c r="K33" s="1284"/>
      <c r="L33" s="1285"/>
      <c r="M33" s="1284"/>
      <c r="N33" s="1284"/>
      <c r="O33" s="1284"/>
      <c r="P33" s="1284"/>
      <c r="Q33" s="1284"/>
      <c r="S33" s="4066" t="s">
        <v>413</v>
      </c>
      <c r="T33" s="4066"/>
      <c r="U33" s="1288"/>
      <c r="V33" s="4067" t="str">
        <f>IF(TITLE_NUMBER_PR_CHANGE="",IF(TITLE_NUMBER_PR="","",TITLE_NUMBER_PR),TITLE_NUMBER_PR_CHANGE)</f>
        <v>761-1/201-1</v>
      </c>
      <c r="W33" s="4067"/>
      <c r="X33" s="4067"/>
      <c r="Y33" s="4067"/>
      <c r="Z33" s="4067"/>
      <c r="AA33" s="4067"/>
      <c r="AB33" s="4067"/>
      <c r="AC33" s="253"/>
      <c r="AD33" s="4067" t="str">
        <f>IF(TITLE_NUMBER_PR_CHANGE="",IF(TITLE_NUMBER_PR="","",TITLE_NUMBER_PR),TITLE_NUMBER_PR_CHANGE)</f>
        <v>761-1/201-1</v>
      </c>
      <c r="AE33" s="4067"/>
      <c r="AF33" s="4067"/>
      <c r="AG33" s="4067"/>
      <c r="AH33" s="4067"/>
      <c r="AI33" s="4067"/>
      <c r="AJ33" s="4067"/>
      <c r="AK33" s="4067"/>
      <c r="AL33" s="4067"/>
      <c r="AM33" s="4067"/>
      <c r="AN33" s="4067"/>
      <c r="AO33" s="4067"/>
      <c r="AP33" s="4067"/>
      <c r="AQ33" s="4067"/>
      <c r="AR33" s="4067"/>
      <c r="AS33" s="4067"/>
      <c r="AT33" s="4067"/>
      <c r="AU33" s="4067"/>
      <c r="AV33" s="4067"/>
      <c r="AW33" s="4067"/>
      <c r="AX33" s="4067"/>
      <c r="AY33" s="4067"/>
      <c r="AZ33" s="4067"/>
      <c r="BA33" s="253"/>
      <c r="BB33" s="253"/>
      <c r="BC33" s="200"/>
      <c r="BD33" s="296"/>
      <c r="BE33" s="296"/>
      <c r="BF33" s="296"/>
      <c r="BG33" s="296"/>
      <c r="BH33" s="296"/>
    </row>
    <row r="34" spans="1:60" s="2564" customFormat="1" ht="18.75" hidden="1" customHeight="1">
      <c r="A34" s="1284"/>
      <c r="B34" s="1284"/>
      <c r="C34" s="1284"/>
      <c r="D34" s="1284"/>
      <c r="E34" s="1284"/>
      <c r="F34" s="1284"/>
      <c r="G34" s="1284"/>
      <c r="H34" s="1284"/>
      <c r="I34" s="1284"/>
      <c r="J34" s="1284"/>
      <c r="K34" s="1284"/>
      <c r="L34" s="1285"/>
      <c r="M34" s="1284"/>
      <c r="N34" s="1284"/>
      <c r="O34" s="1284"/>
      <c r="P34" s="1284"/>
      <c r="Q34" s="1284"/>
      <c r="S34" s="4066" t="s">
        <v>39</v>
      </c>
      <c r="T34" s="4066"/>
      <c r="U34" s="1288"/>
      <c r="V34" s="4067" t="str">
        <f>IF(TITLE_IST_PUB_CHANGE="",IF(TITLE_IST_PUB="","",TITLE_IST_PUB),TITLE_IST_PUB_CHANGE)</f>
        <v/>
      </c>
      <c r="W34" s="4067"/>
      <c r="X34" s="4067"/>
      <c r="Y34" s="4067"/>
      <c r="Z34" s="4067"/>
      <c r="AA34" s="4067"/>
      <c r="AB34" s="4067"/>
      <c r="AC34" s="253"/>
      <c r="AD34" s="4067" t="str">
        <f>IF(TITLE_IST_PUB_CHANGE="",IF(TITLE_IST_PUB="","",TITLE_IST_PUB),TITLE_IST_PUB_CHANGE)</f>
        <v/>
      </c>
      <c r="AE34" s="4067"/>
      <c r="AF34" s="4067"/>
      <c r="AG34" s="4067"/>
      <c r="AH34" s="4067"/>
      <c r="AI34" s="4067"/>
      <c r="AJ34" s="4067"/>
      <c r="AK34" s="4067"/>
      <c r="AL34" s="4067"/>
      <c r="AM34" s="4067"/>
      <c r="AN34" s="4067"/>
      <c r="AO34" s="4067"/>
      <c r="AP34" s="4067"/>
      <c r="AQ34" s="4067"/>
      <c r="AR34" s="4067"/>
      <c r="AS34" s="4067"/>
      <c r="AT34" s="4067"/>
      <c r="AU34" s="4067"/>
      <c r="AV34" s="4067"/>
      <c r="AW34" s="4067"/>
      <c r="AX34" s="4067"/>
      <c r="AY34" s="4067"/>
      <c r="AZ34" s="4067"/>
      <c r="BA34" s="253"/>
      <c r="BB34" s="253"/>
      <c r="BC34" s="200"/>
      <c r="BD34" s="296"/>
      <c r="BE34" s="296"/>
      <c r="BF34" s="296"/>
      <c r="BG34" s="296"/>
      <c r="BH34" s="296"/>
    </row>
    <row r="35" spans="1:60" ht="14.25"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2564" customFormat="1" ht="18.75" customHeight="1">
      <c r="A36" s="1284"/>
      <c r="B36" s="1284"/>
      <c r="C36" s="1284"/>
      <c r="D36" s="1284"/>
      <c r="E36" s="1284"/>
      <c r="F36" s="1284"/>
      <c r="G36" s="1284"/>
      <c r="H36" s="1284"/>
      <c r="I36" s="1284"/>
      <c r="J36" s="1284"/>
      <c r="K36" s="1284"/>
      <c r="L36" s="1285"/>
      <c r="M36" s="1284"/>
      <c r="N36" s="1284"/>
      <c r="O36" s="1284"/>
      <c r="P36" s="1284"/>
      <c r="Q36" s="1284"/>
      <c r="S36" s="4066" t="s">
        <v>412</v>
      </c>
      <c r="T36" s="4066"/>
      <c r="U36" s="1288"/>
      <c r="V36" s="4076">
        <f>IF(TITLE_DATE_PR_CHANGE="",IF(TITLE_DATE_PR="","",TITLE_DATE_PR),TITLE_DATE_PR_CHANGE)</f>
        <v>45289.465104166666</v>
      </c>
      <c r="W36" s="4076"/>
      <c r="X36" s="4076"/>
      <c r="Y36" s="4076"/>
      <c r="Z36" s="4076"/>
      <c r="AA36" s="4076"/>
      <c r="AB36" s="4076"/>
      <c r="AC36" s="253"/>
      <c r="AD36" s="4076">
        <f>IF(TITLE_DATE_PR_CHANGE="",IF(TITLE_DATE_PR="","",TITLE_DATE_PR),TITLE_DATE_PR_CHANGE)</f>
        <v>45289.465104166666</v>
      </c>
      <c r="AE36" s="4076"/>
      <c r="AF36" s="4076"/>
      <c r="AG36" s="4076"/>
      <c r="AH36" s="4076"/>
      <c r="AI36" s="4076"/>
      <c r="AJ36" s="4076"/>
      <c r="AK36" s="4076"/>
      <c r="AL36" s="4076"/>
      <c r="AM36" s="4076"/>
      <c r="AN36" s="4076"/>
      <c r="AO36" s="4076"/>
      <c r="AP36" s="4076"/>
      <c r="AQ36" s="4076"/>
      <c r="AR36" s="4076"/>
      <c r="AS36" s="4076"/>
      <c r="AT36" s="4076"/>
      <c r="AU36" s="4076"/>
      <c r="AV36" s="4076"/>
      <c r="AW36" s="4076"/>
      <c r="AX36" s="4076"/>
      <c r="AY36" s="4076"/>
      <c r="AZ36" s="4076"/>
      <c r="BA36" s="253"/>
      <c r="BB36" s="253"/>
      <c r="BC36" s="200"/>
      <c r="BD36" s="296"/>
      <c r="BE36" s="296"/>
      <c r="BF36" s="296"/>
      <c r="BG36" s="296"/>
      <c r="BH36" s="296"/>
    </row>
    <row r="37" spans="1:60" s="2564" customFormat="1" ht="18.75" customHeight="1">
      <c r="A37" s="1284"/>
      <c r="B37" s="1284"/>
      <c r="C37" s="1284"/>
      <c r="D37" s="1284"/>
      <c r="E37" s="1284"/>
      <c r="F37" s="1284"/>
      <c r="G37" s="1284"/>
      <c r="H37" s="1284"/>
      <c r="I37" s="1284"/>
      <c r="J37" s="1284"/>
      <c r="K37" s="1284"/>
      <c r="L37" s="1285"/>
      <c r="M37" s="1284"/>
      <c r="N37" s="1284"/>
      <c r="O37" s="1284"/>
      <c r="P37" s="1284"/>
      <c r="Q37" s="1284"/>
      <c r="S37" s="4066" t="s">
        <v>413</v>
      </c>
      <c r="T37" s="4066"/>
      <c r="U37" s="1288"/>
      <c r="V37" s="4067" t="str">
        <f>IF(TITLE_NUMBER_PR_CHANGE="",IF(TITLE_NUMBER_PR="","",TITLE_NUMBER_PR),TITLE_NUMBER_PR_CHANGE)</f>
        <v>761-1/201-1</v>
      </c>
      <c r="W37" s="4067"/>
      <c r="X37" s="4067"/>
      <c r="Y37" s="4067"/>
      <c r="Z37" s="4067"/>
      <c r="AA37" s="4067"/>
      <c r="AB37" s="4067"/>
      <c r="AC37" s="253"/>
      <c r="AD37" s="4067" t="str">
        <f>IF(TITLE_NUMBER_PR_CHANGE="",IF(TITLE_NUMBER_PR="","",TITLE_NUMBER_PR),TITLE_NUMBER_PR_CHANGE)</f>
        <v>761-1/201-1</v>
      </c>
      <c r="AE37" s="4067"/>
      <c r="AF37" s="4067"/>
      <c r="AG37" s="4067"/>
      <c r="AH37" s="4067"/>
      <c r="AI37" s="4067"/>
      <c r="AJ37" s="4067"/>
      <c r="AK37" s="4067"/>
      <c r="AL37" s="4067"/>
      <c r="AM37" s="4067"/>
      <c r="AN37" s="4067"/>
      <c r="AO37" s="4067"/>
      <c r="AP37" s="4067"/>
      <c r="AQ37" s="4067"/>
      <c r="AR37" s="4067"/>
      <c r="AS37" s="4067"/>
      <c r="AT37" s="4067"/>
      <c r="AU37" s="4067"/>
      <c r="AV37" s="4067"/>
      <c r="AW37" s="4067"/>
      <c r="AX37" s="4067"/>
      <c r="AY37" s="4067"/>
      <c r="AZ37" s="4067"/>
      <c r="BA37" s="253"/>
      <c r="BB37" s="253"/>
      <c r="BC37" s="200"/>
      <c r="BD37" s="296"/>
      <c r="BE37" s="296"/>
      <c r="BF37" s="296"/>
      <c r="BG37" s="296"/>
      <c r="BH37" s="296"/>
    </row>
    <row r="38" spans="1:60" s="2564"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98"/>
      <c r="V38" s="253"/>
      <c r="W38" s="253"/>
      <c r="X38" s="253"/>
      <c r="Y38" s="253"/>
      <c r="Z38" s="253"/>
      <c r="AA38" s="253"/>
      <c r="AB38" s="253"/>
      <c r="AC38" s="198" t="s">
        <v>416</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416</v>
      </c>
      <c r="BD38" s="296"/>
      <c r="BE38" s="296"/>
      <c r="BF38" s="296"/>
      <c r="BG38" s="296"/>
      <c r="BH38" s="296"/>
    </row>
    <row r="39" spans="1:60" ht="14.25" customHeight="1">
      <c r="Q39" s="210"/>
      <c r="R39" s="305"/>
      <c r="S39" s="1195"/>
      <c r="T39" s="290"/>
      <c r="U39" s="1153"/>
      <c r="V39" s="4068"/>
      <c r="W39" s="4068"/>
      <c r="X39" s="4068"/>
      <c r="Y39" s="4068"/>
      <c r="Z39" s="4068"/>
      <c r="AA39" s="4068"/>
      <c r="AB39" s="4068"/>
      <c r="AC39" s="4068"/>
      <c r="AD39" s="4068"/>
      <c r="AE39" s="4068"/>
      <c r="AF39" s="4068"/>
      <c r="AG39" s="4068"/>
      <c r="AH39" s="4068"/>
      <c r="AI39" s="4068"/>
      <c r="AJ39" s="4068"/>
      <c r="AK39" s="4068"/>
      <c r="AL39" s="4068"/>
      <c r="AM39" s="4068"/>
      <c r="AN39" s="4068"/>
      <c r="AO39" s="4068"/>
      <c r="AP39" s="4068"/>
      <c r="AQ39" s="4068"/>
      <c r="AR39" s="4068"/>
      <c r="AS39" s="4068"/>
      <c r="AT39" s="4068"/>
      <c r="AU39" s="4068"/>
      <c r="AV39" s="4068"/>
      <c r="AW39" s="4068"/>
      <c r="AX39" s="4068"/>
      <c r="AY39" s="4068"/>
      <c r="AZ39" s="4068"/>
      <c r="BA39" s="4068"/>
    </row>
    <row r="40" spans="1:60" ht="14.25" customHeight="1">
      <c r="Q40" s="210"/>
      <c r="R40" s="305"/>
      <c r="S40" s="3946" t="s">
        <v>290</v>
      </c>
      <c r="T40" s="3946"/>
      <c r="U40" s="3946"/>
      <c r="V40" s="3946"/>
      <c r="W40" s="3946"/>
      <c r="X40" s="3946"/>
      <c r="Y40" s="3946"/>
      <c r="Z40" s="3946"/>
      <c r="AA40" s="3946"/>
      <c r="AB40" s="3946"/>
      <c r="AC40" s="3946"/>
      <c r="AD40" s="3946"/>
      <c r="AE40" s="3946"/>
      <c r="AF40" s="3946"/>
      <c r="AG40" s="3946"/>
      <c r="AH40" s="3946"/>
      <c r="AI40" s="3946"/>
      <c r="AJ40" s="3946"/>
      <c r="AK40" s="3946"/>
      <c r="AL40" s="3946"/>
      <c r="AM40" s="3946"/>
      <c r="AN40" s="3946"/>
      <c r="AO40" s="3946"/>
      <c r="AP40" s="3946"/>
      <c r="AQ40" s="3946"/>
      <c r="AR40" s="3946"/>
      <c r="AS40" s="3946"/>
      <c r="AT40" s="3946"/>
      <c r="AU40" s="3946"/>
      <c r="AV40" s="3946"/>
      <c r="AW40" s="3946"/>
      <c r="AX40" s="3946"/>
      <c r="AY40" s="3946"/>
      <c r="AZ40" s="3946"/>
      <c r="BA40" s="3946"/>
      <c r="BB40" s="3946"/>
      <c r="BC40" s="3946" t="s">
        <v>291</v>
      </c>
    </row>
    <row r="41" spans="1:60" ht="14.25" customHeight="1">
      <c r="Q41" s="210"/>
      <c r="R41" s="305"/>
      <c r="S41" s="4082" t="s">
        <v>86</v>
      </c>
      <c r="T41" s="4033" t="s">
        <v>496</v>
      </c>
      <c r="U41" s="220"/>
      <c r="V41" s="4083" t="s">
        <v>419</v>
      </c>
      <c r="W41" s="4084"/>
      <c r="X41" s="4084"/>
      <c r="Y41" s="4084"/>
      <c r="Z41" s="4084"/>
      <c r="AA41" s="4084"/>
      <c r="AB41" s="4085"/>
      <c r="AC41" s="4086" t="s">
        <v>420</v>
      </c>
      <c r="AD41" s="4112" t="s">
        <v>513</v>
      </c>
      <c r="AE41" s="4098"/>
      <c r="AF41" s="4098"/>
      <c r="AG41" s="4113"/>
      <c r="AH41" s="4112" t="s">
        <v>514</v>
      </c>
      <c r="AI41" s="4098"/>
      <c r="AJ41" s="4098"/>
      <c r="AK41" s="4113"/>
      <c r="AL41" s="4112" t="s">
        <v>515</v>
      </c>
      <c r="AM41" s="4098"/>
      <c r="AN41" s="4098"/>
      <c r="AO41" s="4113"/>
      <c r="AP41" s="4112" t="s">
        <v>500</v>
      </c>
      <c r="AQ41" s="4098"/>
      <c r="AR41" s="4098"/>
      <c r="AS41" s="4113"/>
      <c r="AT41" s="4083" t="s">
        <v>419</v>
      </c>
      <c r="AU41" s="4084"/>
      <c r="AV41" s="4084"/>
      <c r="AW41" s="4084"/>
      <c r="AX41" s="4084"/>
      <c r="AY41" s="4084"/>
      <c r="AZ41" s="4085"/>
      <c r="BA41" s="4086" t="s">
        <v>420</v>
      </c>
      <c r="BB41" s="4089" t="s">
        <v>422</v>
      </c>
      <c r="BC41" s="3946"/>
    </row>
    <row r="42" spans="1:60" ht="33.75" customHeight="1">
      <c r="Q42" s="210"/>
      <c r="R42" s="305"/>
      <c r="S42" s="4082"/>
      <c r="T42" s="4033"/>
      <c r="U42" s="938"/>
      <c r="V42" s="4018" t="s">
        <v>501</v>
      </c>
      <c r="W42" s="4019"/>
      <c r="X42" s="4018" t="s">
        <v>502</v>
      </c>
      <c r="Y42" s="4019"/>
      <c r="Z42" s="4018" t="s">
        <v>503</v>
      </c>
      <c r="AA42" s="4107"/>
      <c r="AB42" s="4019"/>
      <c r="AC42" s="4087"/>
      <c r="AD42" s="4114"/>
      <c r="AE42" s="4115"/>
      <c r="AF42" s="4115"/>
      <c r="AG42" s="4116"/>
      <c r="AH42" s="4114"/>
      <c r="AI42" s="4115"/>
      <c r="AJ42" s="4115"/>
      <c r="AK42" s="4116"/>
      <c r="AL42" s="4114"/>
      <c r="AM42" s="4115"/>
      <c r="AN42" s="4115"/>
      <c r="AO42" s="4116"/>
      <c r="AP42" s="4114"/>
      <c r="AQ42" s="4115"/>
      <c r="AR42" s="4115"/>
      <c r="AS42" s="4116"/>
      <c r="AT42" s="4018" t="s">
        <v>516</v>
      </c>
      <c r="AU42" s="4019"/>
      <c r="AV42" s="4018" t="s">
        <v>517</v>
      </c>
      <c r="AW42" s="4019"/>
      <c r="AX42" s="4018" t="s">
        <v>503</v>
      </c>
      <c r="AY42" s="4107"/>
      <c r="AZ42" s="4019"/>
      <c r="BA42" s="4087"/>
      <c r="BB42" s="4090"/>
      <c r="BC42" s="3946"/>
    </row>
    <row r="43" spans="1:60" ht="14.25" customHeight="1">
      <c r="Q43" s="210"/>
      <c r="R43" s="305"/>
      <c r="S43" s="4082"/>
      <c r="T43" s="4033"/>
      <c r="U43" s="938"/>
      <c r="V43" s="4023"/>
      <c r="W43" s="4024"/>
      <c r="X43" s="4023"/>
      <c r="Y43" s="4024"/>
      <c r="Z43" s="4023"/>
      <c r="AA43" s="4108"/>
      <c r="AB43" s="4024"/>
      <c r="AC43" s="4087"/>
      <c r="AD43" s="4114"/>
      <c r="AE43" s="4115"/>
      <c r="AF43" s="4115"/>
      <c r="AG43" s="4116"/>
      <c r="AH43" s="4114"/>
      <c r="AI43" s="4115"/>
      <c r="AJ43" s="4115"/>
      <c r="AK43" s="4116"/>
      <c r="AL43" s="4114"/>
      <c r="AM43" s="4115"/>
      <c r="AN43" s="4115"/>
      <c r="AO43" s="4116"/>
      <c r="AP43" s="4114"/>
      <c r="AQ43" s="4115"/>
      <c r="AR43" s="4115"/>
      <c r="AS43" s="4116"/>
      <c r="AT43" s="4023"/>
      <c r="AU43" s="4024"/>
      <c r="AV43" s="4023"/>
      <c r="AW43" s="4024"/>
      <c r="AX43" s="4023"/>
      <c r="AY43" s="4108"/>
      <c r="AZ43" s="4024"/>
      <c r="BA43" s="4087"/>
      <c r="BB43" s="4090"/>
      <c r="BC43" s="3946"/>
    </row>
    <row r="44" spans="1:60" ht="14.25" customHeight="1">
      <c r="A44" s="1286"/>
      <c r="B44" s="1286" t="s">
        <v>133</v>
      </c>
      <c r="C44" s="1286" t="s">
        <v>134</v>
      </c>
      <c r="D44" s="1286" t="s">
        <v>135</v>
      </c>
      <c r="E44" s="1280" t="s">
        <v>427</v>
      </c>
      <c r="F44" s="1280" t="s">
        <v>428</v>
      </c>
      <c r="G44" s="1280" t="s">
        <v>429</v>
      </c>
      <c r="H44" s="1280" t="s">
        <v>430</v>
      </c>
      <c r="I44" s="1280" t="s">
        <v>431</v>
      </c>
      <c r="J44" s="1280" t="s">
        <v>432</v>
      </c>
      <c r="K44" s="1280" t="s">
        <v>433</v>
      </c>
      <c r="L44" s="1280" t="s">
        <v>407</v>
      </c>
      <c r="Q44" s="210"/>
      <c r="R44" s="305"/>
      <c r="S44" s="4082"/>
      <c r="T44" s="4033"/>
      <c r="U44" s="221"/>
      <c r="V44" s="1389" t="s">
        <v>469</v>
      </c>
      <c r="W44" s="1389" t="s">
        <v>470</v>
      </c>
      <c r="X44" s="1389" t="s">
        <v>469</v>
      </c>
      <c r="Y44" s="1389" t="s">
        <v>470</v>
      </c>
      <c r="Z44" s="1399" t="s">
        <v>436</v>
      </c>
      <c r="AA44" s="4042" t="s">
        <v>437</v>
      </c>
      <c r="AB44" s="4044"/>
      <c r="AC44" s="4088"/>
      <c r="AD44" s="4117"/>
      <c r="AE44" s="4118"/>
      <c r="AF44" s="4118"/>
      <c r="AG44" s="4119"/>
      <c r="AH44" s="4117"/>
      <c r="AI44" s="4118"/>
      <c r="AJ44" s="4118"/>
      <c r="AK44" s="4119"/>
      <c r="AL44" s="4117"/>
      <c r="AM44" s="4118"/>
      <c r="AN44" s="4118"/>
      <c r="AO44" s="4119"/>
      <c r="AP44" s="4117"/>
      <c r="AQ44" s="4118"/>
      <c r="AR44" s="4118"/>
      <c r="AS44" s="4119"/>
      <c r="AT44" s="1389" t="s">
        <v>469</v>
      </c>
      <c r="AU44" s="1389" t="s">
        <v>470</v>
      </c>
      <c r="AV44" s="1389" t="s">
        <v>469</v>
      </c>
      <c r="AW44" s="1389" t="s">
        <v>470</v>
      </c>
      <c r="AX44" s="1399" t="s">
        <v>436</v>
      </c>
      <c r="AY44" s="4042" t="s">
        <v>437</v>
      </c>
      <c r="AZ44" s="4044"/>
      <c r="BA44" s="4088"/>
      <c r="BB44" s="4091"/>
      <c r="BC44" s="3946"/>
    </row>
    <row r="45" spans="1:60" s="1820"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107</v>
      </c>
      <c r="T45" s="1172" t="s">
        <v>108</v>
      </c>
      <c r="U45" s="1154" t="str">
        <f ca="1">OFFSET(U45,0,-1)</f>
        <v>2</v>
      </c>
      <c r="V45" s="1392">
        <f t="shared" ref="V45:AA45" ca="1" si="2">OFFSET(V45,0,-1)+1</f>
        <v>3</v>
      </c>
      <c r="W45" s="1392">
        <f t="shared" ca="1" si="2"/>
        <v>4</v>
      </c>
      <c r="X45" s="1392">
        <f t="shared" ca="1" si="2"/>
        <v>5</v>
      </c>
      <c r="Y45" s="1392">
        <f t="shared" ca="1" si="2"/>
        <v>6</v>
      </c>
      <c r="Z45" s="1392">
        <f t="shared" ca="1" si="2"/>
        <v>7</v>
      </c>
      <c r="AA45" s="4081">
        <f t="shared" ca="1" si="2"/>
        <v>8</v>
      </c>
      <c r="AB45" s="4081"/>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4081">
        <f ca="1">OFFSET(AY45,0,-1)+1</f>
        <v>3</v>
      </c>
      <c r="AZ45" s="4081"/>
      <c r="BA45" s="1392">
        <f ca="1">OFFSET(BA45,0,-2)+1</f>
        <v>4</v>
      </c>
      <c r="BB45" s="1154">
        <f ca="1">OFFSET(BB45,0,-1)</f>
        <v>4</v>
      </c>
      <c r="BC45" s="1392">
        <f ca="1">OFFSET(BC45,0,-1)+1</f>
        <v>5</v>
      </c>
      <c r="BD45" s="437"/>
      <c r="BE45" s="437"/>
      <c r="BF45" s="437"/>
      <c r="BG45" s="437"/>
      <c r="BH45" s="437"/>
    </row>
    <row r="46" spans="1:60" ht="21" customHeight="1">
      <c r="A46" s="1279" t="s">
        <v>266</v>
      </c>
      <c r="B46" s="1279"/>
      <c r="C46" s="1279"/>
      <c r="D46" s="1279"/>
      <c r="E46" s="4074">
        <v>1</v>
      </c>
      <c r="F46" s="1279"/>
      <c r="G46" s="1279"/>
      <c r="H46" s="1279"/>
      <c r="I46" s="1279"/>
      <c r="J46" s="1279"/>
      <c r="K46" s="1279"/>
      <c r="L46" s="1280"/>
      <c r="M46" s="1281"/>
      <c r="N46" s="1281"/>
      <c r="O46" s="1281"/>
      <c r="P46" s="1325"/>
      <c r="Q46" s="786"/>
      <c r="R46" s="280"/>
      <c r="S46" s="1403">
        <f>INDEX(PT_DIFFERENTIATION_NUM_NTAR,MATCH(A46,PT_DIFFERENTIATION_NTAR_ID,0))</f>
        <v>0</v>
      </c>
      <c r="T46" s="217" t="s">
        <v>121</v>
      </c>
      <c r="U46" s="219"/>
      <c r="V46" s="4061"/>
      <c r="W46" s="4061"/>
      <c r="X46" s="4061"/>
      <c r="Y46" s="4061"/>
      <c r="Z46" s="4061"/>
      <c r="AA46" s="4061"/>
      <c r="AB46" s="4061"/>
      <c r="AC46" s="4062"/>
      <c r="AD46" s="4060" t="str">
        <f>INDEX(PT_DIFFERENTIATION_NTAR,MATCH(A46,PT_DIFFERENTIATION_NTAR_ID,0))</f>
        <v/>
      </c>
      <c r="AE46" s="4061"/>
      <c r="AF46" s="4061"/>
      <c r="AG46" s="4061"/>
      <c r="AH46" s="4061"/>
      <c r="AI46" s="4061"/>
      <c r="AJ46" s="4061"/>
      <c r="AK46" s="4061"/>
      <c r="AL46" s="4061"/>
      <c r="AM46" s="4061"/>
      <c r="AN46" s="4061"/>
      <c r="AO46" s="4061"/>
      <c r="AP46" s="4061"/>
      <c r="AQ46" s="4061"/>
      <c r="AR46" s="4061"/>
      <c r="AS46" s="4061"/>
      <c r="AT46" s="4061"/>
      <c r="AU46" s="4061"/>
      <c r="AV46" s="4061"/>
      <c r="AW46" s="4061"/>
      <c r="AX46" s="4061"/>
      <c r="AY46" s="4061"/>
      <c r="AZ46" s="4061"/>
      <c r="BA46" s="4061"/>
      <c r="BB46" s="4062"/>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266</v>
      </c>
      <c r="B47" s="1279" t="s">
        <v>267</v>
      </c>
      <c r="C47" s="1279"/>
      <c r="D47" s="1279"/>
      <c r="E47" s="4075"/>
      <c r="F47" s="4074">
        <v>1</v>
      </c>
      <c r="G47" s="1279"/>
      <c r="H47" s="1279"/>
      <c r="I47" s="1279"/>
      <c r="J47" s="1279"/>
      <c r="K47" s="1279"/>
      <c r="L47" s="1280"/>
      <c r="M47" s="1281"/>
      <c r="N47" s="1281"/>
      <c r="O47" s="1281"/>
      <c r="P47" s="1326"/>
      <c r="Q47" s="1327"/>
      <c r="R47" s="278"/>
      <c r="S47" s="1403" t="str">
        <f>INDEX(PT_DIFFERENTIATION_NUM_TER,MATCH(B47,PT_DIFFERENTIATION_TER_ID,0))</f>
        <v>.</v>
      </c>
      <c r="T47" s="229" t="s">
        <v>389</v>
      </c>
      <c r="U47" s="219"/>
      <c r="V47" s="4061"/>
      <c r="W47" s="4061"/>
      <c r="X47" s="4061"/>
      <c r="Y47" s="4061"/>
      <c r="Z47" s="4061"/>
      <c r="AA47" s="4061"/>
      <c r="AB47" s="4061"/>
      <c r="AC47" s="4062"/>
      <c r="AD47" s="4060" t="str">
        <f>INDEX(PT_DIFFERENTIATION_TER,MATCH(B47,PT_DIFFERENTIATION_TER_ID,0))</f>
        <v/>
      </c>
      <c r="AE47" s="4061"/>
      <c r="AF47" s="4061"/>
      <c r="AG47" s="4061"/>
      <c r="AH47" s="4061"/>
      <c r="AI47" s="4061"/>
      <c r="AJ47" s="4061"/>
      <c r="AK47" s="4061"/>
      <c r="AL47" s="4061"/>
      <c r="AM47" s="4061"/>
      <c r="AN47" s="4061"/>
      <c r="AO47" s="4061"/>
      <c r="AP47" s="4061"/>
      <c r="AQ47" s="4061"/>
      <c r="AR47" s="4061"/>
      <c r="AS47" s="4061"/>
      <c r="AT47" s="4061"/>
      <c r="AU47" s="4061"/>
      <c r="AV47" s="4061"/>
      <c r="AW47" s="4061"/>
      <c r="AX47" s="4061"/>
      <c r="AY47" s="4061"/>
      <c r="AZ47" s="4061"/>
      <c r="BA47" s="4061"/>
      <c r="BB47" s="4062"/>
      <c r="BC47" s="1177" t="s">
        <v>390</v>
      </c>
      <c r="BE47" s="426"/>
      <c r="BF47" s="426" t="str">
        <f t="shared" si="3"/>
        <v>Территория действия тарифа</v>
      </c>
      <c r="BG47" s="426"/>
      <c r="BH47" s="426"/>
    </row>
    <row r="48" spans="1:60" ht="33.75" customHeight="1">
      <c r="A48" s="1279" t="s">
        <v>266</v>
      </c>
      <c r="B48" s="1279" t="s">
        <v>267</v>
      </c>
      <c r="C48" s="1279" t="s">
        <v>268</v>
      </c>
      <c r="D48" s="1279"/>
      <c r="E48" s="4075"/>
      <c r="F48" s="4075"/>
      <c r="G48" s="4074">
        <v>1</v>
      </c>
      <c r="H48" s="1279"/>
      <c r="I48" s="1279"/>
      <c r="J48" s="1279"/>
      <c r="K48" s="1279"/>
      <c r="L48" s="1280"/>
      <c r="M48" s="1281"/>
      <c r="N48" s="1281"/>
      <c r="O48" s="1281"/>
      <c r="P48" s="1328"/>
      <c r="Q48" s="1327"/>
      <c r="R48" s="278"/>
      <c r="S48" s="1403" t="str">
        <f>INDEX(PT_DIFFERENTIATION_NUM_CS,MATCH(C48,PT_DIFFERENTIATION_CS_ID,0))</f>
        <v>..</v>
      </c>
      <c r="T48" s="230" t="s">
        <v>505</v>
      </c>
      <c r="U48" s="219"/>
      <c r="V48" s="4061"/>
      <c r="W48" s="4061"/>
      <c r="X48" s="4061"/>
      <c r="Y48" s="4061"/>
      <c r="Z48" s="4061"/>
      <c r="AA48" s="4061"/>
      <c r="AB48" s="4061"/>
      <c r="AC48" s="4062"/>
      <c r="AD48" s="4060" t="str">
        <f>INDEX(PT_DIFFERENTIATION_CS,MATCH(C48,PT_DIFFERENTIATION_CS_ID,0))</f>
        <v/>
      </c>
      <c r="AE48" s="4061"/>
      <c r="AF48" s="4061"/>
      <c r="AG48" s="4061"/>
      <c r="AH48" s="4061"/>
      <c r="AI48" s="4061"/>
      <c r="AJ48" s="4061"/>
      <c r="AK48" s="4061"/>
      <c r="AL48" s="4061"/>
      <c r="AM48" s="4061"/>
      <c r="AN48" s="4061"/>
      <c r="AO48" s="4061"/>
      <c r="AP48" s="4061"/>
      <c r="AQ48" s="4061"/>
      <c r="AR48" s="4061"/>
      <c r="AS48" s="4061"/>
      <c r="AT48" s="4061"/>
      <c r="AU48" s="4061"/>
      <c r="AV48" s="4061"/>
      <c r="AW48" s="4061"/>
      <c r="AX48" s="4061"/>
      <c r="AY48" s="4061"/>
      <c r="AZ48" s="4061"/>
      <c r="BA48" s="4061"/>
      <c r="BB48" s="4062"/>
      <c r="BC48" s="1177" t="s">
        <v>506</v>
      </c>
      <c r="BE48" s="426"/>
      <c r="BF48" s="426" t="str">
        <f t="shared" si="3"/>
        <v>Наименование централизованной системы водоотведения</v>
      </c>
      <c r="BG48" s="426"/>
      <c r="BH48" s="426"/>
    </row>
    <row r="49" spans="1:60" s="1821" customFormat="1" ht="0" hidden="1" customHeight="1">
      <c r="A49" s="1260" t="s">
        <v>266</v>
      </c>
      <c r="B49" s="1260" t="s">
        <v>267</v>
      </c>
      <c r="C49" s="1260" t="s">
        <v>268</v>
      </c>
      <c r="D49" s="1260" t="s">
        <v>518</v>
      </c>
      <c r="E49" s="4075"/>
      <c r="F49" s="4075"/>
      <c r="G49" s="4075"/>
      <c r="H49" s="4074">
        <v>1</v>
      </c>
      <c r="I49" s="1260"/>
      <c r="J49" s="1260"/>
      <c r="K49" s="1260"/>
      <c r="L49" s="1263"/>
      <c r="M49" s="1233"/>
      <c r="N49" s="1233"/>
      <c r="O49" s="1233"/>
      <c r="P49" s="1407"/>
      <c r="Q49" s="1408"/>
      <c r="R49" s="282"/>
      <c r="S49" s="949"/>
      <c r="T49" s="1409"/>
      <c r="U49" s="1300"/>
      <c r="V49" s="4102"/>
      <c r="W49" s="4102"/>
      <c r="X49" s="4102"/>
      <c r="Y49" s="4102"/>
      <c r="Z49" s="4102"/>
      <c r="AA49" s="4102"/>
      <c r="AB49" s="4102"/>
      <c r="AC49" s="4103"/>
      <c r="AD49" s="4101"/>
      <c r="AE49" s="4102"/>
      <c r="AF49" s="4102"/>
      <c r="AG49" s="4102"/>
      <c r="AH49" s="4102"/>
      <c r="AI49" s="4102"/>
      <c r="AJ49" s="4102"/>
      <c r="AK49" s="4102"/>
      <c r="AL49" s="4102"/>
      <c r="AM49" s="4102"/>
      <c r="AN49" s="4102"/>
      <c r="AO49" s="4102"/>
      <c r="AP49" s="4102"/>
      <c r="AQ49" s="4102"/>
      <c r="AR49" s="4102"/>
      <c r="AS49" s="4102"/>
      <c r="AT49" s="4102"/>
      <c r="AU49" s="4102"/>
      <c r="AV49" s="4102"/>
      <c r="AW49" s="4102"/>
      <c r="AX49" s="4102"/>
      <c r="AY49" s="4102"/>
      <c r="AZ49" s="4102"/>
      <c r="BA49" s="4102"/>
      <c r="BB49" s="4103"/>
      <c r="BC49" s="1301" t="s">
        <v>394</v>
      </c>
      <c r="BE49" s="426"/>
      <c r="BF49" s="426" t="str">
        <f t="shared" si="3"/>
        <v/>
      </c>
      <c r="BG49" s="426"/>
      <c r="BH49" s="426"/>
    </row>
    <row r="50" spans="1:60" s="1821" customFormat="1" ht="0" hidden="1" customHeight="1">
      <c r="A50" s="1260" t="s">
        <v>266</v>
      </c>
      <c r="B50" s="1260" t="s">
        <v>267</v>
      </c>
      <c r="C50" s="1260" t="s">
        <v>268</v>
      </c>
      <c r="D50" s="1260" t="s">
        <v>518</v>
      </c>
      <c r="E50" s="4075"/>
      <c r="F50" s="4075"/>
      <c r="G50" s="4075"/>
      <c r="H50" s="4075"/>
      <c r="I50" s="4072" t="str">
        <f>S49&amp;".1"</f>
        <v>.1</v>
      </c>
      <c r="J50" s="1260"/>
      <c r="K50" s="1260"/>
      <c r="L50" s="1263" t="s">
        <v>395</v>
      </c>
      <c r="M50" s="436"/>
      <c r="N50" s="436"/>
      <c r="O50" s="436"/>
      <c r="P50" s="4073">
        <v>1</v>
      </c>
      <c r="Q50" s="1391"/>
      <c r="R50" s="281"/>
      <c r="S50" s="949"/>
      <c r="T50" s="1299"/>
      <c r="U50" s="1300"/>
      <c r="V50" s="4102"/>
      <c r="W50" s="4102"/>
      <c r="X50" s="4102"/>
      <c r="Y50" s="4102"/>
      <c r="Z50" s="4102"/>
      <c r="AA50" s="4102"/>
      <c r="AB50" s="4102"/>
      <c r="AC50" s="4103"/>
      <c r="AD50" s="4101"/>
      <c r="AE50" s="4102"/>
      <c r="AF50" s="4102"/>
      <c r="AG50" s="4102"/>
      <c r="AH50" s="4102"/>
      <c r="AI50" s="4102"/>
      <c r="AJ50" s="4102"/>
      <c r="AK50" s="4102"/>
      <c r="AL50" s="4102"/>
      <c r="AM50" s="4102"/>
      <c r="AN50" s="4102"/>
      <c r="AO50" s="4102"/>
      <c r="AP50" s="4102"/>
      <c r="AQ50" s="4102"/>
      <c r="AR50" s="4102"/>
      <c r="AS50" s="4102"/>
      <c r="AT50" s="4102"/>
      <c r="AU50" s="4102"/>
      <c r="AV50" s="4102"/>
      <c r="AW50" s="4102"/>
      <c r="AX50" s="4102"/>
      <c r="AY50" s="4102"/>
      <c r="AZ50" s="4102"/>
      <c r="BA50" s="4102"/>
      <c r="BB50" s="4103"/>
      <c r="BC50" s="1301"/>
      <c r="BE50" s="426"/>
      <c r="BF50" s="426" t="str">
        <f t="shared" si="3"/>
        <v/>
      </c>
      <c r="BG50" s="426"/>
      <c r="BH50" s="426"/>
    </row>
    <row r="51" spans="1:60" s="1821" customFormat="1" ht="0" hidden="1" customHeight="1">
      <c r="A51" s="1260" t="s">
        <v>266</v>
      </c>
      <c r="B51" s="1260" t="s">
        <v>267</v>
      </c>
      <c r="C51" s="1260" t="s">
        <v>268</v>
      </c>
      <c r="D51" s="1260" t="s">
        <v>518</v>
      </c>
      <c r="E51" s="4075"/>
      <c r="F51" s="4075"/>
      <c r="G51" s="4075"/>
      <c r="H51" s="4075"/>
      <c r="I51" s="4095"/>
      <c r="J51" s="4072" t="str">
        <f>S49&amp;".1"</f>
        <v>.1</v>
      </c>
      <c r="K51" s="1260"/>
      <c r="L51" s="1263"/>
      <c r="M51" s="436"/>
      <c r="N51" s="436"/>
      <c r="O51" s="436"/>
      <c r="P51" s="4073"/>
      <c r="Q51" s="4073">
        <v>1</v>
      </c>
      <c r="R51" s="282"/>
      <c r="S51" s="949"/>
      <c r="T51" s="1315"/>
      <c r="U51" s="1300"/>
      <c r="V51" s="4102"/>
      <c r="W51" s="4102"/>
      <c r="X51" s="4102"/>
      <c r="Y51" s="4102"/>
      <c r="Z51" s="4102"/>
      <c r="AA51" s="4102"/>
      <c r="AB51" s="4102"/>
      <c r="AC51" s="4103"/>
      <c r="AD51" s="4101"/>
      <c r="AE51" s="4102"/>
      <c r="AF51" s="4102"/>
      <c r="AG51" s="4102"/>
      <c r="AH51" s="4102"/>
      <c r="AI51" s="4102"/>
      <c r="AJ51" s="4102"/>
      <c r="AK51" s="4102"/>
      <c r="AL51" s="4102"/>
      <c r="AM51" s="4102"/>
      <c r="AN51" s="4147"/>
      <c r="AO51" s="4147"/>
      <c r="AP51" s="4102"/>
      <c r="AQ51" s="4102"/>
      <c r="AR51" s="4102"/>
      <c r="AS51" s="4102"/>
      <c r="AT51" s="4102"/>
      <c r="AU51" s="4102"/>
      <c r="AV51" s="4102"/>
      <c r="AW51" s="4102"/>
      <c r="AX51" s="4102"/>
      <c r="AY51" s="4102"/>
      <c r="AZ51" s="4102"/>
      <c r="BA51" s="4102"/>
      <c r="BB51" s="4103"/>
      <c r="BC51" s="1301"/>
      <c r="BE51" s="426"/>
      <c r="BF51" s="426" t="str">
        <f t="shared" si="3"/>
        <v/>
      </c>
      <c r="BG51" s="426"/>
      <c r="BH51" s="426"/>
    </row>
    <row r="52" spans="1:60" ht="11.25" customHeight="1">
      <c r="A52" s="1279" t="s">
        <v>266</v>
      </c>
      <c r="B52" s="1279" t="s">
        <v>267</v>
      </c>
      <c r="C52" s="1279" t="s">
        <v>268</v>
      </c>
      <c r="D52" s="1279" t="s">
        <v>518</v>
      </c>
      <c r="E52" s="4075"/>
      <c r="F52" s="4075"/>
      <c r="G52" s="4075"/>
      <c r="H52" s="4075"/>
      <c r="I52" s="4095"/>
      <c r="J52" s="4095"/>
      <c r="K52" s="4072" t="str">
        <f>S48&amp;".1"</f>
        <v>...1</v>
      </c>
      <c r="L52" s="1280"/>
      <c r="P52" s="4073"/>
      <c r="Q52" s="4073"/>
      <c r="R52" s="282">
        <v>1</v>
      </c>
      <c r="S52" s="4124" t="str">
        <f>$K52</f>
        <v>...1</v>
      </c>
      <c r="T52" s="4142"/>
      <c r="U52" s="219"/>
      <c r="V52" s="668"/>
      <c r="W52" s="1176"/>
      <c r="X52" s="668"/>
      <c r="Y52" s="1176"/>
      <c r="Z52" s="1644"/>
      <c r="AA52" s="1380" t="s">
        <v>65</v>
      </c>
      <c r="AB52" s="1644"/>
      <c r="AC52" s="1380" t="s">
        <v>65</v>
      </c>
      <c r="AD52" s="4001" t="s">
        <v>65</v>
      </c>
      <c r="AE52" s="4110"/>
      <c r="AF52" s="4028">
        <v>1</v>
      </c>
      <c r="AG52" s="4146"/>
      <c r="AH52" s="3927" t="s">
        <v>65</v>
      </c>
      <c r="AI52" s="4110"/>
      <c r="AJ52" s="4028">
        <v>1</v>
      </c>
      <c r="AK52" s="4145" t="s">
        <v>24</v>
      </c>
      <c r="AL52" s="3927" t="s">
        <v>65</v>
      </c>
      <c r="AM52" s="4018"/>
      <c r="AN52" s="4028">
        <v>1</v>
      </c>
      <c r="AO52" s="4139"/>
      <c r="AP52" s="4140" t="s">
        <v>65</v>
      </c>
      <c r="AQ52" s="232"/>
      <c r="AR52" s="1396">
        <v>1</v>
      </c>
      <c r="AS52" s="1402" t="s">
        <v>24</v>
      </c>
      <c r="AT52" s="668"/>
      <c r="AU52" s="1176"/>
      <c r="AV52" s="668"/>
      <c r="AW52" s="1176"/>
      <c r="AX52" s="1644"/>
      <c r="AY52" s="1380" t="s">
        <v>65</v>
      </c>
      <c r="AZ52" s="1644"/>
      <c r="BA52" s="1380" t="s">
        <v>65</v>
      </c>
      <c r="BB52" s="1265"/>
      <c r="BC52" s="4069" t="s">
        <v>490</v>
      </c>
      <c r="BE52" s="426"/>
      <c r="BF52" s="426" t="str">
        <f t="shared" si="3"/>
        <v/>
      </c>
      <c r="BG52" s="426"/>
      <c r="BH52" s="426"/>
    </row>
    <row r="53" spans="1:60" ht="11.25" customHeight="1">
      <c r="A53" s="1279"/>
      <c r="B53" s="1279"/>
      <c r="C53" s="1279"/>
      <c r="D53" s="1279"/>
      <c r="E53" s="4075"/>
      <c r="F53" s="4075"/>
      <c r="G53" s="4075"/>
      <c r="H53" s="4075"/>
      <c r="I53" s="4095"/>
      <c r="J53" s="4095"/>
      <c r="K53" s="4072"/>
      <c r="L53" s="1280"/>
      <c r="P53" s="4073"/>
      <c r="Q53" s="4073"/>
      <c r="R53" s="282"/>
      <c r="S53" s="4125"/>
      <c r="T53" s="4143"/>
      <c r="U53" s="219"/>
      <c r="V53" s="1309"/>
      <c r="W53" s="1406"/>
      <c r="X53" s="1309"/>
      <c r="Y53" s="1406"/>
      <c r="Z53" s="1309"/>
      <c r="AA53" s="1309"/>
      <c r="AB53" s="1309"/>
      <c r="AC53" s="1309"/>
      <c r="AD53" s="4002"/>
      <c r="AE53" s="4110"/>
      <c r="AF53" s="4028"/>
      <c r="AG53" s="4146"/>
      <c r="AH53" s="3927"/>
      <c r="AI53" s="4110"/>
      <c r="AJ53" s="4028"/>
      <c r="AK53" s="4145"/>
      <c r="AL53" s="3927"/>
      <c r="AM53" s="4023"/>
      <c r="AN53" s="4028"/>
      <c r="AO53" s="4139"/>
      <c r="AP53" s="4141"/>
      <c r="AQ53" s="239"/>
      <c r="AR53" s="350"/>
      <c r="AS53" s="350" t="s">
        <v>491</v>
      </c>
      <c r="AT53" s="1309"/>
      <c r="AU53" s="1406"/>
      <c r="AV53" s="1309"/>
      <c r="AW53" s="1406"/>
      <c r="AX53" s="1309"/>
      <c r="AY53" s="1309"/>
      <c r="AZ53" s="1309"/>
      <c r="BA53" s="1309"/>
      <c r="BB53" s="1313"/>
      <c r="BC53" s="4070"/>
      <c r="BE53" s="426"/>
      <c r="BF53" s="426"/>
      <c r="BG53" s="426"/>
      <c r="BH53" s="426"/>
    </row>
    <row r="54" spans="1:60" ht="11.25" customHeight="1">
      <c r="A54" s="1279" t="s">
        <v>266</v>
      </c>
      <c r="B54" s="1279"/>
      <c r="C54" s="1279"/>
      <c r="D54" s="1279"/>
      <c r="E54" s="4075"/>
      <c r="F54" s="4075"/>
      <c r="G54" s="4075"/>
      <c r="H54" s="4075"/>
      <c r="I54" s="4095"/>
      <c r="J54" s="4095"/>
      <c r="K54" s="4072"/>
      <c r="L54" s="1280"/>
      <c r="P54" s="4073"/>
      <c r="Q54" s="4073"/>
      <c r="R54" s="282"/>
      <c r="S54" s="4125"/>
      <c r="T54" s="4143"/>
      <c r="U54" s="219"/>
      <c r="V54" s="1309"/>
      <c r="W54" s="1406"/>
      <c r="X54" s="1309"/>
      <c r="Y54" s="1406"/>
      <c r="Z54" s="1309"/>
      <c r="AA54" s="1309"/>
      <c r="AB54" s="1309"/>
      <c r="AC54" s="1309"/>
      <c r="AD54" s="4002"/>
      <c r="AE54" s="4110"/>
      <c r="AF54" s="4028"/>
      <c r="AG54" s="4146"/>
      <c r="AH54" s="3927"/>
      <c r="AI54" s="4110"/>
      <c r="AJ54" s="4028"/>
      <c r="AK54" s="4145"/>
      <c r="AL54" s="3927"/>
      <c r="AM54" s="239"/>
      <c r="AN54" s="1410"/>
      <c r="AO54" s="1410" t="s">
        <v>511</v>
      </c>
      <c r="AP54" s="350"/>
      <c r="AQ54" s="350"/>
      <c r="AR54" s="350"/>
      <c r="AS54" s="1309"/>
      <c r="AT54" s="1309"/>
      <c r="AU54" s="1406"/>
      <c r="AV54" s="1309"/>
      <c r="AW54" s="1406"/>
      <c r="AX54" s="1309"/>
      <c r="AY54" s="1309"/>
      <c r="AZ54" s="1309"/>
      <c r="BA54" s="1309"/>
      <c r="BB54" s="1313"/>
      <c r="BC54" s="4070"/>
      <c r="BE54" s="426"/>
      <c r="BF54" s="426"/>
      <c r="BG54" s="426"/>
      <c r="BH54" s="426"/>
    </row>
    <row r="55" spans="1:60" ht="11.25" customHeight="1">
      <c r="A55" s="1279" t="s">
        <v>266</v>
      </c>
      <c r="B55" s="1279"/>
      <c r="C55" s="1279"/>
      <c r="D55" s="1279"/>
      <c r="E55" s="4075"/>
      <c r="F55" s="4075"/>
      <c r="G55" s="4075"/>
      <c r="H55" s="4075"/>
      <c r="I55" s="4095"/>
      <c r="J55" s="4095"/>
      <c r="K55" s="4072"/>
      <c r="L55" s="1280"/>
      <c r="P55" s="4073"/>
      <c r="Q55" s="4073"/>
      <c r="R55" s="282"/>
      <c r="S55" s="4125"/>
      <c r="T55" s="4143"/>
      <c r="U55" s="219"/>
      <c r="V55" s="1309"/>
      <c r="W55" s="1406"/>
      <c r="X55" s="1309"/>
      <c r="Y55" s="1406"/>
      <c r="Z55" s="1309"/>
      <c r="AA55" s="1309"/>
      <c r="AB55" s="1309"/>
      <c r="AC55" s="1309"/>
      <c r="AD55" s="4002"/>
      <c r="AE55" s="4110"/>
      <c r="AF55" s="4028"/>
      <c r="AG55" s="4146"/>
      <c r="AH55" s="3927"/>
      <c r="AI55" s="213"/>
      <c r="AJ55" s="349"/>
      <c r="AK55" s="234" t="s">
        <v>512</v>
      </c>
      <c r="AL55" s="1309"/>
      <c r="AM55" s="1309"/>
      <c r="AN55" s="1309"/>
      <c r="AO55" s="1309"/>
      <c r="AP55" s="1309"/>
      <c r="AQ55" s="1309"/>
      <c r="AR55" s="1309"/>
      <c r="AS55" s="1309"/>
      <c r="AT55" s="1309"/>
      <c r="AU55" s="1406"/>
      <c r="AV55" s="1309"/>
      <c r="AW55" s="1406"/>
      <c r="AX55" s="1309"/>
      <c r="AY55" s="1309"/>
      <c r="AZ55" s="1309"/>
      <c r="BA55" s="1309"/>
      <c r="BB55" s="1313"/>
      <c r="BC55" s="4070"/>
      <c r="BE55" s="426"/>
      <c r="BF55" s="426"/>
      <c r="BG55" s="426"/>
      <c r="BH55" s="426"/>
    </row>
    <row r="56" spans="1:60" ht="11.25" customHeight="1">
      <c r="A56" s="1279" t="s">
        <v>266</v>
      </c>
      <c r="B56" s="1279" t="s">
        <v>267</v>
      </c>
      <c r="C56" s="1279" t="s">
        <v>268</v>
      </c>
      <c r="D56" s="1279" t="s">
        <v>518</v>
      </c>
      <c r="E56" s="4075"/>
      <c r="F56" s="4075"/>
      <c r="G56" s="4075"/>
      <c r="H56" s="4075"/>
      <c r="I56" s="4095"/>
      <c r="J56" s="4095"/>
      <c r="K56" s="4072"/>
      <c r="L56" s="1280"/>
      <c r="P56" s="4073"/>
      <c r="Q56" s="4073"/>
      <c r="R56" s="282"/>
      <c r="S56" s="4126"/>
      <c r="T56" s="4144"/>
      <c r="U56" s="219"/>
      <c r="V56" s="1309"/>
      <c r="W56" s="1310" t="str">
        <f>Z52&amp;"-"&amp;AB52</f>
        <v>-</v>
      </c>
      <c r="X56" s="1309"/>
      <c r="Y56" s="1310" t="str">
        <f>AB52&amp;"-"&amp;AD52</f>
        <v>-да</v>
      </c>
      <c r="Z56" s="1309"/>
      <c r="AA56" s="1309"/>
      <c r="AB56" s="1309"/>
      <c r="AC56" s="1309"/>
      <c r="AD56" s="3932"/>
      <c r="AE56" s="233"/>
      <c r="AF56" s="235"/>
      <c r="AG56" s="350" t="s">
        <v>494</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4070"/>
      <c r="BE56" s="426"/>
      <c r="BF56" s="426" t="str">
        <f t="shared" ref="BF56:BF63" si="4">IF(T56="","",T56)</f>
        <v/>
      </c>
      <c r="BG56" s="426"/>
      <c r="BH56" s="426"/>
    </row>
    <row r="57" spans="1:60" ht="11.25" customHeight="1">
      <c r="A57" s="1279" t="s">
        <v>266</v>
      </c>
      <c r="B57" s="1279" t="s">
        <v>267</v>
      </c>
      <c r="C57" s="1279" t="s">
        <v>268</v>
      </c>
      <c r="D57" s="1279" t="s">
        <v>518</v>
      </c>
      <c r="E57" s="4075"/>
      <c r="F57" s="4075"/>
      <c r="G57" s="4075"/>
      <c r="H57" s="4075"/>
      <c r="I57" s="4095"/>
      <c r="J57" s="4072"/>
      <c r="K57" s="1279"/>
      <c r="L57" s="1280"/>
      <c r="P57" s="4073"/>
      <c r="Q57" s="4073"/>
      <c r="R57" s="281"/>
      <c r="S57" s="1198"/>
      <c r="T57" s="206" t="s">
        <v>458</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4071"/>
      <c r="BE57" s="426"/>
      <c r="BF57" s="426" t="str">
        <f t="shared" si="4"/>
        <v>Добавить строку</v>
      </c>
      <c r="BG57" s="426"/>
      <c r="BH57" s="426"/>
    </row>
    <row r="58" spans="1:60" s="1821" customFormat="1" ht="0" hidden="1" customHeight="1">
      <c r="A58" s="1260" t="s">
        <v>266</v>
      </c>
      <c r="B58" s="1260" t="s">
        <v>267</v>
      </c>
      <c r="C58" s="1260" t="s">
        <v>268</v>
      </c>
      <c r="D58" s="1260" t="s">
        <v>518</v>
      </c>
      <c r="E58" s="4075"/>
      <c r="F58" s="4075"/>
      <c r="G58" s="4075"/>
      <c r="H58" s="4075"/>
      <c r="I58" s="4072"/>
      <c r="J58" s="1260"/>
      <c r="K58" s="1260"/>
      <c r="L58" s="1263"/>
      <c r="M58" s="436"/>
      <c r="N58" s="436"/>
      <c r="O58" s="436"/>
      <c r="P58" s="4073"/>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21" customFormat="1" ht="0" hidden="1" customHeight="1">
      <c r="A59" s="1260" t="s">
        <v>266</v>
      </c>
      <c r="B59" s="1260" t="s">
        <v>267</v>
      </c>
      <c r="C59" s="1260" t="s">
        <v>268</v>
      </c>
      <c r="D59" s="1260" t="s">
        <v>518</v>
      </c>
      <c r="E59" s="4075"/>
      <c r="F59" s="4075"/>
      <c r="G59" s="4075"/>
      <c r="H59" s="4074"/>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2550" customFormat="1" ht="0" hidden="1" customHeight="1">
      <c r="A60" s="1260" t="s">
        <v>266</v>
      </c>
      <c r="B60" s="1260" t="s">
        <v>267</v>
      </c>
      <c r="C60" s="1260" t="s">
        <v>268</v>
      </c>
      <c r="D60" s="1232"/>
      <c r="E60" s="4075"/>
      <c r="F60" s="4075"/>
      <c r="G60" s="4074"/>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2550" customFormat="1" ht="0" hidden="1" customHeight="1">
      <c r="A61" s="1260" t="s">
        <v>266</v>
      </c>
      <c r="B61" s="1260" t="s">
        <v>267</v>
      </c>
      <c r="C61" s="1232"/>
      <c r="D61" s="1232"/>
      <c r="E61" s="4075"/>
      <c r="F61" s="4074"/>
      <c r="G61" s="1232"/>
      <c r="H61" s="1232"/>
      <c r="I61" s="1232"/>
      <c r="J61" s="1232"/>
      <c r="K61" s="1232"/>
      <c r="L61" s="1404"/>
      <c r="M61" s="1239"/>
      <c r="N61" s="1239"/>
      <c r="P61" s="1234"/>
      <c r="Q61" s="1235"/>
      <c r="R61" s="1234"/>
      <c r="S61" s="1240"/>
      <c r="T61" s="1243" t="s">
        <v>167</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21" customFormat="1" ht="0" hidden="1" customHeight="1">
      <c r="A62" s="1260" t="s">
        <v>266</v>
      </c>
      <c r="B62" s="1260"/>
      <c r="C62" s="1260"/>
      <c r="D62" s="1260"/>
      <c r="E62" s="4074"/>
      <c r="F62" s="1260"/>
      <c r="G62" s="1260"/>
      <c r="H62" s="1260"/>
      <c r="I62" s="1260"/>
      <c r="J62" s="1260"/>
      <c r="K62" s="1260"/>
      <c r="L62" s="1263"/>
      <c r="M62" s="1239"/>
      <c r="N62" s="1239"/>
      <c r="O62" s="444"/>
      <c r="P62" s="313"/>
      <c r="Q62" s="1261"/>
      <c r="R62" s="313"/>
      <c r="S62" s="1240"/>
      <c r="T62" s="1243" t="s">
        <v>168</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2550"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169</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4.25" customHeight="1">
      <c r="O65" s="462"/>
      <c r="S65" s="1164"/>
      <c r="T65" s="4094"/>
      <c r="U65" s="4094"/>
      <c r="V65" s="4094"/>
      <c r="W65" s="4094"/>
      <c r="X65" s="4094"/>
      <c r="Y65" s="4094"/>
      <c r="Z65" s="4094"/>
      <c r="AA65" s="4094"/>
      <c r="AB65" s="4094"/>
      <c r="AC65" s="4094"/>
      <c r="AD65" s="4094"/>
      <c r="AE65" s="4094"/>
      <c r="AF65" s="4094"/>
      <c r="AG65" s="4094"/>
      <c r="AH65" s="4094"/>
      <c r="AI65" s="4094"/>
      <c r="AJ65" s="4094"/>
      <c r="AK65" s="4094"/>
      <c r="AL65" s="4094"/>
      <c r="AM65" s="4094"/>
      <c r="AN65" s="4094"/>
      <c r="AO65" s="4094"/>
      <c r="AP65" s="4094"/>
      <c r="AQ65" s="4094"/>
      <c r="AR65" s="4094"/>
      <c r="AS65" s="4094"/>
      <c r="AT65" s="4094"/>
      <c r="AU65" s="4094"/>
      <c r="AV65" s="4094"/>
      <c r="AW65" s="4094"/>
      <c r="AX65" s="4094"/>
      <c r="AY65" s="4094"/>
      <c r="AZ65" s="4094"/>
      <c r="BA65" s="4094"/>
      <c r="BB65" s="4094"/>
      <c r="BC65" s="4094"/>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4.25" customHeight="1">
      <c r="O67" s="462"/>
      <c r="S67" s="1164"/>
      <c r="T67" s="4094"/>
      <c r="U67" s="4094"/>
      <c r="V67" s="4094"/>
      <c r="W67" s="4094"/>
      <c r="X67" s="4094"/>
      <c r="Y67" s="4094"/>
      <c r="Z67" s="4094"/>
      <c r="AA67" s="4094"/>
      <c r="AB67" s="4094"/>
      <c r="AC67" s="4094"/>
      <c r="AD67" s="4094"/>
      <c r="AE67" s="4094"/>
      <c r="AF67" s="4094"/>
      <c r="AG67" s="4094"/>
      <c r="AH67" s="4094"/>
      <c r="AI67" s="4094"/>
      <c r="AJ67" s="4094"/>
      <c r="AK67" s="4094"/>
      <c r="AL67" s="4094"/>
      <c r="AM67" s="4094"/>
      <c r="AN67" s="4094"/>
      <c r="AO67" s="4094"/>
      <c r="AP67" s="4094"/>
      <c r="AQ67" s="4094"/>
      <c r="AR67" s="4094"/>
      <c r="AS67" s="4094"/>
      <c r="AT67" s="4094"/>
      <c r="AU67" s="4094"/>
      <c r="AV67" s="4094"/>
      <c r="AW67" s="4094"/>
      <c r="AX67" s="4094"/>
      <c r="AY67" s="4094"/>
      <c r="AZ67" s="4094"/>
      <c r="BA67" s="4094"/>
      <c r="BB67" s="4094"/>
      <c r="BC67" s="4094"/>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553" hidden="1"/>
    <col min="2" max="2" width="11" style="2553" hidden="1" customWidth="1"/>
    <col min="3" max="3" width="10.5703125" style="2553" hidden="1"/>
    <col min="4" max="4" width="11.85546875" style="2553" hidden="1" customWidth="1"/>
    <col min="5" max="5" width="10" style="2553" hidden="1" customWidth="1"/>
    <col min="6" max="6" width="8.7109375" style="2553" hidden="1" customWidth="1"/>
    <col min="7" max="7" width="7.5703125" style="2553" hidden="1" customWidth="1"/>
    <col min="8" max="8" width="11.42578125" style="2553" hidden="1" customWidth="1"/>
    <col min="9" max="9" width="14.140625" style="2553" hidden="1" customWidth="1"/>
    <col min="10" max="10" width="9.85546875" style="2553" hidden="1" customWidth="1"/>
    <col min="11" max="11" width="14.7109375" style="2553" hidden="1" customWidth="1"/>
    <col min="12" max="12" width="19.140625" style="3808" hidden="1" customWidth="1"/>
    <col min="13" max="14" width="12.28515625" style="2555" hidden="1" customWidth="1"/>
    <col min="15" max="15" width="23.42578125" style="2555" hidden="1" customWidth="1"/>
    <col min="16" max="16" width="3.7109375" style="3809" customWidth="1"/>
    <col min="17" max="18" width="3.7109375" style="3173" customWidth="1"/>
    <col min="19" max="19" width="12.7109375" style="3174" customWidth="1"/>
    <col min="20" max="20" width="35.7109375" style="1920" customWidth="1"/>
    <col min="21" max="21" width="0.140625" style="1920" customWidth="1"/>
    <col min="22" max="24" width="24.7109375" style="1920" hidden="1" customWidth="1"/>
    <col min="25" max="25" width="11.7109375" style="1920" hidden="1" customWidth="1"/>
    <col min="26" max="26" width="3.7109375" style="1920" hidden="1" customWidth="1"/>
    <col min="27" max="27" width="11.7109375" style="1920" hidden="1" customWidth="1"/>
    <col min="28" max="28" width="8.5703125" style="1920" hidden="1" customWidth="1"/>
    <col min="29" max="31" width="24.7109375" style="1920" customWidth="1"/>
    <col min="32" max="32" width="11.7109375" style="1920" customWidth="1"/>
    <col min="33" max="33" width="3.7109375" style="1920" customWidth="1"/>
    <col min="34" max="34" width="11.7109375" style="1920" customWidth="1"/>
    <col min="35" max="35" width="8.5703125" style="1920" hidden="1" customWidth="1"/>
    <col min="36" max="36" width="4.7109375" style="1920" customWidth="1"/>
    <col min="37" max="37" width="115.7109375" style="1920" customWidth="1"/>
    <col min="38" max="39" width="10.5703125" style="1821"/>
    <col min="40" max="40" width="11.140625" style="1821" customWidth="1"/>
    <col min="41" max="42" width="10.5703125" style="1821"/>
  </cols>
  <sheetData>
    <row r="1" spans="1:42" ht="14.25" hidden="1" customHeight="1">
      <c r="X1" s="254"/>
      <c r="Y1" s="254"/>
      <c r="AE1" s="254"/>
      <c r="AF1" s="254"/>
    </row>
    <row r="2" spans="1:42" ht="23.25" hidden="1" customHeight="1">
      <c r="A2" s="1279"/>
      <c r="B2" s="1279"/>
      <c r="C2" s="1279"/>
      <c r="D2" s="1279"/>
      <c r="E2" s="4074">
        <v>1</v>
      </c>
      <c r="F2" s="1279"/>
      <c r="G2" s="1279"/>
      <c r="H2" s="1279"/>
      <c r="I2" s="1279"/>
      <c r="J2" s="1279"/>
      <c r="K2" s="1279"/>
      <c r="L2" s="1280"/>
      <c r="M2" s="1281"/>
      <c r="N2" s="1281"/>
      <c r="O2" s="1281"/>
      <c r="P2" s="286"/>
      <c r="Q2" s="285"/>
      <c r="R2" s="280"/>
      <c r="S2" s="1403" t="e">
        <f>INDEX(PT_DIFFERENTIATION_NUM_NTAR,MATCH(A2,PT_DIFFERENTIATION_NTAR_ID,0))</f>
        <v>#N/A</v>
      </c>
      <c r="T2" s="217" t="s">
        <v>121</v>
      </c>
      <c r="U2" s="219"/>
      <c r="V2" s="4060"/>
      <c r="W2" s="4061"/>
      <c r="X2" s="4061"/>
      <c r="Y2" s="4061"/>
      <c r="Z2" s="4061"/>
      <c r="AA2" s="4061"/>
      <c r="AB2" s="4062"/>
      <c r="AC2" s="4060" t="e">
        <f>INDEX(PT_DIFFERENTIATION_NTAR,MATCH(A2,PT_DIFFERENTIATION_NTAR_ID,0))</f>
        <v>#N/A</v>
      </c>
      <c r="AD2" s="4061"/>
      <c r="AE2" s="4061"/>
      <c r="AF2" s="4061"/>
      <c r="AG2" s="4061"/>
      <c r="AH2" s="4061"/>
      <c r="AI2" s="4061"/>
      <c r="AJ2" s="4062"/>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4075"/>
      <c r="F3" s="4074">
        <v>1</v>
      </c>
      <c r="G3" s="1279"/>
      <c r="H3" s="1279"/>
      <c r="I3" s="1279"/>
      <c r="J3" s="1279"/>
      <c r="K3" s="1279"/>
      <c r="L3" s="1280"/>
      <c r="M3" s="1281"/>
      <c r="N3" s="1281"/>
      <c r="O3" s="1281"/>
      <c r="P3" s="1397"/>
      <c r="Q3" s="277"/>
      <c r="R3" s="278"/>
      <c r="S3" s="1403" t="e">
        <f>INDEX(PT_DIFFERENTIATION_NUM_TER,MATCH(B3,PT_DIFFERENTIATION_TER_ID,0))</f>
        <v>#N/A</v>
      </c>
      <c r="T3" s="229" t="s">
        <v>389</v>
      </c>
      <c r="U3" s="219"/>
      <c r="V3" s="4060"/>
      <c r="W3" s="4061"/>
      <c r="X3" s="4061"/>
      <c r="Y3" s="4061"/>
      <c r="Z3" s="4061"/>
      <c r="AA3" s="4061"/>
      <c r="AB3" s="4062"/>
      <c r="AC3" s="4060" t="e">
        <f>INDEX(PT_DIFFERENTIATION_TER,MATCH(B3,PT_DIFFERENTIATION_TER_ID,0))</f>
        <v>#N/A</v>
      </c>
      <c r="AD3" s="4061"/>
      <c r="AE3" s="4061"/>
      <c r="AF3" s="4061"/>
      <c r="AG3" s="4061"/>
      <c r="AH3" s="4061"/>
      <c r="AI3" s="4061"/>
      <c r="AJ3" s="4062"/>
      <c r="AK3" s="1177" t="s">
        <v>390</v>
      </c>
      <c r="AM3" s="426"/>
      <c r="AN3" s="426" t="str">
        <f t="shared" si="0"/>
        <v>Территория действия тарифа</v>
      </c>
      <c r="AO3" s="426"/>
      <c r="AP3" s="426"/>
    </row>
    <row r="4" spans="1:42" ht="23.25" hidden="1" customHeight="1">
      <c r="A4" s="1279"/>
      <c r="B4" s="1279"/>
      <c r="C4" s="1279"/>
      <c r="D4" s="1279"/>
      <c r="E4" s="4075"/>
      <c r="F4" s="4075"/>
      <c r="G4" s="4074">
        <v>1</v>
      </c>
      <c r="H4" s="1279"/>
      <c r="I4" s="1279"/>
      <c r="J4" s="1279"/>
      <c r="K4" s="1279"/>
      <c r="L4" s="1280"/>
      <c r="M4" s="1281"/>
      <c r="N4" s="1281"/>
      <c r="O4" s="1281"/>
      <c r="P4" s="279"/>
      <c r="Q4" s="277"/>
      <c r="R4" s="278"/>
      <c r="S4" s="1403" t="e">
        <f>INDEX(PT_DIFFERENTIATION_NUM_CS,MATCH(C4,PT_DIFFERENTIATION_CS_ID,0))</f>
        <v>#N/A</v>
      </c>
      <c r="T4" s="230" t="s">
        <v>519</v>
      </c>
      <c r="U4" s="219"/>
      <c r="V4" s="4060"/>
      <c r="W4" s="4061"/>
      <c r="X4" s="4061"/>
      <c r="Y4" s="4061"/>
      <c r="Z4" s="4061"/>
      <c r="AA4" s="4061"/>
      <c r="AB4" s="4062"/>
      <c r="AC4" s="4060" t="e">
        <f>INDEX(PT_DIFFERENTIATION_CS,MATCH(C4,PT_DIFFERENTIATION_CS_ID,0))</f>
        <v>#N/A</v>
      </c>
      <c r="AD4" s="4061"/>
      <c r="AE4" s="4061"/>
      <c r="AF4" s="4061"/>
      <c r="AG4" s="4061"/>
      <c r="AH4" s="4061"/>
      <c r="AI4" s="4061"/>
      <c r="AJ4" s="4062"/>
      <c r="AK4" s="1177" t="s">
        <v>520</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4075"/>
      <c r="F5" s="4075"/>
      <c r="G5" s="4075"/>
      <c r="H5" s="4075"/>
      <c r="I5" s="4072" t="e">
        <f>S4&amp;".1"</f>
        <v>#N/A</v>
      </c>
      <c r="J5" s="1279"/>
      <c r="K5" s="1279"/>
      <c r="L5" s="1280"/>
      <c r="P5" s="4073">
        <v>1</v>
      </c>
      <c r="Q5" s="1391"/>
      <c r="R5" s="281"/>
      <c r="S5" s="1403" t="e">
        <f>$I5</f>
        <v>#N/A</v>
      </c>
      <c r="T5" s="204" t="s">
        <v>474</v>
      </c>
      <c r="U5" s="219"/>
      <c r="V5" s="4133"/>
      <c r="W5" s="4134"/>
      <c r="X5" s="4134"/>
      <c r="Y5" s="4134"/>
      <c r="Z5" s="4134"/>
      <c r="AA5" s="4134"/>
      <c r="AB5" s="4135"/>
      <c r="AC5" s="4136"/>
      <c r="AD5" s="4137"/>
      <c r="AE5" s="4137"/>
      <c r="AF5" s="4137"/>
      <c r="AG5" s="4137"/>
      <c r="AH5" s="4137"/>
      <c r="AI5" s="4137"/>
      <c r="AJ5" s="4138"/>
      <c r="AK5" s="1177" t="s">
        <v>475</v>
      </c>
      <c r="AM5" s="426"/>
      <c r="AN5" s="426" t="str">
        <f t="shared" si="0"/>
        <v>Наименование признака дифференциации</v>
      </c>
      <c r="AO5" s="426"/>
      <c r="AP5" s="426"/>
    </row>
    <row r="6" spans="1:42" ht="23.25" hidden="1" customHeight="1">
      <c r="A6" s="1279"/>
      <c r="B6" s="1279"/>
      <c r="C6" s="1279"/>
      <c r="D6" s="1279"/>
      <c r="E6" s="4075"/>
      <c r="F6" s="4075"/>
      <c r="G6" s="4075"/>
      <c r="H6" s="4075"/>
      <c r="I6" s="4095"/>
      <c r="J6" s="4072" t="e">
        <f>I5&amp;".1"</f>
        <v>#N/A</v>
      </c>
      <c r="K6" s="1279"/>
      <c r="L6" s="1280" t="s">
        <v>398</v>
      </c>
      <c r="P6" s="4073"/>
      <c r="Q6" s="4073">
        <v>1</v>
      </c>
      <c r="R6" s="282"/>
      <c r="S6" s="1403" t="e">
        <f>$J6</f>
        <v>#N/A</v>
      </c>
      <c r="T6" s="205" t="s">
        <v>399</v>
      </c>
      <c r="U6" s="219"/>
      <c r="V6" s="4063"/>
      <c r="W6" s="4064"/>
      <c r="X6" s="4064"/>
      <c r="Y6" s="4064"/>
      <c r="Z6" s="4064"/>
      <c r="AA6" s="4064"/>
      <c r="AB6" s="4065"/>
      <c r="AC6" s="4063"/>
      <c r="AD6" s="4064"/>
      <c r="AE6" s="4064"/>
      <c r="AF6" s="4064"/>
      <c r="AG6" s="4064"/>
      <c r="AH6" s="4064"/>
      <c r="AI6" s="4064"/>
      <c r="AJ6" s="4065"/>
      <c r="AK6" s="1226" t="s">
        <v>476</v>
      </c>
      <c r="AM6" s="426"/>
      <c r="AN6" s="426" t="str">
        <f t="shared" si="0"/>
        <v>Группа потребителей</v>
      </c>
      <c r="AO6" s="426"/>
      <c r="AP6" s="426"/>
    </row>
    <row r="7" spans="1:42" ht="23.25" hidden="1" customHeight="1">
      <c r="A7" s="1279"/>
      <c r="B7" s="1279"/>
      <c r="C7" s="1279"/>
      <c r="D7" s="1279"/>
      <c r="E7" s="4075"/>
      <c r="F7" s="4075"/>
      <c r="G7" s="4075"/>
      <c r="H7" s="4075"/>
      <c r="I7" s="4095"/>
      <c r="J7" s="4095"/>
      <c r="K7" s="4072" t="e">
        <f>J6&amp;".1"</f>
        <v>#N/A</v>
      </c>
      <c r="L7" s="1280"/>
      <c r="P7" s="4073"/>
      <c r="Q7" s="4073"/>
      <c r="R7" s="282">
        <v>1</v>
      </c>
      <c r="S7" s="1403" t="e">
        <f>$K7</f>
        <v>#N/A</v>
      </c>
      <c r="T7" s="1352"/>
      <c r="U7" s="219"/>
      <c r="V7" s="668"/>
      <c r="W7" s="668"/>
      <c r="X7" s="1176"/>
      <c r="Y7" s="4077"/>
      <c r="Z7" s="3927" t="s">
        <v>65</v>
      </c>
      <c r="AA7" s="4077"/>
      <c r="AB7" s="3927" t="s">
        <v>65</v>
      </c>
      <c r="AC7" s="668"/>
      <c r="AD7" s="668"/>
      <c r="AE7" s="1176"/>
      <c r="AF7" s="4077"/>
      <c r="AG7" s="3927" t="s">
        <v>65</v>
      </c>
      <c r="AH7" s="4096"/>
      <c r="AI7" s="3927" t="s">
        <v>65</v>
      </c>
      <c r="AJ7" s="1353"/>
      <c r="AK7" s="41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4075"/>
      <c r="F8" s="4075"/>
      <c r="G8" s="4075"/>
      <c r="H8" s="4075"/>
      <c r="I8" s="4095"/>
      <c r="J8" s="4095"/>
      <c r="K8" s="4072"/>
      <c r="L8" s="1280"/>
      <c r="P8" s="4073"/>
      <c r="Q8" s="4073"/>
      <c r="R8" s="282"/>
      <c r="S8" s="1400"/>
      <c r="T8" s="219"/>
      <c r="U8" s="219"/>
      <c r="V8" s="251"/>
      <c r="W8" s="251"/>
      <c r="X8" s="255" t="str">
        <f>Y7&amp;"-"&amp;AA7</f>
        <v>-</v>
      </c>
      <c r="Y8" s="4078"/>
      <c r="Z8" s="3927"/>
      <c r="AA8" s="4078"/>
      <c r="AB8" s="3927"/>
      <c r="AC8" s="251"/>
      <c r="AD8" s="251"/>
      <c r="AE8" s="255" t="str">
        <f>AF7&amp;"-"&amp;AH7</f>
        <v>-</v>
      </c>
      <c r="AF8" s="4078"/>
      <c r="AG8" s="3927"/>
      <c r="AH8" s="4097"/>
      <c r="AI8" s="3927"/>
      <c r="AJ8" s="1354"/>
      <c r="AK8" s="4132"/>
      <c r="AM8" s="426"/>
      <c r="AN8" s="426" t="str">
        <f t="shared" si="0"/>
        <v/>
      </c>
      <c r="AO8" s="426"/>
      <c r="AP8" s="426"/>
    </row>
    <row r="9" spans="1:42" ht="21" hidden="1" customHeight="1">
      <c r="A9" s="1279"/>
      <c r="B9" s="1279"/>
      <c r="C9" s="1279"/>
      <c r="D9" s="1279"/>
      <c r="E9" s="4075"/>
      <c r="F9" s="4075"/>
      <c r="G9" s="4075"/>
      <c r="H9" s="4075"/>
      <c r="I9" s="4095"/>
      <c r="J9" s="4072"/>
      <c r="K9" s="1279"/>
      <c r="L9" s="1280"/>
      <c r="P9" s="4073"/>
      <c r="Q9" s="4073"/>
      <c r="R9" s="281"/>
      <c r="S9" s="1198"/>
      <c r="T9" s="206" t="s">
        <v>477</v>
      </c>
      <c r="U9" s="295"/>
      <c r="V9" s="295"/>
      <c r="W9" s="295"/>
      <c r="X9" s="295"/>
      <c r="Y9" s="295"/>
      <c r="Z9" s="295"/>
      <c r="AA9" s="295"/>
      <c r="AB9" s="295"/>
      <c r="AC9" s="295"/>
      <c r="AD9" s="295"/>
      <c r="AE9" s="295"/>
      <c r="AF9" s="295"/>
      <c r="AG9" s="295"/>
      <c r="AH9" s="295"/>
      <c r="AI9" s="295"/>
      <c r="AJ9" s="295"/>
      <c r="AK9" s="1177" t="s">
        <v>478</v>
      </c>
      <c r="AM9" s="426"/>
      <c r="AN9" s="426" t="str">
        <f t="shared" si="0"/>
        <v>Добавить значение признака дифференциации</v>
      </c>
      <c r="AO9" s="426"/>
      <c r="AP9" s="426"/>
    </row>
    <row r="10" spans="1:42" ht="21" hidden="1" customHeight="1">
      <c r="A10" s="1279"/>
      <c r="B10" s="1279"/>
      <c r="C10" s="1279"/>
      <c r="D10" s="1279"/>
      <c r="E10" s="4075"/>
      <c r="F10" s="4075"/>
      <c r="G10" s="4075"/>
      <c r="H10" s="4075"/>
      <c r="I10" s="4072"/>
      <c r="J10" s="1279"/>
      <c r="K10" s="1279"/>
      <c r="L10" s="1280"/>
      <c r="P10" s="4073"/>
      <c r="Q10" s="1391"/>
      <c r="R10" s="281"/>
      <c r="S10" s="1198"/>
      <c r="T10" s="292" t="s">
        <v>404</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4075"/>
      <c r="F11" s="4075"/>
      <c r="G11" s="4075"/>
      <c r="H11" s="4074"/>
      <c r="I11" s="1279"/>
      <c r="J11" s="1279"/>
      <c r="K11" s="1279"/>
      <c r="L11" s="1280"/>
      <c r="M11" s="1281"/>
      <c r="N11" s="1281"/>
      <c r="O11" s="462"/>
      <c r="P11" s="285"/>
      <c r="Q11" s="304"/>
      <c r="R11" s="280"/>
      <c r="S11" s="1198"/>
      <c r="T11" s="300" t="s">
        <v>479</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2550" customFormat="1" ht="14.25" hidden="1" customHeight="1">
      <c r="A12" s="1260"/>
      <c r="B12" s="1260"/>
      <c r="C12" s="1232"/>
      <c r="D12" s="1232"/>
      <c r="E12" s="4075"/>
      <c r="F12" s="4074"/>
      <c r="G12" s="1232"/>
      <c r="H12" s="1232"/>
      <c r="I12" s="1232"/>
      <c r="J12" s="1232"/>
      <c r="K12" s="1232"/>
      <c r="L12" s="1404"/>
      <c r="M12" s="1239"/>
      <c r="N12" s="1239"/>
      <c r="P12" s="1234"/>
      <c r="Q12" s="1235"/>
      <c r="R12" s="1234"/>
      <c r="S12" s="1240"/>
      <c r="T12" s="1243" t="s">
        <v>167</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1" customFormat="1" ht="14.25" hidden="1" customHeight="1">
      <c r="A13" s="1260"/>
      <c r="B13" s="1260"/>
      <c r="C13" s="1260"/>
      <c r="D13" s="1260"/>
      <c r="E13" s="4074"/>
      <c r="F13" s="1260"/>
      <c r="G13" s="1260"/>
      <c r="H13" s="1260"/>
      <c r="I13" s="1260"/>
      <c r="J13" s="1260"/>
      <c r="K13" s="1260"/>
      <c r="L13" s="1263"/>
      <c r="M13" s="1239"/>
      <c r="N13" s="1239"/>
      <c r="O13" s="444"/>
      <c r="P13" s="313"/>
      <c r="Q13" s="1261"/>
      <c r="R13" s="313"/>
      <c r="S13" s="1240"/>
      <c r="T13" s="1243" t="s">
        <v>168</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4079"/>
      <c r="AG15" s="4080" t="s">
        <v>65</v>
      </c>
      <c r="AH15" s="4079"/>
      <c r="AI15" s="4080" t="s">
        <v>65</v>
      </c>
    </row>
    <row r="16" spans="1:42" ht="14.25" hidden="1" customHeight="1">
      <c r="AC16" s="1276"/>
      <c r="AD16" s="1276"/>
      <c r="AE16" s="255" t="str">
        <f>AF15&amp;"-"&amp;AH15</f>
        <v>-</v>
      </c>
      <c r="AF16" s="4080"/>
      <c r="AG16" s="4080"/>
      <c r="AH16" s="4080"/>
      <c r="AI16" s="4080"/>
    </row>
    <row r="17" spans="1:42" ht="14.25" hidden="1" customHeight="1">
      <c r="AI17" s="254"/>
    </row>
    <row r="18" spans="1:42" s="2553" customFormat="1" ht="22.5" hidden="1" customHeight="1">
      <c r="L18" s="1388"/>
      <c r="M18" s="1278"/>
      <c r="N18" s="1278"/>
      <c r="O18" s="1283" t="s">
        <v>406</v>
      </c>
      <c r="P18" s="1278"/>
      <c r="Q18" s="1287"/>
      <c r="R18" s="1287"/>
      <c r="S18" s="648"/>
      <c r="Y18" s="1283"/>
      <c r="AA18" s="1283"/>
      <c r="AB18" s="1282"/>
      <c r="AF18" s="1283"/>
      <c r="AH18" s="1283"/>
      <c r="AI18" s="1282"/>
      <c r="AL18" s="437"/>
      <c r="AM18" s="437"/>
      <c r="AN18" s="437"/>
      <c r="AO18" s="437"/>
      <c r="AP18" s="437"/>
    </row>
    <row r="19" spans="1:42" s="2553" customFormat="1" ht="14.25" hidden="1" customHeight="1">
      <c r="L19" s="1388"/>
      <c r="M19" s="1278"/>
      <c r="N19" s="1278"/>
      <c r="O19" s="1278"/>
      <c r="P19" s="1278"/>
      <c r="Q19" s="1287"/>
      <c r="R19" s="1287"/>
      <c r="S19" s="648"/>
      <c r="AB19" s="1282"/>
      <c r="AI19" s="1282"/>
      <c r="AL19" s="437"/>
      <c r="AM19" s="437"/>
      <c r="AN19" s="437"/>
      <c r="AO19" s="437"/>
      <c r="AP19" s="437"/>
    </row>
    <row r="20" spans="1:42" s="2553" customFormat="1" ht="12" hidden="1" customHeight="1">
      <c r="L20" s="1388"/>
      <c r="M20" s="1278"/>
      <c r="N20" s="1278"/>
      <c r="O20" s="1280" t="s">
        <v>407</v>
      </c>
      <c r="P20" s="1278"/>
      <c r="Q20" s="1356"/>
      <c r="R20" s="1356"/>
      <c r="S20" s="648"/>
      <c r="T20" s="1060" t="s">
        <v>408</v>
      </c>
      <c r="Z20" s="107" t="s">
        <v>409</v>
      </c>
      <c r="AB20" s="107" t="s">
        <v>410</v>
      </c>
      <c r="AC20" s="1060" t="s">
        <v>408</v>
      </c>
      <c r="AG20" s="107" t="s">
        <v>411</v>
      </c>
      <c r="AI20" s="107" t="s">
        <v>410</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9.25" customHeight="1">
      <c r="Q24" s="305"/>
      <c r="R24" s="305"/>
      <c r="S24" s="405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4058"/>
      <c r="U24" s="4058"/>
      <c r="V24" s="4058"/>
      <c r="W24" s="4058"/>
      <c r="X24" s="4058"/>
      <c r="Y24" s="4058"/>
      <c r="Z24" s="4058"/>
      <c r="AA24" s="4058"/>
      <c r="AB24" s="4058"/>
      <c r="AC24" s="4058"/>
      <c r="AD24" s="4058"/>
      <c r="AE24" s="4058"/>
      <c r="AF24" s="4058"/>
      <c r="AG24" s="4058"/>
      <c r="AH24" s="4058"/>
      <c r="AI24" s="1152"/>
    </row>
    <row r="25" spans="1:42" ht="14.25" customHeight="1">
      <c r="Q25" s="305"/>
      <c r="R25" s="305"/>
      <c r="S25" s="4004" t="str">
        <f>IF(org=0,"Не определено",org)</f>
        <v>ООО «РИР-Сахалин»</v>
      </c>
      <c r="T25" s="4004"/>
      <c r="U25" s="4004"/>
      <c r="V25" s="4004"/>
      <c r="W25" s="4004"/>
      <c r="X25" s="4004"/>
      <c r="Y25" s="4004"/>
      <c r="Z25" s="4004"/>
      <c r="AA25" s="4004"/>
      <c r="AB25" s="4004"/>
      <c r="AC25" s="4004"/>
      <c r="AD25" s="4004"/>
      <c r="AE25" s="4004"/>
      <c r="AF25" s="4004"/>
      <c r="AG25" s="4004"/>
      <c r="AH25" s="4004"/>
      <c r="AI25" s="1152"/>
    </row>
    <row r="26" spans="1:42" ht="14.25" hidden="1"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2564" customFormat="1" ht="25.5" hidden="1" customHeight="1">
      <c r="A27" s="1284"/>
      <c r="B27" s="1284"/>
      <c r="C27" s="1284"/>
      <c r="D27" s="1284"/>
      <c r="E27" s="1284"/>
      <c r="F27" s="1284"/>
      <c r="G27" s="1284"/>
      <c r="H27" s="1284"/>
      <c r="I27" s="1284"/>
      <c r="J27" s="1284"/>
      <c r="K27" s="1284"/>
      <c r="L27" s="1285"/>
      <c r="M27" s="1284"/>
      <c r="N27" s="1284"/>
      <c r="O27" s="1284"/>
      <c r="S27" s="4066" t="s">
        <v>38</v>
      </c>
      <c r="T27" s="4066"/>
      <c r="U27" s="1288"/>
      <c r="V27" s="4067" t="str">
        <f>IF(TITLE_NAME_OR_PR_CHANGE="",IF(TITLE_NAME_OR_PR="","",TITLE_NAME_OR_PR),TITLE_NAME_OR_PR_CHANGE)</f>
        <v/>
      </c>
      <c r="W27" s="4067"/>
      <c r="X27" s="4067"/>
      <c r="Y27" s="4067"/>
      <c r="Z27" s="4067"/>
      <c r="AA27" s="4067"/>
      <c r="AB27" s="253"/>
      <c r="AC27" s="4067" t="str">
        <f>IF(TITLE_NAME_OR_PR_CHANGE="",IF(TITLE_NAME_OR_PR="","",TITLE_NAME_OR_PR),TITLE_NAME_OR_PR_CHANGE)</f>
        <v/>
      </c>
      <c r="AD27" s="4067"/>
      <c r="AE27" s="4067"/>
      <c r="AF27" s="4067"/>
      <c r="AG27" s="4067"/>
      <c r="AH27" s="4067"/>
      <c r="AI27" s="253"/>
      <c r="AJ27" s="253"/>
      <c r="AK27" s="200"/>
      <c r="AL27" s="296"/>
      <c r="AM27" s="296"/>
      <c r="AN27" s="296"/>
      <c r="AO27" s="296"/>
      <c r="AP27" s="296"/>
    </row>
    <row r="28" spans="1:42" s="2564" customFormat="1" ht="18.75" hidden="1" customHeight="1">
      <c r="A28" s="1284"/>
      <c r="B28" s="1284"/>
      <c r="C28" s="1284"/>
      <c r="D28" s="1284"/>
      <c r="E28" s="1284"/>
      <c r="F28" s="1284"/>
      <c r="G28" s="1284"/>
      <c r="H28" s="1284"/>
      <c r="I28" s="1284"/>
      <c r="J28" s="1284"/>
      <c r="K28" s="1284"/>
      <c r="L28" s="1285"/>
      <c r="M28" s="1284"/>
      <c r="N28" s="1284"/>
      <c r="O28" s="1284"/>
      <c r="S28" s="4066" t="s">
        <v>412</v>
      </c>
      <c r="T28" s="4066"/>
      <c r="U28" s="1288"/>
      <c r="V28" s="4076">
        <f>IF(TITLE_DATE_PR_CHANGE="",IF(TITLE_DATE_PR="","",TITLE_DATE_PR),TITLE_DATE_PR_CHANGE)</f>
        <v>45289.465104166666</v>
      </c>
      <c r="W28" s="4076"/>
      <c r="X28" s="4076"/>
      <c r="Y28" s="4076"/>
      <c r="Z28" s="4076"/>
      <c r="AA28" s="4076"/>
      <c r="AB28" s="253"/>
      <c r="AC28" s="4076">
        <f>IF(TITLE_DATE_PR_CHANGE="",IF(TITLE_DATE_PR="","",TITLE_DATE_PR),TITLE_DATE_PR_CHANGE)</f>
        <v>45289.465104166666</v>
      </c>
      <c r="AD28" s="4076"/>
      <c r="AE28" s="4076"/>
      <c r="AF28" s="4076"/>
      <c r="AG28" s="4076"/>
      <c r="AH28" s="4076"/>
      <c r="AI28" s="253"/>
      <c r="AJ28" s="253"/>
      <c r="AK28" s="200"/>
      <c r="AL28" s="296"/>
      <c r="AM28" s="296"/>
      <c r="AN28" s="296"/>
      <c r="AO28" s="296"/>
      <c r="AP28" s="296"/>
    </row>
    <row r="29" spans="1:42" s="2564" customFormat="1" ht="18.75" hidden="1" customHeight="1">
      <c r="A29" s="1284"/>
      <c r="B29" s="1284"/>
      <c r="C29" s="1284"/>
      <c r="D29" s="1284"/>
      <c r="E29" s="1284"/>
      <c r="F29" s="1284"/>
      <c r="G29" s="1284"/>
      <c r="H29" s="1284"/>
      <c r="I29" s="1284"/>
      <c r="J29" s="1284"/>
      <c r="K29" s="1284"/>
      <c r="L29" s="1285"/>
      <c r="M29" s="1284"/>
      <c r="N29" s="1284"/>
      <c r="O29" s="1284"/>
      <c r="S29" s="4066" t="s">
        <v>413</v>
      </c>
      <c r="T29" s="4066"/>
      <c r="U29" s="1288"/>
      <c r="V29" s="4067" t="str">
        <f>IF(TITLE_NUMBER_PR_CHANGE="",IF(TITLE_NUMBER_PR="","",TITLE_NUMBER_PR),TITLE_NUMBER_PR_CHANGE)</f>
        <v>761-1/201-1</v>
      </c>
      <c r="W29" s="4067"/>
      <c r="X29" s="4067"/>
      <c r="Y29" s="4067"/>
      <c r="Z29" s="4067"/>
      <c r="AA29" s="4067"/>
      <c r="AB29" s="253"/>
      <c r="AC29" s="4067" t="str">
        <f>IF(TITLE_NUMBER_PR_CHANGE="",IF(TITLE_NUMBER_PR="","",TITLE_NUMBER_PR),TITLE_NUMBER_PR_CHANGE)</f>
        <v>761-1/201-1</v>
      </c>
      <c r="AD29" s="4067"/>
      <c r="AE29" s="4067"/>
      <c r="AF29" s="4067"/>
      <c r="AG29" s="4067"/>
      <c r="AH29" s="4067"/>
      <c r="AI29" s="253"/>
      <c r="AJ29" s="253"/>
      <c r="AK29" s="200"/>
      <c r="AL29" s="296"/>
      <c r="AM29" s="296"/>
      <c r="AN29" s="296"/>
      <c r="AO29" s="296"/>
      <c r="AP29" s="296"/>
    </row>
    <row r="30" spans="1:42" s="2564" customFormat="1" ht="18.75" hidden="1" customHeight="1">
      <c r="A30" s="1284"/>
      <c r="B30" s="1284"/>
      <c r="C30" s="1284"/>
      <c r="D30" s="1284"/>
      <c r="E30" s="1284"/>
      <c r="F30" s="1284"/>
      <c r="G30" s="1284"/>
      <c r="H30" s="1284"/>
      <c r="I30" s="1284"/>
      <c r="J30" s="1284"/>
      <c r="K30" s="1284"/>
      <c r="L30" s="1285"/>
      <c r="M30" s="1284"/>
      <c r="N30" s="1284"/>
      <c r="O30" s="1284"/>
      <c r="S30" s="4066" t="s">
        <v>39</v>
      </c>
      <c r="T30" s="4066"/>
      <c r="U30" s="1288"/>
      <c r="V30" s="4067" t="str">
        <f>IF(TITLE_IST_PUB_CHANGE="",IF(TITLE_IST_PUB="","",TITLE_IST_PUB),TITLE_IST_PUB_CHANGE)</f>
        <v/>
      </c>
      <c r="W30" s="4067"/>
      <c r="X30" s="4067"/>
      <c r="Y30" s="4067"/>
      <c r="Z30" s="4067"/>
      <c r="AA30" s="4067"/>
      <c r="AB30" s="253"/>
      <c r="AC30" s="4067" t="str">
        <f>IF(TITLE_IST_PUB_CHANGE="",IF(TITLE_IST_PUB="","",TITLE_IST_PUB),TITLE_IST_PUB_CHANGE)</f>
        <v/>
      </c>
      <c r="AD30" s="4067"/>
      <c r="AE30" s="4067"/>
      <c r="AF30" s="4067"/>
      <c r="AG30" s="4067"/>
      <c r="AH30" s="4067"/>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2564" customFormat="1" ht="18.75" customHeight="1">
      <c r="A32" s="1284"/>
      <c r="B32" s="1284"/>
      <c r="C32" s="1284"/>
      <c r="D32" s="1284"/>
      <c r="E32" s="1284"/>
      <c r="F32" s="1284"/>
      <c r="G32" s="1284"/>
      <c r="H32" s="1284"/>
      <c r="I32" s="1284"/>
      <c r="J32" s="1284"/>
      <c r="K32" s="1284"/>
      <c r="L32" s="1285"/>
      <c r="M32" s="1284"/>
      <c r="N32" s="1284"/>
      <c r="O32" s="1284"/>
      <c r="S32" s="4066" t="s">
        <v>414</v>
      </c>
      <c r="T32" s="4066"/>
      <c r="U32" s="1288"/>
      <c r="V32" s="4076">
        <f>IF(TITLE_DATE_PR_CHANGE="",IF(TITLE_DATE_PR="","",TITLE_DATE_PR),TITLE_DATE_PR_CHANGE)</f>
        <v>45289.465104166666</v>
      </c>
      <c r="W32" s="4076"/>
      <c r="X32" s="4076"/>
      <c r="Y32" s="4076"/>
      <c r="Z32" s="4076"/>
      <c r="AA32" s="4076"/>
      <c r="AB32" s="253"/>
      <c r="AC32" s="4076">
        <f>IF(TITLE_DATE_PR_CHANGE="",IF(TITLE_DATE_PR="","",TITLE_DATE_PR),TITLE_DATE_PR_CHANGE)</f>
        <v>45289.465104166666</v>
      </c>
      <c r="AD32" s="4076"/>
      <c r="AE32" s="4076"/>
      <c r="AF32" s="4076"/>
      <c r="AG32" s="4076"/>
      <c r="AH32" s="4076"/>
      <c r="AI32" s="253"/>
      <c r="AJ32" s="253"/>
      <c r="AK32" s="200"/>
      <c r="AL32" s="296"/>
      <c r="AM32" s="296"/>
      <c r="AN32" s="296"/>
      <c r="AO32" s="296"/>
      <c r="AP32" s="296"/>
    </row>
    <row r="33" spans="1:42" s="2564" customFormat="1" ht="18.75" customHeight="1">
      <c r="A33" s="1284"/>
      <c r="B33" s="1284"/>
      <c r="C33" s="1284"/>
      <c r="D33" s="1284"/>
      <c r="E33" s="1284"/>
      <c r="F33" s="1284"/>
      <c r="G33" s="1284"/>
      <c r="H33" s="1284"/>
      <c r="I33" s="1284"/>
      <c r="J33" s="1284"/>
      <c r="K33" s="1284"/>
      <c r="L33" s="1285"/>
      <c r="M33" s="1284"/>
      <c r="N33" s="1284"/>
      <c r="O33" s="1284"/>
      <c r="S33" s="4066" t="s">
        <v>415</v>
      </c>
      <c r="T33" s="4066"/>
      <c r="U33" s="1288"/>
      <c r="V33" s="4067" t="str">
        <f>IF(TITLE_NUMBER_PR_CHANGE="",IF(TITLE_NUMBER_PR="","",TITLE_NUMBER_PR),TITLE_NUMBER_PR_CHANGE)</f>
        <v>761-1/201-1</v>
      </c>
      <c r="W33" s="4067"/>
      <c r="X33" s="4067"/>
      <c r="Y33" s="4067"/>
      <c r="Z33" s="4067"/>
      <c r="AA33" s="4067"/>
      <c r="AB33" s="253"/>
      <c r="AC33" s="4067" t="str">
        <f>IF(TITLE_NUMBER_PR_CHANGE="",IF(TITLE_NUMBER_PR="","",TITLE_NUMBER_PR),TITLE_NUMBER_PR_CHANGE)</f>
        <v>761-1/201-1</v>
      </c>
      <c r="AD33" s="4067"/>
      <c r="AE33" s="4067"/>
      <c r="AF33" s="4067"/>
      <c r="AG33" s="4067"/>
      <c r="AH33" s="4067"/>
      <c r="AI33" s="253"/>
      <c r="AJ33" s="253"/>
      <c r="AK33" s="200"/>
      <c r="AL33" s="296"/>
      <c r="AM33" s="296"/>
      <c r="AN33" s="296"/>
      <c r="AO33" s="296"/>
      <c r="AP33" s="296"/>
    </row>
    <row r="34" spans="1:42" s="2564"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416</v>
      </c>
      <c r="AC34" s="253"/>
      <c r="AD34" s="253"/>
      <c r="AE34" s="253"/>
      <c r="AF34" s="253"/>
      <c r="AG34" s="253"/>
      <c r="AH34" s="253"/>
      <c r="AI34" s="198" t="s">
        <v>416</v>
      </c>
      <c r="AL34" s="296"/>
      <c r="AM34" s="296"/>
      <c r="AN34" s="296"/>
      <c r="AO34" s="296"/>
      <c r="AP34" s="296"/>
    </row>
    <row r="35" spans="1:42" ht="14.25" customHeight="1">
      <c r="Q35" s="305"/>
      <c r="R35" s="305"/>
      <c r="S35" s="1195"/>
      <c r="T35" s="290"/>
      <c r="U35" s="1153"/>
      <c r="V35" s="4068"/>
      <c r="W35" s="4068"/>
      <c r="X35" s="4068"/>
      <c r="Y35" s="4068"/>
      <c r="Z35" s="4068"/>
      <c r="AA35" s="4068"/>
      <c r="AB35" s="4068"/>
      <c r="AC35" s="4068"/>
      <c r="AD35" s="4068"/>
      <c r="AE35" s="4068"/>
      <c r="AF35" s="4068"/>
      <c r="AG35" s="4068"/>
      <c r="AH35" s="4068"/>
      <c r="AI35" s="4068"/>
    </row>
    <row r="36" spans="1:42" ht="14.25" customHeight="1">
      <c r="Q36" s="305"/>
      <c r="R36" s="305"/>
      <c r="S36" s="3946" t="s">
        <v>290</v>
      </c>
      <c r="T36" s="3946"/>
      <c r="U36" s="3946"/>
      <c r="V36" s="3946"/>
      <c r="W36" s="3946"/>
      <c r="X36" s="3946"/>
      <c r="Y36" s="3946"/>
      <c r="Z36" s="3946"/>
      <c r="AA36" s="3946"/>
      <c r="AB36" s="3946"/>
      <c r="AC36" s="3946"/>
      <c r="AD36" s="3946"/>
      <c r="AE36" s="3946"/>
      <c r="AF36" s="3946"/>
      <c r="AG36" s="3946"/>
      <c r="AH36" s="3946"/>
      <c r="AI36" s="3946"/>
      <c r="AJ36" s="3946"/>
      <c r="AK36" s="3946" t="s">
        <v>291</v>
      </c>
    </row>
    <row r="37" spans="1:42" ht="14.25" customHeight="1">
      <c r="Q37" s="305"/>
      <c r="R37" s="305"/>
      <c r="S37" s="4082" t="s">
        <v>86</v>
      </c>
      <c r="T37" s="4033" t="s">
        <v>418</v>
      </c>
      <c r="U37" s="220"/>
      <c r="V37" s="4083" t="s">
        <v>419</v>
      </c>
      <c r="W37" s="4084"/>
      <c r="X37" s="4084"/>
      <c r="Y37" s="4084"/>
      <c r="Z37" s="4084"/>
      <c r="AA37" s="4085"/>
      <c r="AB37" s="4086" t="s">
        <v>420</v>
      </c>
      <c r="AC37" s="4083" t="s">
        <v>419</v>
      </c>
      <c r="AD37" s="4084"/>
      <c r="AE37" s="4084"/>
      <c r="AF37" s="4084"/>
      <c r="AG37" s="4084"/>
      <c r="AH37" s="4085"/>
      <c r="AI37" s="4086" t="s">
        <v>421</v>
      </c>
      <c r="AJ37" s="4089" t="s">
        <v>422</v>
      </c>
      <c r="AK37" s="3946"/>
    </row>
    <row r="38" spans="1:42" ht="33.75" customHeight="1">
      <c r="Q38" s="305"/>
      <c r="R38" s="305"/>
      <c r="S38" s="4082"/>
      <c r="T38" s="4033"/>
      <c r="U38" s="938"/>
      <c r="V38" s="1393" t="s">
        <v>521</v>
      </c>
      <c r="W38" s="3918" t="s">
        <v>522</v>
      </c>
      <c r="X38" s="3917"/>
      <c r="Y38" s="3918" t="s">
        <v>426</v>
      </c>
      <c r="Z38" s="3923"/>
      <c r="AA38" s="3917"/>
      <c r="AB38" s="4087"/>
      <c r="AC38" s="1393" t="s">
        <v>521</v>
      </c>
      <c r="AD38" s="3918" t="s">
        <v>522</v>
      </c>
      <c r="AE38" s="3917"/>
      <c r="AF38" s="3918" t="s">
        <v>426</v>
      </c>
      <c r="AG38" s="3923"/>
      <c r="AH38" s="3917"/>
      <c r="AI38" s="4087"/>
      <c r="AJ38" s="4090"/>
      <c r="AK38" s="3946"/>
    </row>
    <row r="39" spans="1:42" ht="86.25" customHeight="1">
      <c r="A39" s="1286"/>
      <c r="B39" s="1286" t="s">
        <v>133</v>
      </c>
      <c r="C39" s="1286" t="s">
        <v>134</v>
      </c>
      <c r="D39" s="1286" t="s">
        <v>135</v>
      </c>
      <c r="E39" s="1280" t="s">
        <v>427</v>
      </c>
      <c r="F39" s="1280" t="s">
        <v>428</v>
      </c>
      <c r="G39" s="1280" t="s">
        <v>429</v>
      </c>
      <c r="H39" s="1280"/>
      <c r="I39" s="1280" t="s">
        <v>481</v>
      </c>
      <c r="J39" s="1280" t="s">
        <v>432</v>
      </c>
      <c r="K39" s="1280" t="s">
        <v>482</v>
      </c>
      <c r="L39" s="1280" t="s">
        <v>407</v>
      </c>
      <c r="Q39" s="305"/>
      <c r="R39" s="305"/>
      <c r="S39" s="4082"/>
      <c r="T39" s="4033"/>
      <c r="U39" s="221"/>
      <c r="V39" s="1393" t="s">
        <v>523</v>
      </c>
      <c r="W39" s="1128" t="s">
        <v>524</v>
      </c>
      <c r="X39" s="1128" t="s">
        <v>525</v>
      </c>
      <c r="Y39" s="1399" t="s">
        <v>436</v>
      </c>
      <c r="Z39" s="4042" t="s">
        <v>437</v>
      </c>
      <c r="AA39" s="4044"/>
      <c r="AB39" s="4088"/>
      <c r="AC39" s="1393" t="s">
        <v>523</v>
      </c>
      <c r="AD39" s="1128" t="s">
        <v>524</v>
      </c>
      <c r="AE39" s="1128" t="s">
        <v>525</v>
      </c>
      <c r="AF39" s="1399" t="s">
        <v>436</v>
      </c>
      <c r="AG39" s="4042" t="s">
        <v>437</v>
      </c>
      <c r="AH39" s="4044"/>
      <c r="AI39" s="4088"/>
      <c r="AJ39" s="4091"/>
      <c r="AK39" s="3946"/>
    </row>
    <row r="40" spans="1:42" s="1820"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107</v>
      </c>
      <c r="T40" s="1172" t="s">
        <v>108</v>
      </c>
      <c r="U40" s="1154" t="str">
        <f ca="1">OFFSET(U40,0,-1)</f>
        <v>2</v>
      </c>
      <c r="V40" s="1392">
        <f ca="1">OFFSET(V40,0,-1)+1</f>
        <v>3</v>
      </c>
      <c r="W40" s="1392">
        <f ca="1">OFFSET(W40,0,-1)+1</f>
        <v>4</v>
      </c>
      <c r="X40" s="1392">
        <f ca="1">OFFSET(X40,0,-1)+1</f>
        <v>5</v>
      </c>
      <c r="Y40" s="1392">
        <f ca="1">OFFSET(Y40,0,-1)+1</f>
        <v>6</v>
      </c>
      <c r="Z40" s="4081">
        <f ca="1">OFFSET(Z40,0,-1)+1</f>
        <v>7</v>
      </c>
      <c r="AA40" s="4081"/>
      <c r="AB40" s="1392">
        <f ca="1">OFFSET(AB40,0,-2)+1</f>
        <v>8</v>
      </c>
      <c r="AC40" s="1392">
        <f ca="1">OFFSET(AC40,0,-1)+1</f>
        <v>9</v>
      </c>
      <c r="AD40" s="1392">
        <f ca="1">OFFSET(AD40,0,-1)+1</f>
        <v>10</v>
      </c>
      <c r="AE40" s="1392">
        <f ca="1">OFFSET(AE40,0,-1)+1</f>
        <v>11</v>
      </c>
      <c r="AF40" s="1392">
        <f ca="1">OFFSET(AF40,0,-1)+1</f>
        <v>12</v>
      </c>
      <c r="AG40" s="4081">
        <f ca="1">OFFSET(AG40,0,-1)+1</f>
        <v>13</v>
      </c>
      <c r="AH40" s="4081"/>
      <c r="AI40" s="1392">
        <f ca="1">OFFSET(AI40,0,-2)+1</f>
        <v>14</v>
      </c>
      <c r="AJ40" s="1154">
        <f ca="1">OFFSET(AJ40,0,-1)</f>
        <v>14</v>
      </c>
      <c r="AK40" s="1392">
        <f ca="1">OFFSET(AK40,0,-1)+1</f>
        <v>15</v>
      </c>
      <c r="AL40" s="437"/>
      <c r="AM40" s="437"/>
      <c r="AN40" s="437"/>
      <c r="AO40" s="437"/>
      <c r="AP40" s="437"/>
    </row>
    <row r="41" spans="1:42" ht="23.25" customHeight="1">
      <c r="A41" s="1279" t="s">
        <v>241</v>
      </c>
      <c r="B41" s="1279"/>
      <c r="C41" s="1279"/>
      <c r="D41" s="1279"/>
      <c r="E41" s="4074">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121</v>
      </c>
      <c r="U41" s="219"/>
      <c r="V41" s="4060"/>
      <c r="W41" s="4061"/>
      <c r="X41" s="4061"/>
      <c r="Y41" s="4061"/>
      <c r="Z41" s="4061"/>
      <c r="AA41" s="4061"/>
      <c r="AB41" s="4062"/>
      <c r="AC41" s="4060" t="str">
        <f>INDEX(PT_DIFFERENTIATION_NTAR,MATCH(A41,PT_DIFFERENTIATION_NTAR_ID,0))</f>
        <v/>
      </c>
      <c r="AD41" s="4061"/>
      <c r="AE41" s="4061"/>
      <c r="AF41" s="4061"/>
      <c r="AG41" s="4061"/>
      <c r="AH41" s="4061"/>
      <c r="AI41" s="4061"/>
      <c r="AJ41" s="4062"/>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241</v>
      </c>
      <c r="B42" s="1279" t="s">
        <v>242</v>
      </c>
      <c r="C42" s="1279"/>
      <c r="D42" s="1279"/>
      <c r="E42" s="4075"/>
      <c r="F42" s="4074">
        <v>1</v>
      </c>
      <c r="G42" s="1279"/>
      <c r="H42" s="1279"/>
      <c r="I42" s="1279"/>
      <c r="J42" s="1279"/>
      <c r="K42" s="1279"/>
      <c r="L42" s="1280"/>
      <c r="M42" s="1281"/>
      <c r="N42" s="1281"/>
      <c r="O42" s="1281"/>
      <c r="P42" s="1397"/>
      <c r="Q42" s="277"/>
      <c r="R42" s="278"/>
      <c r="S42" s="1403" t="str">
        <f>INDEX(PT_DIFFERENTIATION_NUM_TER,MATCH(B42,PT_DIFFERENTIATION_TER_ID,0))</f>
        <v>.</v>
      </c>
      <c r="T42" s="229" t="s">
        <v>389</v>
      </c>
      <c r="U42" s="219"/>
      <c r="V42" s="4060"/>
      <c r="W42" s="4061"/>
      <c r="X42" s="4061"/>
      <c r="Y42" s="4061"/>
      <c r="Z42" s="4061"/>
      <c r="AA42" s="4061"/>
      <c r="AB42" s="4062"/>
      <c r="AC42" s="4060" t="str">
        <f>INDEX(PT_DIFFERENTIATION_TER,MATCH(B42,PT_DIFFERENTIATION_TER_ID,0))</f>
        <v/>
      </c>
      <c r="AD42" s="4061"/>
      <c r="AE42" s="4061"/>
      <c r="AF42" s="4061"/>
      <c r="AG42" s="4061"/>
      <c r="AH42" s="4061"/>
      <c r="AI42" s="4061"/>
      <c r="AJ42" s="4062"/>
      <c r="AK42" s="1177" t="s">
        <v>390</v>
      </c>
      <c r="AM42" s="426"/>
      <c r="AN42" s="426" t="str">
        <f t="shared" si="1"/>
        <v>Территория действия тарифа</v>
      </c>
      <c r="AO42" s="426"/>
      <c r="AP42" s="426"/>
    </row>
    <row r="43" spans="1:42" ht="23.25" customHeight="1">
      <c r="A43" s="1279" t="s">
        <v>241</v>
      </c>
      <c r="B43" s="1279" t="s">
        <v>242</v>
      </c>
      <c r="C43" s="1279" t="s">
        <v>243</v>
      </c>
      <c r="D43" s="1279"/>
      <c r="E43" s="4075"/>
      <c r="F43" s="4075"/>
      <c r="G43" s="4074">
        <v>1</v>
      </c>
      <c r="H43" s="1279"/>
      <c r="I43" s="1279"/>
      <c r="J43" s="1279"/>
      <c r="K43" s="1279"/>
      <c r="L43" s="1280"/>
      <c r="M43" s="1281"/>
      <c r="N43" s="1281"/>
      <c r="O43" s="1281"/>
      <c r="P43" s="279"/>
      <c r="Q43" s="277"/>
      <c r="R43" s="278"/>
      <c r="S43" s="1403" t="str">
        <f>INDEX(PT_DIFFERENTIATION_NUM_CS,MATCH(C43,PT_DIFFERENTIATION_CS_ID,0))</f>
        <v>..</v>
      </c>
      <c r="T43" s="230" t="s">
        <v>519</v>
      </c>
      <c r="U43" s="219"/>
      <c r="V43" s="4060"/>
      <c r="W43" s="4061"/>
      <c r="X43" s="4061"/>
      <c r="Y43" s="4061"/>
      <c r="Z43" s="4061"/>
      <c r="AA43" s="4061"/>
      <c r="AB43" s="4062"/>
      <c r="AC43" s="4060" t="str">
        <f>INDEX(PT_DIFFERENTIATION_CS,MATCH(C43,PT_DIFFERENTIATION_CS_ID,0))</f>
        <v/>
      </c>
      <c r="AD43" s="4061"/>
      <c r="AE43" s="4061"/>
      <c r="AF43" s="4061"/>
      <c r="AG43" s="4061"/>
      <c r="AH43" s="4061"/>
      <c r="AI43" s="4061"/>
      <c r="AJ43" s="4062"/>
      <c r="AK43" s="1177" t="s">
        <v>520</v>
      </c>
      <c r="AM43" s="426"/>
      <c r="AN43" s="426" t="str">
        <f t="shared" si="1"/>
        <v>Наименование централизованной системы горячего водоснабжения</v>
      </c>
      <c r="AO43" s="426"/>
      <c r="AP43" s="426"/>
    </row>
    <row r="44" spans="1:42" ht="23.25" customHeight="1">
      <c r="A44" s="1279" t="s">
        <v>241</v>
      </c>
      <c r="B44" s="1279" t="s">
        <v>242</v>
      </c>
      <c r="C44" s="1279" t="s">
        <v>243</v>
      </c>
      <c r="D44" s="1279" t="s">
        <v>526</v>
      </c>
      <c r="E44" s="4075"/>
      <c r="F44" s="4075"/>
      <c r="G44" s="4075"/>
      <c r="H44" s="4075"/>
      <c r="I44" s="4072" t="str">
        <f>S43&amp;".1"</f>
        <v>...1</v>
      </c>
      <c r="J44" s="1279"/>
      <c r="K44" s="1279"/>
      <c r="L44" s="1280"/>
      <c r="P44" s="4073">
        <v>1</v>
      </c>
      <c r="Q44" s="1391"/>
      <c r="R44" s="281"/>
      <c r="S44" s="1403" t="str">
        <f>$I44</f>
        <v>...1</v>
      </c>
      <c r="T44" s="204" t="s">
        <v>474</v>
      </c>
      <c r="U44" s="219"/>
      <c r="V44" s="4133"/>
      <c r="W44" s="4134"/>
      <c r="X44" s="4134"/>
      <c r="Y44" s="4134"/>
      <c r="Z44" s="4134"/>
      <c r="AA44" s="4134"/>
      <c r="AB44" s="4135"/>
      <c r="AC44" s="4136"/>
      <c r="AD44" s="4137"/>
      <c r="AE44" s="4137"/>
      <c r="AF44" s="4137"/>
      <c r="AG44" s="4137"/>
      <c r="AH44" s="4137"/>
      <c r="AI44" s="4137"/>
      <c r="AJ44" s="4138"/>
      <c r="AK44" s="1177" t="s">
        <v>475</v>
      </c>
      <c r="AM44" s="426"/>
      <c r="AN44" s="426" t="str">
        <f t="shared" si="1"/>
        <v>Наименование признака дифференциации</v>
      </c>
      <c r="AO44" s="426"/>
      <c r="AP44" s="426"/>
    </row>
    <row r="45" spans="1:42" ht="23.25" customHeight="1">
      <c r="A45" s="1279" t="s">
        <v>241</v>
      </c>
      <c r="B45" s="1279" t="s">
        <v>242</v>
      </c>
      <c r="C45" s="1279" t="s">
        <v>243</v>
      </c>
      <c r="D45" s="1279" t="s">
        <v>526</v>
      </c>
      <c r="E45" s="4075"/>
      <c r="F45" s="4075"/>
      <c r="G45" s="4075"/>
      <c r="H45" s="4075"/>
      <c r="I45" s="4095"/>
      <c r="J45" s="4072" t="str">
        <f>I44&amp;".1"</f>
        <v>...1.1</v>
      </c>
      <c r="K45" s="1279"/>
      <c r="L45" s="1280" t="s">
        <v>398</v>
      </c>
      <c r="P45" s="4073"/>
      <c r="Q45" s="4073">
        <v>1</v>
      </c>
      <c r="R45" s="282"/>
      <c r="S45" s="1403" t="str">
        <f>$J45</f>
        <v>...1.1</v>
      </c>
      <c r="T45" s="205" t="s">
        <v>399</v>
      </c>
      <c r="U45" s="219"/>
      <c r="V45" s="4063"/>
      <c r="W45" s="4064"/>
      <c r="X45" s="4064"/>
      <c r="Y45" s="4064"/>
      <c r="Z45" s="4064"/>
      <c r="AA45" s="4064"/>
      <c r="AB45" s="4065"/>
      <c r="AC45" s="4063"/>
      <c r="AD45" s="4064"/>
      <c r="AE45" s="4064"/>
      <c r="AF45" s="4064"/>
      <c r="AG45" s="4064"/>
      <c r="AH45" s="4064"/>
      <c r="AI45" s="4064"/>
      <c r="AJ45" s="4065"/>
      <c r="AK45" s="1226" t="s">
        <v>476</v>
      </c>
      <c r="AM45" s="426"/>
      <c r="AN45" s="426" t="str">
        <f t="shared" si="1"/>
        <v>Группа потребителей</v>
      </c>
      <c r="AO45" s="426"/>
      <c r="AP45" s="426"/>
    </row>
    <row r="46" spans="1:42" ht="23.25" customHeight="1">
      <c r="A46" s="1279" t="s">
        <v>241</v>
      </c>
      <c r="B46" s="1279" t="s">
        <v>242</v>
      </c>
      <c r="C46" s="1279" t="s">
        <v>243</v>
      </c>
      <c r="D46" s="1279" t="s">
        <v>526</v>
      </c>
      <c r="E46" s="4075"/>
      <c r="F46" s="4075"/>
      <c r="G46" s="4075"/>
      <c r="H46" s="4075"/>
      <c r="I46" s="4095"/>
      <c r="J46" s="4095"/>
      <c r="K46" s="4072" t="str">
        <f>J45&amp;".1"</f>
        <v>...1.1.1</v>
      </c>
      <c r="L46" s="1280"/>
      <c r="P46" s="4073"/>
      <c r="Q46" s="4073"/>
      <c r="R46" s="282">
        <v>1</v>
      </c>
      <c r="S46" s="1403" t="str">
        <f>$K46</f>
        <v>...1.1.1</v>
      </c>
      <c r="T46" s="1352"/>
      <c r="U46" s="219"/>
      <c r="V46" s="1276"/>
      <c r="W46" s="1276"/>
      <c r="X46" s="1277"/>
      <c r="Y46" s="4079"/>
      <c r="Z46" s="4080" t="s">
        <v>65</v>
      </c>
      <c r="AA46" s="4079"/>
      <c r="AB46" s="4080" t="s">
        <v>65</v>
      </c>
      <c r="AC46" s="668"/>
      <c r="AD46" s="668"/>
      <c r="AE46" s="1176"/>
      <c r="AF46" s="4077"/>
      <c r="AG46" s="3927" t="s">
        <v>65</v>
      </c>
      <c r="AH46" s="4096"/>
      <c r="AI46" s="3927" t="s">
        <v>55</v>
      </c>
      <c r="AJ46" s="1353"/>
      <c r="AK46" s="41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241</v>
      </c>
      <c r="B47" s="1279" t="s">
        <v>242</v>
      </c>
      <c r="C47" s="1279" t="s">
        <v>243</v>
      </c>
      <c r="D47" s="1279" t="s">
        <v>526</v>
      </c>
      <c r="E47" s="4075"/>
      <c r="F47" s="4075"/>
      <c r="G47" s="4075"/>
      <c r="H47" s="4075"/>
      <c r="I47" s="4095"/>
      <c r="J47" s="4095"/>
      <c r="K47" s="4072"/>
      <c r="L47" s="1280"/>
      <c r="P47" s="4073"/>
      <c r="Q47" s="4073"/>
      <c r="R47" s="282"/>
      <c r="S47" s="1400"/>
      <c r="T47" s="219"/>
      <c r="U47" s="219"/>
      <c r="V47" s="1276"/>
      <c r="W47" s="1276"/>
      <c r="X47" s="255" t="str">
        <f>Y46&amp;"-"&amp;AA46</f>
        <v>-</v>
      </c>
      <c r="Y47" s="4080"/>
      <c r="Z47" s="4080"/>
      <c r="AA47" s="4080"/>
      <c r="AB47" s="4080"/>
      <c r="AC47" s="251"/>
      <c r="AD47" s="251"/>
      <c r="AE47" s="255" t="str">
        <f>AF46&amp;"-"&amp;AH46</f>
        <v>-</v>
      </c>
      <c r="AF47" s="4078"/>
      <c r="AG47" s="3927"/>
      <c r="AH47" s="4097"/>
      <c r="AI47" s="3927"/>
      <c r="AJ47" s="1354"/>
      <c r="AK47" s="4132"/>
      <c r="AM47" s="426"/>
      <c r="AN47" s="426" t="str">
        <f t="shared" si="1"/>
        <v/>
      </c>
      <c r="AO47" s="426"/>
      <c r="AP47" s="426"/>
    </row>
    <row r="48" spans="1:42" ht="21" customHeight="1">
      <c r="A48" s="1279" t="s">
        <v>241</v>
      </c>
      <c r="B48" s="1279" t="s">
        <v>242</v>
      </c>
      <c r="C48" s="1279" t="s">
        <v>243</v>
      </c>
      <c r="D48" s="1279" t="s">
        <v>526</v>
      </c>
      <c r="E48" s="4075"/>
      <c r="F48" s="4075"/>
      <c r="G48" s="4075"/>
      <c r="H48" s="4075"/>
      <c r="I48" s="4095"/>
      <c r="J48" s="4072"/>
      <c r="K48" s="1279"/>
      <c r="L48" s="1280"/>
      <c r="P48" s="4073"/>
      <c r="Q48" s="4073"/>
      <c r="R48" s="281"/>
      <c r="S48" s="1198"/>
      <c r="T48" s="206" t="s">
        <v>477</v>
      </c>
      <c r="U48" s="295"/>
      <c r="V48" s="295"/>
      <c r="W48" s="295"/>
      <c r="X48" s="295"/>
      <c r="Y48" s="295"/>
      <c r="Z48" s="295"/>
      <c r="AA48" s="295"/>
      <c r="AB48" s="295"/>
      <c r="AC48" s="295"/>
      <c r="AD48" s="295"/>
      <c r="AE48" s="295"/>
      <c r="AF48" s="295"/>
      <c r="AG48" s="295"/>
      <c r="AH48" s="295"/>
      <c r="AI48" s="295"/>
      <c r="AJ48" s="295"/>
      <c r="AK48" s="1177" t="s">
        <v>478</v>
      </c>
      <c r="AM48" s="426"/>
      <c r="AN48" s="426" t="str">
        <f t="shared" si="1"/>
        <v>Добавить значение признака дифференциации</v>
      </c>
      <c r="AO48" s="426"/>
      <c r="AP48" s="426"/>
    </row>
    <row r="49" spans="1:42" ht="21" customHeight="1">
      <c r="A49" s="1279" t="s">
        <v>241</v>
      </c>
      <c r="B49" s="1279" t="s">
        <v>242</v>
      </c>
      <c r="C49" s="1279" t="s">
        <v>243</v>
      </c>
      <c r="D49" s="1279" t="s">
        <v>526</v>
      </c>
      <c r="E49" s="4075"/>
      <c r="F49" s="4075"/>
      <c r="G49" s="4075"/>
      <c r="H49" s="4075"/>
      <c r="I49" s="4072"/>
      <c r="J49" s="1279"/>
      <c r="K49" s="1279"/>
      <c r="L49" s="1280"/>
      <c r="P49" s="4073"/>
      <c r="Q49" s="1391"/>
      <c r="R49" s="281"/>
      <c r="S49" s="1198"/>
      <c r="T49" s="292" t="s">
        <v>404</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241</v>
      </c>
      <c r="B50" s="1279" t="s">
        <v>242</v>
      </c>
      <c r="C50" s="1279" t="s">
        <v>243</v>
      </c>
      <c r="D50" s="1279" t="s">
        <v>526</v>
      </c>
      <c r="E50" s="4075"/>
      <c r="F50" s="4075"/>
      <c r="G50" s="4075"/>
      <c r="H50" s="4074"/>
      <c r="I50" s="1279"/>
      <c r="J50" s="1279"/>
      <c r="K50" s="1279"/>
      <c r="L50" s="1280"/>
      <c r="M50" s="1281"/>
      <c r="N50" s="1281"/>
      <c r="O50" s="462"/>
      <c r="P50" s="285"/>
      <c r="Q50" s="304"/>
      <c r="R50" s="280"/>
      <c r="S50" s="1198"/>
      <c r="T50" s="300" t="s">
        <v>479</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2550" customFormat="1" ht="0" hidden="1" customHeight="1">
      <c r="A51" s="1260" t="s">
        <v>241</v>
      </c>
      <c r="B51" s="1260" t="s">
        <v>242</v>
      </c>
      <c r="C51" s="1232"/>
      <c r="D51" s="1232"/>
      <c r="E51" s="4075"/>
      <c r="F51" s="4074"/>
      <c r="G51" s="1232"/>
      <c r="H51" s="1232"/>
      <c r="I51" s="1232"/>
      <c r="J51" s="1232"/>
      <c r="K51" s="1232"/>
      <c r="L51" s="1404"/>
      <c r="M51" s="1239"/>
      <c r="N51" s="1239"/>
      <c r="P51" s="1234"/>
      <c r="Q51" s="1235"/>
      <c r="R51" s="1234"/>
      <c r="S51" s="1240"/>
      <c r="T51" s="1243" t="s">
        <v>167</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1" customFormat="1" ht="0" hidden="1" customHeight="1">
      <c r="A52" s="1260" t="s">
        <v>241</v>
      </c>
      <c r="B52" s="1260"/>
      <c r="C52" s="1260"/>
      <c r="D52" s="1260"/>
      <c r="E52" s="4074"/>
      <c r="F52" s="1260"/>
      <c r="G52" s="1260"/>
      <c r="H52" s="1260"/>
      <c r="I52" s="1260"/>
      <c r="J52" s="1260"/>
      <c r="K52" s="1260"/>
      <c r="L52" s="1263"/>
      <c r="M52" s="1239"/>
      <c r="N52" s="1239"/>
      <c r="O52" s="444"/>
      <c r="P52" s="313"/>
      <c r="Q52" s="1261"/>
      <c r="R52" s="313"/>
      <c r="S52" s="1240"/>
      <c r="T52" s="1243" t="s">
        <v>168</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2550"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169</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4094"/>
      <c r="U55" s="4094"/>
      <c r="V55" s="4094"/>
      <c r="W55" s="4094"/>
      <c r="X55" s="4094"/>
      <c r="Y55" s="4094"/>
      <c r="Z55" s="4094"/>
      <c r="AA55" s="4094"/>
      <c r="AB55" s="4094"/>
      <c r="AC55" s="4094"/>
      <c r="AD55" s="4094"/>
      <c r="AE55" s="4094"/>
      <c r="AF55" s="4094"/>
      <c r="AG55" s="4094"/>
      <c r="AH55" s="4094"/>
      <c r="AI55" s="4094"/>
      <c r="AJ55" s="4094"/>
      <c r="AK55" s="4094"/>
    </row>
    <row r="56" spans="1:42" ht="14.25" customHeight="1">
      <c r="O56" s="462"/>
    </row>
    <row r="57" spans="1:42" ht="14.25" customHeight="1">
      <c r="O57" s="462"/>
      <c r="S57" s="1164"/>
      <c r="T57" s="4094"/>
      <c r="U57" s="4094"/>
      <c r="V57" s="4094"/>
      <c r="W57" s="4094"/>
      <c r="X57" s="4094"/>
      <c r="Y57" s="4094"/>
      <c r="Z57" s="4094"/>
      <c r="AA57" s="4094"/>
      <c r="AB57" s="4094"/>
      <c r="AC57" s="4094"/>
      <c r="AD57" s="4094"/>
      <c r="AE57" s="4094"/>
      <c r="AF57" s="4094"/>
      <c r="AG57" s="4094"/>
      <c r="AH57" s="4094"/>
      <c r="AI57" s="4094"/>
      <c r="AJ57" s="4094"/>
      <c r="AK57" s="409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553" hidden="1"/>
    <col min="2" max="2" width="11" style="2553" hidden="1" customWidth="1"/>
    <col min="3" max="3" width="10.5703125" style="2553" hidden="1"/>
    <col min="4" max="4" width="11.85546875" style="2553" hidden="1" customWidth="1"/>
    <col min="5" max="5" width="10" style="2553" hidden="1" customWidth="1"/>
    <col min="6" max="6" width="8.7109375" style="2553" hidden="1" customWidth="1"/>
    <col min="7" max="7" width="7.5703125" style="2553" hidden="1" customWidth="1"/>
    <col min="8" max="8" width="11.42578125" style="2553" hidden="1" customWidth="1"/>
    <col min="9" max="9" width="14.140625" style="2553" hidden="1" customWidth="1"/>
    <col min="10" max="10" width="9.85546875" style="2553" hidden="1" customWidth="1"/>
    <col min="11" max="11" width="14.7109375" style="2553" hidden="1" customWidth="1"/>
    <col min="12" max="12" width="19.140625" style="3808" hidden="1" customWidth="1"/>
    <col min="13" max="14" width="12.28515625" style="2555" hidden="1" customWidth="1"/>
    <col min="15" max="15" width="23.42578125" style="2555" hidden="1" customWidth="1"/>
    <col min="16" max="16" width="3.7109375" style="3809" customWidth="1"/>
    <col min="17" max="18" width="3.7109375" style="3173" customWidth="1"/>
    <col min="19" max="19" width="12.7109375" style="3174" customWidth="1"/>
    <col min="20" max="20" width="35.7109375" style="1920" customWidth="1"/>
    <col min="21" max="21" width="0.140625" style="1920" customWidth="1"/>
    <col min="22" max="24" width="24.7109375" style="1920" hidden="1" customWidth="1"/>
    <col min="25" max="25" width="11.7109375" style="1920" hidden="1" customWidth="1"/>
    <col min="26" max="26" width="3.7109375" style="1920" hidden="1" customWidth="1"/>
    <col min="27" max="27" width="11.7109375" style="1920" hidden="1" customWidth="1"/>
    <col min="28" max="28" width="8.5703125" style="1920" hidden="1" customWidth="1"/>
    <col min="29" max="31" width="24.7109375" style="1920" customWidth="1"/>
    <col min="32" max="32" width="11.7109375" style="1920" customWidth="1"/>
    <col min="33" max="33" width="3.7109375" style="1920" customWidth="1"/>
    <col min="34" max="34" width="11.7109375" style="1920" customWidth="1"/>
    <col min="35" max="35" width="8.5703125" style="1920" hidden="1" customWidth="1"/>
    <col min="36" max="36" width="4.7109375" style="1920" customWidth="1"/>
    <col min="37" max="37" width="115.7109375" style="1920" customWidth="1"/>
    <col min="38" max="39" width="10.5703125" style="1821"/>
    <col min="40" max="40" width="11.140625" style="1821" customWidth="1"/>
    <col min="41" max="42" width="10.5703125" style="1821"/>
  </cols>
  <sheetData>
    <row r="1" spans="1:42" ht="14.25" hidden="1" customHeight="1">
      <c r="X1" s="254"/>
      <c r="Y1" s="254"/>
      <c r="AE1" s="254"/>
      <c r="AF1" s="254"/>
    </row>
    <row r="2" spans="1:42" ht="23.25" hidden="1" customHeight="1">
      <c r="A2" s="1279"/>
      <c r="B2" s="1279"/>
      <c r="C2" s="1279"/>
      <c r="D2" s="1279"/>
      <c r="E2" s="4074">
        <v>1</v>
      </c>
      <c r="F2" s="1279"/>
      <c r="G2" s="1279"/>
      <c r="H2" s="1279"/>
      <c r="I2" s="1279"/>
      <c r="J2" s="1279"/>
      <c r="K2" s="1279"/>
      <c r="L2" s="1280"/>
      <c r="M2" s="1281"/>
      <c r="N2" s="1281"/>
      <c r="O2" s="1281"/>
      <c r="P2" s="286"/>
      <c r="Q2" s="285"/>
      <c r="R2" s="280"/>
      <c r="S2" s="1403" t="e">
        <f>INDEX(PT_DIFFERENTIATION_NUM_NTAR,MATCH(A2,PT_DIFFERENTIATION_NTAR_ID,0))</f>
        <v>#N/A</v>
      </c>
      <c r="T2" s="217" t="s">
        <v>121</v>
      </c>
      <c r="U2" s="219"/>
      <c r="V2" s="4060"/>
      <c r="W2" s="4061"/>
      <c r="X2" s="4061"/>
      <c r="Y2" s="4061"/>
      <c r="Z2" s="4061"/>
      <c r="AA2" s="4061"/>
      <c r="AB2" s="4062"/>
      <c r="AC2" s="4060" t="e">
        <f>INDEX(PT_DIFFERENTIATION_NTAR,MATCH(A2,PT_DIFFERENTIATION_NTAR_ID,0))</f>
        <v>#N/A</v>
      </c>
      <c r="AD2" s="4061"/>
      <c r="AE2" s="4061"/>
      <c r="AF2" s="4061"/>
      <c r="AG2" s="4061"/>
      <c r="AH2" s="4061"/>
      <c r="AI2" s="4061"/>
      <c r="AJ2" s="4062"/>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4075"/>
      <c r="F3" s="4074">
        <v>1</v>
      </c>
      <c r="G3" s="1279"/>
      <c r="H3" s="1279"/>
      <c r="I3" s="1279"/>
      <c r="J3" s="1279"/>
      <c r="K3" s="1279"/>
      <c r="L3" s="1280"/>
      <c r="M3" s="1281"/>
      <c r="N3" s="1281"/>
      <c r="O3" s="1281"/>
      <c r="P3" s="1397"/>
      <c r="Q3" s="277"/>
      <c r="R3" s="278"/>
      <c r="S3" s="1403" t="e">
        <f>INDEX(PT_DIFFERENTIATION_NUM_TER,MATCH(B3,PT_DIFFERENTIATION_TER_ID,0))</f>
        <v>#N/A</v>
      </c>
      <c r="T3" s="229" t="s">
        <v>389</v>
      </c>
      <c r="U3" s="219"/>
      <c r="V3" s="4060"/>
      <c r="W3" s="4061"/>
      <c r="X3" s="4061"/>
      <c r="Y3" s="4061"/>
      <c r="Z3" s="4061"/>
      <c r="AA3" s="4061"/>
      <c r="AB3" s="4062"/>
      <c r="AC3" s="4060" t="e">
        <f>INDEX(PT_DIFFERENTIATION_TER,MATCH(B3,PT_DIFFERENTIATION_TER_ID,0))</f>
        <v>#N/A</v>
      </c>
      <c r="AD3" s="4061"/>
      <c r="AE3" s="4061"/>
      <c r="AF3" s="4061"/>
      <c r="AG3" s="4061"/>
      <c r="AH3" s="4061"/>
      <c r="AI3" s="4061"/>
      <c r="AJ3" s="4062"/>
      <c r="AK3" s="1177" t="s">
        <v>390</v>
      </c>
      <c r="AM3" s="426"/>
      <c r="AN3" s="426" t="str">
        <f t="shared" si="0"/>
        <v>Территория действия тарифа</v>
      </c>
      <c r="AO3" s="426"/>
      <c r="AP3" s="426"/>
    </row>
    <row r="4" spans="1:42" ht="23.25" hidden="1" customHeight="1">
      <c r="A4" s="1279"/>
      <c r="B4" s="1279"/>
      <c r="C4" s="1279"/>
      <c r="D4" s="1279"/>
      <c r="E4" s="4075"/>
      <c r="F4" s="4075"/>
      <c r="G4" s="4074">
        <v>1</v>
      </c>
      <c r="H4" s="1279"/>
      <c r="I4" s="1279"/>
      <c r="J4" s="1279"/>
      <c r="K4" s="1279"/>
      <c r="L4" s="1280"/>
      <c r="M4" s="1281"/>
      <c r="N4" s="1281"/>
      <c r="O4" s="1281"/>
      <c r="P4" s="279"/>
      <c r="Q4" s="277"/>
      <c r="R4" s="278"/>
      <c r="S4" s="1403" t="e">
        <f>INDEX(PT_DIFFERENTIATION_NUM_CS,MATCH(C4,PT_DIFFERENTIATION_CS_ID,0))</f>
        <v>#N/A</v>
      </c>
      <c r="T4" s="230" t="s">
        <v>519</v>
      </c>
      <c r="U4" s="219"/>
      <c r="V4" s="4060"/>
      <c r="W4" s="4061"/>
      <c r="X4" s="4061"/>
      <c r="Y4" s="4061"/>
      <c r="Z4" s="4061"/>
      <c r="AA4" s="4061"/>
      <c r="AB4" s="4062"/>
      <c r="AC4" s="4060" t="e">
        <f>INDEX(PT_DIFFERENTIATION_CS,MATCH(C4,PT_DIFFERENTIATION_CS_ID,0))</f>
        <v>#N/A</v>
      </c>
      <c r="AD4" s="4061"/>
      <c r="AE4" s="4061"/>
      <c r="AF4" s="4061"/>
      <c r="AG4" s="4061"/>
      <c r="AH4" s="4061"/>
      <c r="AI4" s="4061"/>
      <c r="AJ4" s="4062"/>
      <c r="AK4" s="1177" t="s">
        <v>520</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4075"/>
      <c r="F5" s="4075"/>
      <c r="G5" s="4075"/>
      <c r="H5" s="4075"/>
      <c r="I5" s="4072" t="e">
        <f>S4&amp;".1"</f>
        <v>#N/A</v>
      </c>
      <c r="J5" s="1279"/>
      <c r="K5" s="1279"/>
      <c r="L5" s="1280"/>
      <c r="P5" s="4073">
        <v>1</v>
      </c>
      <c r="Q5" s="1391"/>
      <c r="R5" s="281"/>
      <c r="S5" s="1403" t="e">
        <f>$I5</f>
        <v>#N/A</v>
      </c>
      <c r="T5" s="204" t="s">
        <v>474</v>
      </c>
      <c r="U5" s="219"/>
      <c r="V5" s="4133"/>
      <c r="W5" s="4134"/>
      <c r="X5" s="4134"/>
      <c r="Y5" s="4134"/>
      <c r="Z5" s="4134"/>
      <c r="AA5" s="4134"/>
      <c r="AB5" s="4135"/>
      <c r="AC5" s="4136"/>
      <c r="AD5" s="4137"/>
      <c r="AE5" s="4137"/>
      <c r="AF5" s="4137"/>
      <c r="AG5" s="4137"/>
      <c r="AH5" s="4137"/>
      <c r="AI5" s="4137"/>
      <c r="AJ5" s="4138"/>
      <c r="AK5" s="1177" t="s">
        <v>475</v>
      </c>
      <c r="AM5" s="426"/>
      <c r="AN5" s="426" t="str">
        <f t="shared" si="0"/>
        <v>Наименование признака дифференциации</v>
      </c>
      <c r="AO5" s="426"/>
      <c r="AP5" s="426"/>
    </row>
    <row r="6" spans="1:42" ht="23.25" hidden="1" customHeight="1">
      <c r="A6" s="1279"/>
      <c r="B6" s="1279"/>
      <c r="C6" s="1279"/>
      <c r="D6" s="1279"/>
      <c r="E6" s="4075"/>
      <c r="F6" s="4075"/>
      <c r="G6" s="4075"/>
      <c r="H6" s="4075"/>
      <c r="I6" s="4095"/>
      <c r="J6" s="4072" t="e">
        <f>I5&amp;".1"</f>
        <v>#N/A</v>
      </c>
      <c r="K6" s="1279"/>
      <c r="L6" s="1280" t="s">
        <v>398</v>
      </c>
      <c r="P6" s="4073"/>
      <c r="Q6" s="4073">
        <v>1</v>
      </c>
      <c r="R6" s="282"/>
      <c r="S6" s="1403" t="e">
        <f>$J6</f>
        <v>#N/A</v>
      </c>
      <c r="T6" s="205" t="s">
        <v>399</v>
      </c>
      <c r="U6" s="219"/>
      <c r="V6" s="4063"/>
      <c r="W6" s="4064"/>
      <c r="X6" s="4064"/>
      <c r="Y6" s="4064"/>
      <c r="Z6" s="4064"/>
      <c r="AA6" s="4064"/>
      <c r="AB6" s="4065"/>
      <c r="AC6" s="4063"/>
      <c r="AD6" s="4064"/>
      <c r="AE6" s="4064"/>
      <c r="AF6" s="4064"/>
      <c r="AG6" s="4064"/>
      <c r="AH6" s="4064"/>
      <c r="AI6" s="4064"/>
      <c r="AJ6" s="4065"/>
      <c r="AK6" s="1226" t="s">
        <v>476</v>
      </c>
      <c r="AM6" s="426"/>
      <c r="AN6" s="426" t="str">
        <f t="shared" si="0"/>
        <v>Группа потребителей</v>
      </c>
      <c r="AO6" s="426"/>
      <c r="AP6" s="426"/>
    </row>
    <row r="7" spans="1:42" ht="23.25" hidden="1" customHeight="1">
      <c r="A7" s="1279"/>
      <c r="B7" s="1279"/>
      <c r="C7" s="1279"/>
      <c r="D7" s="1279"/>
      <c r="E7" s="4075"/>
      <c r="F7" s="4075"/>
      <c r="G7" s="4075"/>
      <c r="H7" s="4075"/>
      <c r="I7" s="4095"/>
      <c r="J7" s="4095"/>
      <c r="K7" s="4072" t="e">
        <f>J6&amp;".1"</f>
        <v>#N/A</v>
      </c>
      <c r="L7" s="1280"/>
      <c r="P7" s="4073"/>
      <c r="Q7" s="4073"/>
      <c r="R7" s="282">
        <v>1</v>
      </c>
      <c r="S7" s="1403" t="e">
        <f>$K7</f>
        <v>#N/A</v>
      </c>
      <c r="T7" s="1352"/>
      <c r="U7" s="219"/>
      <c r="V7" s="668"/>
      <c r="W7" s="668"/>
      <c r="X7" s="1176"/>
      <c r="Y7" s="4077"/>
      <c r="Z7" s="3927" t="s">
        <v>65</v>
      </c>
      <c r="AA7" s="4077"/>
      <c r="AB7" s="3927" t="s">
        <v>65</v>
      </c>
      <c r="AC7" s="668"/>
      <c r="AD7" s="668"/>
      <c r="AE7" s="1176"/>
      <c r="AF7" s="4077"/>
      <c r="AG7" s="3927" t="s">
        <v>65</v>
      </c>
      <c r="AH7" s="4096"/>
      <c r="AI7" s="3927" t="s">
        <v>65</v>
      </c>
      <c r="AJ7" s="1353"/>
      <c r="AK7" s="41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4075"/>
      <c r="F8" s="4075"/>
      <c r="G8" s="4075"/>
      <c r="H8" s="4075"/>
      <c r="I8" s="4095"/>
      <c r="J8" s="4095"/>
      <c r="K8" s="4072"/>
      <c r="L8" s="1280"/>
      <c r="P8" s="4073"/>
      <c r="Q8" s="4073"/>
      <c r="R8" s="282"/>
      <c r="S8" s="1400"/>
      <c r="T8" s="219"/>
      <c r="U8" s="219"/>
      <c r="V8" s="251"/>
      <c r="W8" s="251"/>
      <c r="X8" s="255" t="str">
        <f>Y7&amp;"-"&amp;AA7</f>
        <v>-</v>
      </c>
      <c r="Y8" s="4078"/>
      <c r="Z8" s="3927"/>
      <c r="AA8" s="4078"/>
      <c r="AB8" s="3927"/>
      <c r="AC8" s="251"/>
      <c r="AD8" s="251"/>
      <c r="AE8" s="255" t="str">
        <f>AF7&amp;"-"&amp;AH7</f>
        <v>-</v>
      </c>
      <c r="AF8" s="4078"/>
      <c r="AG8" s="3927"/>
      <c r="AH8" s="4097"/>
      <c r="AI8" s="3927"/>
      <c r="AJ8" s="1354"/>
      <c r="AK8" s="4132"/>
      <c r="AM8" s="426"/>
      <c r="AN8" s="426" t="str">
        <f t="shared" si="0"/>
        <v/>
      </c>
      <c r="AO8" s="426"/>
      <c r="AP8" s="426"/>
    </row>
    <row r="9" spans="1:42" ht="21" hidden="1" customHeight="1">
      <c r="A9" s="1279"/>
      <c r="B9" s="1279"/>
      <c r="C9" s="1279"/>
      <c r="D9" s="1279"/>
      <c r="E9" s="4075"/>
      <c r="F9" s="4075"/>
      <c r="G9" s="4075"/>
      <c r="H9" s="4075"/>
      <c r="I9" s="4095"/>
      <c r="J9" s="4072"/>
      <c r="K9" s="1279"/>
      <c r="L9" s="1280"/>
      <c r="P9" s="4073"/>
      <c r="Q9" s="4073"/>
      <c r="R9" s="281"/>
      <c r="S9" s="1198"/>
      <c r="T9" s="206" t="s">
        <v>477</v>
      </c>
      <c r="U9" s="295"/>
      <c r="V9" s="295"/>
      <c r="W9" s="295"/>
      <c r="X9" s="295"/>
      <c r="Y9" s="295"/>
      <c r="Z9" s="295"/>
      <c r="AA9" s="295"/>
      <c r="AB9" s="295"/>
      <c r="AC9" s="295"/>
      <c r="AD9" s="295"/>
      <c r="AE9" s="295"/>
      <c r="AF9" s="295"/>
      <c r="AG9" s="295"/>
      <c r="AH9" s="295"/>
      <c r="AI9" s="295"/>
      <c r="AJ9" s="295"/>
      <c r="AK9" s="1177" t="s">
        <v>478</v>
      </c>
      <c r="AM9" s="426"/>
      <c r="AN9" s="426" t="str">
        <f t="shared" si="0"/>
        <v>Добавить значение признака дифференциации</v>
      </c>
      <c r="AO9" s="426"/>
      <c r="AP9" s="426"/>
    </row>
    <row r="10" spans="1:42" ht="21" hidden="1" customHeight="1">
      <c r="A10" s="1279"/>
      <c r="B10" s="1279"/>
      <c r="C10" s="1279"/>
      <c r="D10" s="1279"/>
      <c r="E10" s="4075"/>
      <c r="F10" s="4075"/>
      <c r="G10" s="4075"/>
      <c r="H10" s="4075"/>
      <c r="I10" s="4072"/>
      <c r="J10" s="1279"/>
      <c r="K10" s="1279"/>
      <c r="L10" s="1280"/>
      <c r="P10" s="4073"/>
      <c r="Q10" s="1391"/>
      <c r="R10" s="281"/>
      <c r="S10" s="1198"/>
      <c r="T10" s="292" t="s">
        <v>404</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4075"/>
      <c r="F11" s="4075"/>
      <c r="G11" s="4075"/>
      <c r="H11" s="4074"/>
      <c r="I11" s="1279"/>
      <c r="J11" s="1279"/>
      <c r="K11" s="1279"/>
      <c r="L11" s="1280"/>
      <c r="M11" s="1281"/>
      <c r="N11" s="1281"/>
      <c r="O11" s="462"/>
      <c r="P11" s="285"/>
      <c r="Q11" s="304"/>
      <c r="R11" s="280"/>
      <c r="S11" s="1198"/>
      <c r="T11" s="300" t="s">
        <v>479</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2550" customFormat="1" ht="14.25" hidden="1" customHeight="1">
      <c r="A12" s="1260"/>
      <c r="B12" s="1260"/>
      <c r="C12" s="1232"/>
      <c r="D12" s="1232"/>
      <c r="E12" s="4075"/>
      <c r="F12" s="4074"/>
      <c r="G12" s="1232"/>
      <c r="H12" s="1232"/>
      <c r="I12" s="1232"/>
      <c r="J12" s="1232"/>
      <c r="K12" s="1232"/>
      <c r="L12" s="1404"/>
      <c r="M12" s="1239"/>
      <c r="N12" s="1239"/>
      <c r="P12" s="1234"/>
      <c r="Q12" s="1235"/>
      <c r="R12" s="1234"/>
      <c r="S12" s="1240"/>
      <c r="T12" s="1243" t="s">
        <v>167</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1" customFormat="1" ht="14.25" hidden="1" customHeight="1">
      <c r="A13" s="1260"/>
      <c r="B13" s="1260"/>
      <c r="C13" s="1260"/>
      <c r="D13" s="1260"/>
      <c r="E13" s="4074"/>
      <c r="F13" s="1260"/>
      <c r="G13" s="1260"/>
      <c r="H13" s="1260"/>
      <c r="I13" s="1260"/>
      <c r="J13" s="1260"/>
      <c r="K13" s="1260"/>
      <c r="L13" s="1263"/>
      <c r="M13" s="1239"/>
      <c r="N13" s="1239"/>
      <c r="O13" s="444"/>
      <c r="P13" s="313"/>
      <c r="Q13" s="1261"/>
      <c r="R13" s="313"/>
      <c r="S13" s="1240"/>
      <c r="T13" s="1243" t="s">
        <v>168</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4079"/>
      <c r="AG15" s="4080" t="s">
        <v>65</v>
      </c>
      <c r="AH15" s="4079"/>
      <c r="AI15" s="4080" t="s">
        <v>65</v>
      </c>
    </row>
    <row r="16" spans="1:42" ht="14.25" hidden="1" customHeight="1">
      <c r="AC16" s="1276"/>
      <c r="AD16" s="1276"/>
      <c r="AE16" s="255" t="str">
        <f>AF15&amp;"-"&amp;AH15</f>
        <v>-</v>
      </c>
      <c r="AF16" s="4080"/>
      <c r="AG16" s="4080"/>
      <c r="AH16" s="4080"/>
      <c r="AI16" s="4080"/>
    </row>
    <row r="17" spans="1:42" ht="14.25" hidden="1" customHeight="1">
      <c r="AI17" s="254"/>
    </row>
    <row r="18" spans="1:42" s="2553" customFormat="1" ht="22.5" hidden="1" customHeight="1">
      <c r="L18" s="1388"/>
      <c r="M18" s="1278"/>
      <c r="N18" s="1278"/>
      <c r="O18" s="1283" t="s">
        <v>406</v>
      </c>
      <c r="P18" s="1278"/>
      <c r="Q18" s="1287"/>
      <c r="R18" s="1287"/>
      <c r="S18" s="648"/>
      <c r="Y18" s="1283"/>
      <c r="AA18" s="1283"/>
      <c r="AB18" s="1282"/>
      <c r="AF18" s="1283"/>
      <c r="AH18" s="1283"/>
      <c r="AI18" s="1282"/>
      <c r="AL18" s="437"/>
      <c r="AM18" s="437"/>
      <c r="AN18" s="437"/>
      <c r="AO18" s="437"/>
      <c r="AP18" s="437"/>
    </row>
    <row r="19" spans="1:42" s="2553" customFormat="1" ht="14.25" hidden="1" customHeight="1">
      <c r="L19" s="1388"/>
      <c r="M19" s="1278"/>
      <c r="N19" s="1278"/>
      <c r="O19" s="1278"/>
      <c r="P19" s="1278"/>
      <c r="Q19" s="1287"/>
      <c r="R19" s="1287"/>
      <c r="S19" s="648"/>
      <c r="AB19" s="1282"/>
      <c r="AI19" s="1282"/>
      <c r="AL19" s="437"/>
      <c r="AM19" s="437"/>
      <c r="AN19" s="437"/>
      <c r="AO19" s="437"/>
      <c r="AP19" s="437"/>
    </row>
    <row r="20" spans="1:42" s="2553" customFormat="1" ht="12" hidden="1" customHeight="1">
      <c r="L20" s="1388"/>
      <c r="M20" s="1278"/>
      <c r="N20" s="1278"/>
      <c r="O20" s="1280" t="s">
        <v>407</v>
      </c>
      <c r="P20" s="1278"/>
      <c r="Q20" s="1356"/>
      <c r="R20" s="1356"/>
      <c r="S20" s="648"/>
      <c r="T20" s="1060" t="s">
        <v>408</v>
      </c>
      <c r="Z20" s="107" t="s">
        <v>409</v>
      </c>
      <c r="AB20" s="107" t="s">
        <v>410</v>
      </c>
      <c r="AC20" s="1060" t="s">
        <v>408</v>
      </c>
      <c r="AG20" s="107" t="s">
        <v>411</v>
      </c>
      <c r="AI20" s="107" t="s">
        <v>410</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6.25" customHeight="1">
      <c r="Q24" s="305"/>
      <c r="R24" s="305"/>
      <c r="S24" s="405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4058"/>
      <c r="U24" s="4058"/>
      <c r="V24" s="4058"/>
      <c r="W24" s="4058"/>
      <c r="X24" s="4058"/>
      <c r="Y24" s="4058"/>
      <c r="Z24" s="4058"/>
      <c r="AA24" s="4058"/>
      <c r="AB24" s="4058"/>
      <c r="AC24" s="4058"/>
      <c r="AD24" s="4058"/>
      <c r="AE24" s="4058"/>
      <c r="AF24" s="4058"/>
      <c r="AG24" s="4058"/>
      <c r="AH24" s="4058"/>
      <c r="AI24" s="1152"/>
    </row>
    <row r="25" spans="1:42" ht="14.25" customHeight="1">
      <c r="Q25" s="305"/>
      <c r="R25" s="305"/>
      <c r="S25" s="4004" t="str">
        <f>IF(org=0,"Не определено",org)</f>
        <v>ООО «РИР-Сахалин»</v>
      </c>
      <c r="T25" s="4004"/>
      <c r="U25" s="4004"/>
      <c r="V25" s="4004"/>
      <c r="W25" s="4004"/>
      <c r="X25" s="4004"/>
      <c r="Y25" s="4004"/>
      <c r="Z25" s="4004"/>
      <c r="AA25" s="4004"/>
      <c r="AB25" s="4004"/>
      <c r="AC25" s="4004"/>
      <c r="AD25" s="4004"/>
      <c r="AE25" s="4004"/>
      <c r="AF25" s="4004"/>
      <c r="AG25" s="4004"/>
      <c r="AH25" s="4004"/>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2564" customFormat="1" ht="25.5" customHeight="1">
      <c r="A27" s="1284"/>
      <c r="B27" s="1284"/>
      <c r="C27" s="1284"/>
      <c r="D27" s="1284"/>
      <c r="E27" s="1284"/>
      <c r="F27" s="1284"/>
      <c r="G27" s="1284"/>
      <c r="H27" s="1284"/>
      <c r="I27" s="1284"/>
      <c r="J27" s="1284"/>
      <c r="K27" s="1284"/>
      <c r="L27" s="1285"/>
      <c r="M27" s="1284"/>
      <c r="N27" s="1284"/>
      <c r="O27" s="1284"/>
      <c r="S27" s="4066" t="s">
        <v>38</v>
      </c>
      <c r="T27" s="4066"/>
      <c r="U27" s="1288"/>
      <c r="V27" s="4067" t="str">
        <f>IF(TITLE_NAME_OR_PR_CHANGE="",IF(TITLE_NAME_OR_PR="","",TITLE_NAME_OR_PR),TITLE_NAME_OR_PR_CHANGE)</f>
        <v/>
      </c>
      <c r="W27" s="4067"/>
      <c r="X27" s="4067"/>
      <c r="Y27" s="4067"/>
      <c r="Z27" s="4067"/>
      <c r="AA27" s="4067"/>
      <c r="AB27" s="253"/>
      <c r="AC27" s="4067" t="str">
        <f>IF(TITLE_NAME_OR_PR_CHANGE="",IF(TITLE_NAME_OR_PR="","",TITLE_NAME_OR_PR),TITLE_NAME_OR_PR_CHANGE)</f>
        <v/>
      </c>
      <c r="AD27" s="4067"/>
      <c r="AE27" s="4067"/>
      <c r="AF27" s="4067"/>
      <c r="AG27" s="4067"/>
      <c r="AH27" s="4067"/>
      <c r="AI27" s="253"/>
      <c r="AJ27" s="253"/>
      <c r="AK27" s="200"/>
      <c r="AL27" s="296"/>
      <c r="AM27" s="296"/>
      <c r="AN27" s="296"/>
      <c r="AO27" s="296"/>
      <c r="AP27" s="296"/>
    </row>
    <row r="28" spans="1:42" s="2564" customFormat="1" ht="18.75" customHeight="1">
      <c r="A28" s="1284"/>
      <c r="B28" s="1284"/>
      <c r="C28" s="1284"/>
      <c r="D28" s="1284"/>
      <c r="E28" s="1284"/>
      <c r="F28" s="1284"/>
      <c r="G28" s="1284"/>
      <c r="H28" s="1284"/>
      <c r="I28" s="1284"/>
      <c r="J28" s="1284"/>
      <c r="K28" s="1284"/>
      <c r="L28" s="1285"/>
      <c r="M28" s="1284"/>
      <c r="N28" s="1284"/>
      <c r="O28" s="1284"/>
      <c r="S28" s="4066" t="s">
        <v>412</v>
      </c>
      <c r="T28" s="4066"/>
      <c r="U28" s="1288"/>
      <c r="V28" s="4076">
        <f>IF(TITLE_DATE_PR_CHANGE="",IF(TITLE_DATE_PR="","",TITLE_DATE_PR),TITLE_DATE_PR_CHANGE)</f>
        <v>45289.465104166666</v>
      </c>
      <c r="W28" s="4076"/>
      <c r="X28" s="4076"/>
      <c r="Y28" s="4076"/>
      <c r="Z28" s="4076"/>
      <c r="AA28" s="4076"/>
      <c r="AB28" s="253"/>
      <c r="AC28" s="4076">
        <f>IF(TITLE_DATE_PR_CHANGE="",IF(TITLE_DATE_PR="","",TITLE_DATE_PR),TITLE_DATE_PR_CHANGE)</f>
        <v>45289.465104166666</v>
      </c>
      <c r="AD28" s="4076"/>
      <c r="AE28" s="4076"/>
      <c r="AF28" s="4076"/>
      <c r="AG28" s="4076"/>
      <c r="AH28" s="4076"/>
      <c r="AI28" s="253"/>
      <c r="AJ28" s="253"/>
      <c r="AK28" s="200"/>
      <c r="AL28" s="296"/>
      <c r="AM28" s="296"/>
      <c r="AN28" s="296"/>
      <c r="AO28" s="296"/>
      <c r="AP28" s="296"/>
    </row>
    <row r="29" spans="1:42" s="2564" customFormat="1" ht="18.75" customHeight="1">
      <c r="A29" s="1284"/>
      <c r="B29" s="1284"/>
      <c r="C29" s="1284"/>
      <c r="D29" s="1284"/>
      <c r="E29" s="1284"/>
      <c r="F29" s="1284"/>
      <c r="G29" s="1284"/>
      <c r="H29" s="1284"/>
      <c r="I29" s="1284"/>
      <c r="J29" s="1284"/>
      <c r="K29" s="1284"/>
      <c r="L29" s="1285"/>
      <c r="M29" s="1284"/>
      <c r="N29" s="1284"/>
      <c r="O29" s="1284"/>
      <c r="S29" s="4066" t="s">
        <v>413</v>
      </c>
      <c r="T29" s="4066"/>
      <c r="U29" s="1288"/>
      <c r="V29" s="4067" t="str">
        <f>IF(TITLE_NUMBER_PR_CHANGE="",IF(TITLE_NUMBER_PR="","",TITLE_NUMBER_PR),TITLE_NUMBER_PR_CHANGE)</f>
        <v>761-1/201-1</v>
      </c>
      <c r="W29" s="4067"/>
      <c r="X29" s="4067"/>
      <c r="Y29" s="4067"/>
      <c r="Z29" s="4067"/>
      <c r="AA29" s="4067"/>
      <c r="AB29" s="253"/>
      <c r="AC29" s="4067" t="str">
        <f>IF(TITLE_NUMBER_PR_CHANGE="",IF(TITLE_NUMBER_PR="","",TITLE_NUMBER_PR),TITLE_NUMBER_PR_CHANGE)</f>
        <v>761-1/201-1</v>
      </c>
      <c r="AD29" s="4067"/>
      <c r="AE29" s="4067"/>
      <c r="AF29" s="4067"/>
      <c r="AG29" s="4067"/>
      <c r="AH29" s="4067"/>
      <c r="AI29" s="253"/>
      <c r="AJ29" s="253"/>
      <c r="AK29" s="200"/>
      <c r="AL29" s="296"/>
      <c r="AM29" s="296"/>
      <c r="AN29" s="296"/>
      <c r="AO29" s="296"/>
      <c r="AP29" s="296"/>
    </row>
    <row r="30" spans="1:42" s="2564" customFormat="1" ht="18.75" customHeight="1">
      <c r="A30" s="1284"/>
      <c r="B30" s="1284"/>
      <c r="C30" s="1284"/>
      <c r="D30" s="1284"/>
      <c r="E30" s="1284"/>
      <c r="F30" s="1284"/>
      <c r="G30" s="1284"/>
      <c r="H30" s="1284"/>
      <c r="I30" s="1284"/>
      <c r="J30" s="1284"/>
      <c r="K30" s="1284"/>
      <c r="L30" s="1285"/>
      <c r="M30" s="1284"/>
      <c r="N30" s="1284"/>
      <c r="O30" s="1284"/>
      <c r="S30" s="4066" t="s">
        <v>39</v>
      </c>
      <c r="T30" s="4066"/>
      <c r="U30" s="1288"/>
      <c r="V30" s="4067" t="str">
        <f>IF(TITLE_IST_PUB_CHANGE="",IF(TITLE_IST_PUB="","",TITLE_IST_PUB),TITLE_IST_PUB_CHANGE)</f>
        <v/>
      </c>
      <c r="W30" s="4067"/>
      <c r="X30" s="4067"/>
      <c r="Y30" s="4067"/>
      <c r="Z30" s="4067"/>
      <c r="AA30" s="4067"/>
      <c r="AB30" s="253"/>
      <c r="AC30" s="4067" t="str">
        <f>IF(TITLE_IST_PUB_CHANGE="",IF(TITLE_IST_PUB="","",TITLE_IST_PUB),TITLE_IST_PUB_CHANGE)</f>
        <v/>
      </c>
      <c r="AD30" s="4067"/>
      <c r="AE30" s="4067"/>
      <c r="AF30" s="4067"/>
      <c r="AG30" s="4067"/>
      <c r="AH30" s="4067"/>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2564" customFormat="1" ht="18.75" customHeight="1">
      <c r="A32" s="1284"/>
      <c r="B32" s="1284"/>
      <c r="C32" s="1284"/>
      <c r="D32" s="1284"/>
      <c r="E32" s="1284"/>
      <c r="F32" s="1284"/>
      <c r="G32" s="1284"/>
      <c r="H32" s="1284"/>
      <c r="I32" s="1284"/>
      <c r="J32" s="1284"/>
      <c r="K32" s="1284"/>
      <c r="L32" s="1285"/>
      <c r="M32" s="1284"/>
      <c r="N32" s="1284"/>
      <c r="O32" s="1284"/>
      <c r="S32" s="4066" t="s">
        <v>414</v>
      </c>
      <c r="T32" s="4066"/>
      <c r="U32" s="1288"/>
      <c r="V32" s="4076">
        <f>IF(TITLE_DATE_PR_CHANGE="",IF(TITLE_DATE_PR="","",TITLE_DATE_PR),TITLE_DATE_PR_CHANGE)</f>
        <v>45289.465104166666</v>
      </c>
      <c r="W32" s="4076"/>
      <c r="X32" s="4076"/>
      <c r="Y32" s="4076"/>
      <c r="Z32" s="4076"/>
      <c r="AA32" s="4076"/>
      <c r="AB32" s="253"/>
      <c r="AC32" s="4076">
        <f>IF(TITLE_DATE_PR_CHANGE="",IF(TITLE_DATE_PR="","",TITLE_DATE_PR),TITLE_DATE_PR_CHANGE)</f>
        <v>45289.465104166666</v>
      </c>
      <c r="AD32" s="4076"/>
      <c r="AE32" s="4076"/>
      <c r="AF32" s="4076"/>
      <c r="AG32" s="4076"/>
      <c r="AH32" s="4076"/>
      <c r="AI32" s="253"/>
      <c r="AJ32" s="253"/>
      <c r="AK32" s="200"/>
      <c r="AL32" s="296"/>
      <c r="AM32" s="296"/>
      <c r="AN32" s="296"/>
      <c r="AO32" s="296"/>
      <c r="AP32" s="296"/>
    </row>
    <row r="33" spans="1:42" s="2564" customFormat="1" ht="18.75" customHeight="1">
      <c r="A33" s="1284"/>
      <c r="B33" s="1284"/>
      <c r="C33" s="1284"/>
      <c r="D33" s="1284"/>
      <c r="E33" s="1284"/>
      <c r="F33" s="1284"/>
      <c r="G33" s="1284"/>
      <c r="H33" s="1284"/>
      <c r="I33" s="1284"/>
      <c r="J33" s="1284"/>
      <c r="K33" s="1284"/>
      <c r="L33" s="1285"/>
      <c r="M33" s="1284"/>
      <c r="N33" s="1284"/>
      <c r="O33" s="1284"/>
      <c r="S33" s="4066" t="s">
        <v>415</v>
      </c>
      <c r="T33" s="4066"/>
      <c r="U33" s="1288"/>
      <c r="V33" s="4067" t="str">
        <f>IF(TITLE_NUMBER_PR_CHANGE="",IF(TITLE_NUMBER_PR="","",TITLE_NUMBER_PR),TITLE_NUMBER_PR_CHANGE)</f>
        <v>761-1/201-1</v>
      </c>
      <c r="W33" s="4067"/>
      <c r="X33" s="4067"/>
      <c r="Y33" s="4067"/>
      <c r="Z33" s="4067"/>
      <c r="AA33" s="4067"/>
      <c r="AB33" s="253"/>
      <c r="AC33" s="4067" t="str">
        <f>IF(TITLE_NUMBER_PR_CHANGE="",IF(TITLE_NUMBER_PR="","",TITLE_NUMBER_PR),TITLE_NUMBER_PR_CHANGE)</f>
        <v>761-1/201-1</v>
      </c>
      <c r="AD33" s="4067"/>
      <c r="AE33" s="4067"/>
      <c r="AF33" s="4067"/>
      <c r="AG33" s="4067"/>
      <c r="AH33" s="4067"/>
      <c r="AI33" s="253"/>
      <c r="AJ33" s="253"/>
      <c r="AK33" s="200"/>
      <c r="AL33" s="296"/>
      <c r="AM33" s="296"/>
      <c r="AN33" s="296"/>
      <c r="AO33" s="296"/>
      <c r="AP33" s="296"/>
    </row>
    <row r="34" spans="1:42" s="2564"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416</v>
      </c>
      <c r="AC34" s="253"/>
      <c r="AD34" s="253"/>
      <c r="AE34" s="253"/>
      <c r="AF34" s="253"/>
      <c r="AG34" s="253"/>
      <c r="AH34" s="253"/>
      <c r="AI34" s="198" t="s">
        <v>416</v>
      </c>
      <c r="AL34" s="296"/>
      <c r="AM34" s="296"/>
      <c r="AN34" s="296"/>
      <c r="AO34" s="296"/>
      <c r="AP34" s="296"/>
    </row>
    <row r="35" spans="1:42" ht="14.25" customHeight="1">
      <c r="Q35" s="305"/>
      <c r="R35" s="305"/>
      <c r="S35" s="1195"/>
      <c r="T35" s="290"/>
      <c r="U35" s="1153"/>
      <c r="V35" s="4068"/>
      <c r="W35" s="4068"/>
      <c r="X35" s="4068"/>
      <c r="Y35" s="4068"/>
      <c r="Z35" s="4068"/>
      <c r="AA35" s="4068"/>
      <c r="AB35" s="4068"/>
      <c r="AC35" s="4068"/>
      <c r="AD35" s="4068"/>
      <c r="AE35" s="4068"/>
      <c r="AF35" s="4068"/>
      <c r="AG35" s="4068"/>
      <c r="AH35" s="4068"/>
      <c r="AI35" s="4068"/>
    </row>
    <row r="36" spans="1:42" ht="14.25" customHeight="1">
      <c r="Q36" s="305"/>
      <c r="R36" s="305"/>
      <c r="S36" s="3946" t="s">
        <v>290</v>
      </c>
      <c r="T36" s="3946"/>
      <c r="U36" s="3946"/>
      <c r="V36" s="3946"/>
      <c r="W36" s="3946"/>
      <c r="X36" s="3946"/>
      <c r="Y36" s="3946"/>
      <c r="Z36" s="3946"/>
      <c r="AA36" s="3946"/>
      <c r="AB36" s="3946"/>
      <c r="AC36" s="3946"/>
      <c r="AD36" s="3946"/>
      <c r="AE36" s="3946"/>
      <c r="AF36" s="3946"/>
      <c r="AG36" s="3946"/>
      <c r="AH36" s="3946"/>
      <c r="AI36" s="3946"/>
      <c r="AJ36" s="3946"/>
      <c r="AK36" s="3946" t="s">
        <v>291</v>
      </c>
    </row>
    <row r="37" spans="1:42" ht="14.25" customHeight="1">
      <c r="Q37" s="305"/>
      <c r="R37" s="305"/>
      <c r="S37" s="4082" t="s">
        <v>86</v>
      </c>
      <c r="T37" s="4033" t="s">
        <v>418</v>
      </c>
      <c r="U37" s="220"/>
      <c r="V37" s="4083" t="s">
        <v>419</v>
      </c>
      <c r="W37" s="4084"/>
      <c r="X37" s="4084"/>
      <c r="Y37" s="4084"/>
      <c r="Z37" s="4084"/>
      <c r="AA37" s="4085"/>
      <c r="AB37" s="4086" t="s">
        <v>420</v>
      </c>
      <c r="AC37" s="4083" t="s">
        <v>419</v>
      </c>
      <c r="AD37" s="4084"/>
      <c r="AE37" s="4084"/>
      <c r="AF37" s="4084"/>
      <c r="AG37" s="4084"/>
      <c r="AH37" s="4085"/>
      <c r="AI37" s="4086" t="s">
        <v>421</v>
      </c>
      <c r="AJ37" s="4089" t="s">
        <v>422</v>
      </c>
      <c r="AK37" s="3946"/>
    </row>
    <row r="38" spans="1:42" ht="33.75" customHeight="1">
      <c r="Q38" s="305"/>
      <c r="R38" s="305"/>
      <c r="S38" s="4082"/>
      <c r="T38" s="4033"/>
      <c r="U38" s="938"/>
      <c r="V38" s="1393" t="s">
        <v>521</v>
      </c>
      <c r="W38" s="3918" t="s">
        <v>522</v>
      </c>
      <c r="X38" s="3917"/>
      <c r="Y38" s="3918" t="s">
        <v>426</v>
      </c>
      <c r="Z38" s="3923"/>
      <c r="AA38" s="3917"/>
      <c r="AB38" s="4087"/>
      <c r="AC38" s="1393" t="s">
        <v>521</v>
      </c>
      <c r="AD38" s="3918" t="s">
        <v>522</v>
      </c>
      <c r="AE38" s="3917"/>
      <c r="AF38" s="3918" t="s">
        <v>426</v>
      </c>
      <c r="AG38" s="3923"/>
      <c r="AH38" s="3917"/>
      <c r="AI38" s="4087"/>
      <c r="AJ38" s="4090"/>
      <c r="AK38" s="3946"/>
    </row>
    <row r="39" spans="1:42" ht="86.25" customHeight="1">
      <c r="A39" s="1286"/>
      <c r="B39" s="1286" t="s">
        <v>133</v>
      </c>
      <c r="C39" s="1286" t="s">
        <v>134</v>
      </c>
      <c r="D39" s="1286" t="s">
        <v>135</v>
      </c>
      <c r="E39" s="1280" t="s">
        <v>427</v>
      </c>
      <c r="F39" s="1280" t="s">
        <v>428</v>
      </c>
      <c r="G39" s="1280" t="s">
        <v>429</v>
      </c>
      <c r="H39" s="1280"/>
      <c r="I39" s="1280" t="s">
        <v>481</v>
      </c>
      <c r="J39" s="1280" t="s">
        <v>432</v>
      </c>
      <c r="K39" s="1280" t="s">
        <v>482</v>
      </c>
      <c r="L39" s="1280" t="s">
        <v>407</v>
      </c>
      <c r="Q39" s="305"/>
      <c r="R39" s="305"/>
      <c r="S39" s="4082"/>
      <c r="T39" s="4033"/>
      <c r="U39" s="221"/>
      <c r="V39" s="1393" t="s">
        <v>523</v>
      </c>
      <c r="W39" s="1128" t="s">
        <v>524</v>
      </c>
      <c r="X39" s="1128" t="s">
        <v>525</v>
      </c>
      <c r="Y39" s="1399" t="s">
        <v>436</v>
      </c>
      <c r="Z39" s="4042" t="s">
        <v>437</v>
      </c>
      <c r="AA39" s="4044"/>
      <c r="AB39" s="4088"/>
      <c r="AC39" s="1393" t="s">
        <v>523</v>
      </c>
      <c r="AD39" s="1128" t="s">
        <v>524</v>
      </c>
      <c r="AE39" s="1128" t="s">
        <v>525</v>
      </c>
      <c r="AF39" s="1399" t="s">
        <v>436</v>
      </c>
      <c r="AG39" s="4042" t="s">
        <v>437</v>
      </c>
      <c r="AH39" s="4044"/>
      <c r="AI39" s="4088"/>
      <c r="AJ39" s="4091"/>
      <c r="AK39" s="3946"/>
    </row>
    <row r="40" spans="1:42" s="1820"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107</v>
      </c>
      <c r="T40" s="1172" t="s">
        <v>108</v>
      </c>
      <c r="U40" s="1154" t="str">
        <f ca="1">OFFSET(U40,0,-1)</f>
        <v>2</v>
      </c>
      <c r="V40" s="1392">
        <f ca="1">OFFSET(V40,0,-1)+1</f>
        <v>3</v>
      </c>
      <c r="W40" s="1392">
        <f ca="1">OFFSET(W40,0,-1)+1</f>
        <v>4</v>
      </c>
      <c r="X40" s="1392">
        <f ca="1">OFFSET(X40,0,-1)+1</f>
        <v>5</v>
      </c>
      <c r="Y40" s="1392">
        <f ca="1">OFFSET(Y40,0,-1)+1</f>
        <v>6</v>
      </c>
      <c r="Z40" s="4081">
        <f ca="1">OFFSET(Z40,0,-1)+1</f>
        <v>7</v>
      </c>
      <c r="AA40" s="4081"/>
      <c r="AB40" s="1392">
        <f ca="1">OFFSET(AB40,0,-2)+1</f>
        <v>8</v>
      </c>
      <c r="AC40" s="1392">
        <f ca="1">OFFSET(AC40,0,-1)+1</f>
        <v>9</v>
      </c>
      <c r="AD40" s="1392">
        <f ca="1">OFFSET(AD40,0,-1)+1</f>
        <v>10</v>
      </c>
      <c r="AE40" s="1392">
        <f ca="1">OFFSET(AE40,0,-1)+1</f>
        <v>11</v>
      </c>
      <c r="AF40" s="1392">
        <f ca="1">OFFSET(AF40,0,-1)+1</f>
        <v>12</v>
      </c>
      <c r="AG40" s="4081">
        <f ca="1">OFFSET(AG40,0,-1)+1</f>
        <v>13</v>
      </c>
      <c r="AH40" s="4081"/>
      <c r="AI40" s="1392">
        <f ca="1">OFFSET(AI40,0,-2)+1</f>
        <v>14</v>
      </c>
      <c r="AJ40" s="1154">
        <f ca="1">OFFSET(AJ40,0,-1)</f>
        <v>14</v>
      </c>
      <c r="AK40" s="1392">
        <f ca="1">OFFSET(AK40,0,-1)+1</f>
        <v>15</v>
      </c>
      <c r="AL40" s="437"/>
      <c r="AM40" s="437"/>
      <c r="AN40" s="437"/>
      <c r="AO40" s="437"/>
      <c r="AP40" s="437"/>
    </row>
    <row r="41" spans="1:42" ht="23.25" customHeight="1">
      <c r="A41" s="1279" t="s">
        <v>241</v>
      </c>
      <c r="B41" s="1279"/>
      <c r="C41" s="1279"/>
      <c r="D41" s="1279"/>
      <c r="E41" s="4074">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121</v>
      </c>
      <c r="U41" s="219"/>
      <c r="V41" s="4060"/>
      <c r="W41" s="4061"/>
      <c r="X41" s="4061"/>
      <c r="Y41" s="4061"/>
      <c r="Z41" s="4061"/>
      <c r="AA41" s="4061"/>
      <c r="AB41" s="4062"/>
      <c r="AC41" s="4060" t="str">
        <f>INDEX(PT_DIFFERENTIATION_NTAR,MATCH(A41,PT_DIFFERENTIATION_NTAR_ID,0))</f>
        <v/>
      </c>
      <c r="AD41" s="4061"/>
      <c r="AE41" s="4061"/>
      <c r="AF41" s="4061"/>
      <c r="AG41" s="4061"/>
      <c r="AH41" s="4061"/>
      <c r="AI41" s="4061"/>
      <c r="AJ41" s="4062"/>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241</v>
      </c>
      <c r="B42" s="1279" t="s">
        <v>242</v>
      </c>
      <c r="C42" s="1279"/>
      <c r="D42" s="1279"/>
      <c r="E42" s="4075"/>
      <c r="F42" s="4074">
        <v>1</v>
      </c>
      <c r="G42" s="1279"/>
      <c r="H42" s="1279"/>
      <c r="I42" s="1279"/>
      <c r="J42" s="1279"/>
      <c r="K42" s="1279"/>
      <c r="L42" s="1280"/>
      <c r="M42" s="1281"/>
      <c r="N42" s="1281"/>
      <c r="O42" s="1281"/>
      <c r="P42" s="1397"/>
      <c r="Q42" s="277"/>
      <c r="R42" s="278"/>
      <c r="S42" s="1403" t="str">
        <f>INDEX(PT_DIFFERENTIATION_NUM_TER,MATCH(B42,PT_DIFFERENTIATION_TER_ID,0))</f>
        <v>.</v>
      </c>
      <c r="T42" s="229" t="s">
        <v>389</v>
      </c>
      <c r="U42" s="219"/>
      <c r="V42" s="4060"/>
      <c r="W42" s="4061"/>
      <c r="X42" s="4061"/>
      <c r="Y42" s="4061"/>
      <c r="Z42" s="4061"/>
      <c r="AA42" s="4061"/>
      <c r="AB42" s="4062"/>
      <c r="AC42" s="4060" t="str">
        <f>INDEX(PT_DIFFERENTIATION_TER,MATCH(B42,PT_DIFFERENTIATION_TER_ID,0))</f>
        <v/>
      </c>
      <c r="AD42" s="4061"/>
      <c r="AE42" s="4061"/>
      <c r="AF42" s="4061"/>
      <c r="AG42" s="4061"/>
      <c r="AH42" s="4061"/>
      <c r="AI42" s="4061"/>
      <c r="AJ42" s="4062"/>
      <c r="AK42" s="1177" t="s">
        <v>390</v>
      </c>
      <c r="AM42" s="426"/>
      <c r="AN42" s="426" t="str">
        <f t="shared" si="1"/>
        <v>Территория действия тарифа</v>
      </c>
      <c r="AO42" s="426"/>
      <c r="AP42" s="426"/>
    </row>
    <row r="43" spans="1:42" ht="23.25" customHeight="1">
      <c r="A43" s="1279" t="s">
        <v>241</v>
      </c>
      <c r="B43" s="1279" t="s">
        <v>242</v>
      </c>
      <c r="C43" s="1279" t="s">
        <v>243</v>
      </c>
      <c r="D43" s="1279"/>
      <c r="E43" s="4075"/>
      <c r="F43" s="4075"/>
      <c r="G43" s="4074">
        <v>1</v>
      </c>
      <c r="H43" s="1279"/>
      <c r="I43" s="1279"/>
      <c r="J43" s="1279"/>
      <c r="K43" s="1279"/>
      <c r="L43" s="1280"/>
      <c r="M43" s="1281"/>
      <c r="N43" s="1281"/>
      <c r="O43" s="1281"/>
      <c r="P43" s="279"/>
      <c r="Q43" s="277"/>
      <c r="R43" s="278"/>
      <c r="S43" s="1403" t="str">
        <f>INDEX(PT_DIFFERENTIATION_NUM_CS,MATCH(C43,PT_DIFFERENTIATION_CS_ID,0))</f>
        <v>..</v>
      </c>
      <c r="T43" s="230" t="s">
        <v>519</v>
      </c>
      <c r="U43" s="219"/>
      <c r="V43" s="4060"/>
      <c r="W43" s="4061"/>
      <c r="X43" s="4061"/>
      <c r="Y43" s="4061"/>
      <c r="Z43" s="4061"/>
      <c r="AA43" s="4061"/>
      <c r="AB43" s="4062"/>
      <c r="AC43" s="4060" t="str">
        <f>INDEX(PT_DIFFERENTIATION_CS,MATCH(C43,PT_DIFFERENTIATION_CS_ID,0))</f>
        <v/>
      </c>
      <c r="AD43" s="4061"/>
      <c r="AE43" s="4061"/>
      <c r="AF43" s="4061"/>
      <c r="AG43" s="4061"/>
      <c r="AH43" s="4061"/>
      <c r="AI43" s="4061"/>
      <c r="AJ43" s="4062"/>
      <c r="AK43" s="1177" t="s">
        <v>520</v>
      </c>
      <c r="AM43" s="426"/>
      <c r="AN43" s="426" t="str">
        <f t="shared" si="1"/>
        <v>Наименование централизованной системы горячего водоснабжения</v>
      </c>
      <c r="AO43" s="426"/>
      <c r="AP43" s="426"/>
    </row>
    <row r="44" spans="1:42" ht="23.25" customHeight="1">
      <c r="A44" s="1279" t="s">
        <v>241</v>
      </c>
      <c r="B44" s="1279" t="s">
        <v>242</v>
      </c>
      <c r="C44" s="1279" t="s">
        <v>243</v>
      </c>
      <c r="D44" s="1279" t="s">
        <v>526</v>
      </c>
      <c r="E44" s="4075"/>
      <c r="F44" s="4075"/>
      <c r="G44" s="4075"/>
      <c r="H44" s="4075"/>
      <c r="I44" s="4072" t="str">
        <f>S43&amp;".1"</f>
        <v>...1</v>
      </c>
      <c r="J44" s="1279"/>
      <c r="K44" s="1279"/>
      <c r="L44" s="1280"/>
      <c r="P44" s="4073">
        <v>1</v>
      </c>
      <c r="Q44" s="1391"/>
      <c r="R44" s="281"/>
      <c r="S44" s="1403" t="str">
        <f>$I44</f>
        <v>...1</v>
      </c>
      <c r="T44" s="204" t="s">
        <v>474</v>
      </c>
      <c r="U44" s="219"/>
      <c r="V44" s="4133"/>
      <c r="W44" s="4134"/>
      <c r="X44" s="4134"/>
      <c r="Y44" s="4134"/>
      <c r="Z44" s="4134"/>
      <c r="AA44" s="4134"/>
      <c r="AB44" s="4135"/>
      <c r="AC44" s="4136"/>
      <c r="AD44" s="4137"/>
      <c r="AE44" s="4137"/>
      <c r="AF44" s="4137"/>
      <c r="AG44" s="4137"/>
      <c r="AH44" s="4137"/>
      <c r="AI44" s="4137"/>
      <c r="AJ44" s="4138"/>
      <c r="AK44" s="1177" t="s">
        <v>475</v>
      </c>
      <c r="AM44" s="426"/>
      <c r="AN44" s="426" t="str">
        <f t="shared" si="1"/>
        <v>Наименование признака дифференциации</v>
      </c>
      <c r="AO44" s="426"/>
      <c r="AP44" s="426"/>
    </row>
    <row r="45" spans="1:42" ht="23.25" customHeight="1">
      <c r="A45" s="1279" t="s">
        <v>241</v>
      </c>
      <c r="B45" s="1279" t="s">
        <v>242</v>
      </c>
      <c r="C45" s="1279" t="s">
        <v>243</v>
      </c>
      <c r="D45" s="1279" t="s">
        <v>526</v>
      </c>
      <c r="E45" s="4075"/>
      <c r="F45" s="4075"/>
      <c r="G45" s="4075"/>
      <c r="H45" s="4075"/>
      <c r="I45" s="4095"/>
      <c r="J45" s="4072" t="str">
        <f>I44&amp;".1"</f>
        <v>...1.1</v>
      </c>
      <c r="K45" s="1279"/>
      <c r="L45" s="1280" t="s">
        <v>398</v>
      </c>
      <c r="P45" s="4073"/>
      <c r="Q45" s="4073">
        <v>1</v>
      </c>
      <c r="R45" s="282"/>
      <c r="S45" s="1403" t="str">
        <f>$J45</f>
        <v>...1.1</v>
      </c>
      <c r="T45" s="205" t="s">
        <v>399</v>
      </c>
      <c r="U45" s="219"/>
      <c r="V45" s="4063"/>
      <c r="W45" s="4064"/>
      <c r="X45" s="4064"/>
      <c r="Y45" s="4064"/>
      <c r="Z45" s="4064"/>
      <c r="AA45" s="4064"/>
      <c r="AB45" s="4065"/>
      <c r="AC45" s="4063"/>
      <c r="AD45" s="4064"/>
      <c r="AE45" s="4064"/>
      <c r="AF45" s="4064"/>
      <c r="AG45" s="4064"/>
      <c r="AH45" s="4064"/>
      <c r="AI45" s="4064"/>
      <c r="AJ45" s="4065"/>
      <c r="AK45" s="1226" t="s">
        <v>476</v>
      </c>
      <c r="AM45" s="426"/>
      <c r="AN45" s="426" t="str">
        <f t="shared" si="1"/>
        <v>Группа потребителей</v>
      </c>
      <c r="AO45" s="426"/>
      <c r="AP45" s="426"/>
    </row>
    <row r="46" spans="1:42" ht="23.25" customHeight="1">
      <c r="A46" s="1279" t="s">
        <v>241</v>
      </c>
      <c r="B46" s="1279" t="s">
        <v>242</v>
      </c>
      <c r="C46" s="1279" t="s">
        <v>243</v>
      </c>
      <c r="D46" s="1279" t="s">
        <v>526</v>
      </c>
      <c r="E46" s="4075"/>
      <c r="F46" s="4075"/>
      <c r="G46" s="4075"/>
      <c r="H46" s="4075"/>
      <c r="I46" s="4095"/>
      <c r="J46" s="4095"/>
      <c r="K46" s="4072" t="str">
        <f>J45&amp;".1"</f>
        <v>...1.1.1</v>
      </c>
      <c r="L46" s="1280"/>
      <c r="P46" s="4073"/>
      <c r="Q46" s="4073"/>
      <c r="R46" s="282">
        <v>1</v>
      </c>
      <c r="S46" s="1403" t="str">
        <f>$K46</f>
        <v>...1.1.1</v>
      </c>
      <c r="T46" s="1352"/>
      <c r="U46" s="219"/>
      <c r="V46" s="1276"/>
      <c r="W46" s="1276"/>
      <c r="X46" s="1277"/>
      <c r="Y46" s="4079"/>
      <c r="Z46" s="4080" t="s">
        <v>65</v>
      </c>
      <c r="AA46" s="4079"/>
      <c r="AB46" s="4080" t="s">
        <v>65</v>
      </c>
      <c r="AC46" s="668"/>
      <c r="AD46" s="668"/>
      <c r="AE46" s="1176"/>
      <c r="AF46" s="4077"/>
      <c r="AG46" s="3927" t="s">
        <v>65</v>
      </c>
      <c r="AH46" s="4096"/>
      <c r="AI46" s="3927" t="s">
        <v>55</v>
      </c>
      <c r="AJ46" s="1353"/>
      <c r="AK46" s="41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241</v>
      </c>
      <c r="B47" s="1279" t="s">
        <v>242</v>
      </c>
      <c r="C47" s="1279" t="s">
        <v>243</v>
      </c>
      <c r="D47" s="1279" t="s">
        <v>526</v>
      </c>
      <c r="E47" s="4075"/>
      <c r="F47" s="4075"/>
      <c r="G47" s="4075"/>
      <c r="H47" s="4075"/>
      <c r="I47" s="4095"/>
      <c r="J47" s="4095"/>
      <c r="K47" s="4072"/>
      <c r="L47" s="1280"/>
      <c r="P47" s="4073"/>
      <c r="Q47" s="4073"/>
      <c r="R47" s="282"/>
      <c r="S47" s="1400"/>
      <c r="T47" s="219"/>
      <c r="U47" s="219"/>
      <c r="V47" s="1276"/>
      <c r="W47" s="1276"/>
      <c r="X47" s="255" t="str">
        <f>Y46&amp;"-"&amp;AA46</f>
        <v>-</v>
      </c>
      <c r="Y47" s="4080"/>
      <c r="Z47" s="4080"/>
      <c r="AA47" s="4080"/>
      <c r="AB47" s="4080"/>
      <c r="AC47" s="251"/>
      <c r="AD47" s="251"/>
      <c r="AE47" s="255" t="str">
        <f>AF46&amp;"-"&amp;AH46</f>
        <v>-</v>
      </c>
      <c r="AF47" s="4078"/>
      <c r="AG47" s="3927"/>
      <c r="AH47" s="4097"/>
      <c r="AI47" s="3927"/>
      <c r="AJ47" s="1354"/>
      <c r="AK47" s="4132"/>
      <c r="AM47" s="426"/>
      <c r="AN47" s="426" t="str">
        <f t="shared" si="1"/>
        <v/>
      </c>
      <c r="AO47" s="426"/>
      <c r="AP47" s="426"/>
    </row>
    <row r="48" spans="1:42" ht="21" customHeight="1">
      <c r="A48" s="1279" t="s">
        <v>241</v>
      </c>
      <c r="B48" s="1279" t="s">
        <v>242</v>
      </c>
      <c r="C48" s="1279" t="s">
        <v>243</v>
      </c>
      <c r="D48" s="1279" t="s">
        <v>526</v>
      </c>
      <c r="E48" s="4075"/>
      <c r="F48" s="4075"/>
      <c r="G48" s="4075"/>
      <c r="H48" s="4075"/>
      <c r="I48" s="4095"/>
      <c r="J48" s="4072"/>
      <c r="K48" s="1279"/>
      <c r="L48" s="1280"/>
      <c r="P48" s="4073"/>
      <c r="Q48" s="4073"/>
      <c r="R48" s="281"/>
      <c r="S48" s="1198"/>
      <c r="T48" s="206" t="s">
        <v>477</v>
      </c>
      <c r="U48" s="295"/>
      <c r="V48" s="295"/>
      <c r="W48" s="295"/>
      <c r="X48" s="295"/>
      <c r="Y48" s="295"/>
      <c r="Z48" s="295"/>
      <c r="AA48" s="295"/>
      <c r="AB48" s="295"/>
      <c r="AC48" s="295"/>
      <c r="AD48" s="295"/>
      <c r="AE48" s="295"/>
      <c r="AF48" s="295"/>
      <c r="AG48" s="295"/>
      <c r="AH48" s="295"/>
      <c r="AI48" s="295"/>
      <c r="AJ48" s="295"/>
      <c r="AK48" s="1177" t="s">
        <v>478</v>
      </c>
      <c r="AM48" s="426"/>
      <c r="AN48" s="426" t="str">
        <f t="shared" si="1"/>
        <v>Добавить значение признака дифференциации</v>
      </c>
      <c r="AO48" s="426"/>
      <c r="AP48" s="426"/>
    </row>
    <row r="49" spans="1:42" ht="21" customHeight="1">
      <c r="A49" s="1279" t="s">
        <v>241</v>
      </c>
      <c r="B49" s="1279" t="s">
        <v>242</v>
      </c>
      <c r="C49" s="1279" t="s">
        <v>243</v>
      </c>
      <c r="D49" s="1279" t="s">
        <v>526</v>
      </c>
      <c r="E49" s="4075"/>
      <c r="F49" s="4075"/>
      <c r="G49" s="4075"/>
      <c r="H49" s="4075"/>
      <c r="I49" s="4072"/>
      <c r="J49" s="1279"/>
      <c r="K49" s="1279"/>
      <c r="L49" s="1280"/>
      <c r="P49" s="4073"/>
      <c r="Q49" s="1391"/>
      <c r="R49" s="281"/>
      <c r="S49" s="1198"/>
      <c r="T49" s="292" t="s">
        <v>404</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241</v>
      </c>
      <c r="B50" s="1279" t="s">
        <v>242</v>
      </c>
      <c r="C50" s="1279" t="s">
        <v>243</v>
      </c>
      <c r="D50" s="1279" t="s">
        <v>526</v>
      </c>
      <c r="E50" s="4075"/>
      <c r="F50" s="4075"/>
      <c r="G50" s="4075"/>
      <c r="H50" s="4074"/>
      <c r="I50" s="1279"/>
      <c r="J50" s="1279"/>
      <c r="K50" s="1279"/>
      <c r="L50" s="1280"/>
      <c r="M50" s="1281"/>
      <c r="N50" s="1281"/>
      <c r="O50" s="462"/>
      <c r="P50" s="285"/>
      <c r="Q50" s="304"/>
      <c r="R50" s="280"/>
      <c r="S50" s="1198"/>
      <c r="T50" s="300" t="s">
        <v>479</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2550" customFormat="1" ht="0" hidden="1" customHeight="1">
      <c r="A51" s="1260" t="s">
        <v>241</v>
      </c>
      <c r="B51" s="1260" t="s">
        <v>242</v>
      </c>
      <c r="C51" s="1232"/>
      <c r="D51" s="1232"/>
      <c r="E51" s="4075"/>
      <c r="F51" s="4074"/>
      <c r="G51" s="1232"/>
      <c r="H51" s="1232"/>
      <c r="I51" s="1232"/>
      <c r="J51" s="1232"/>
      <c r="K51" s="1232"/>
      <c r="L51" s="1404"/>
      <c r="M51" s="1239"/>
      <c r="N51" s="1239"/>
      <c r="P51" s="1234"/>
      <c r="Q51" s="1235"/>
      <c r="R51" s="1234"/>
      <c r="S51" s="1240"/>
      <c r="T51" s="1243" t="s">
        <v>167</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1" customFormat="1" ht="0" hidden="1" customHeight="1">
      <c r="A52" s="1260" t="s">
        <v>241</v>
      </c>
      <c r="B52" s="1260"/>
      <c r="C52" s="1260"/>
      <c r="D52" s="1260"/>
      <c r="E52" s="4074"/>
      <c r="F52" s="1260"/>
      <c r="G52" s="1260"/>
      <c r="H52" s="1260"/>
      <c r="I52" s="1260"/>
      <c r="J52" s="1260"/>
      <c r="K52" s="1260"/>
      <c r="L52" s="1263"/>
      <c r="M52" s="1239"/>
      <c r="N52" s="1239"/>
      <c r="O52" s="444"/>
      <c r="P52" s="313"/>
      <c r="Q52" s="1261"/>
      <c r="R52" s="313"/>
      <c r="S52" s="1240"/>
      <c r="T52" s="1243" t="s">
        <v>168</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2550"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169</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4094"/>
      <c r="U55" s="4094"/>
      <c r="V55" s="4094"/>
      <c r="W55" s="4094"/>
      <c r="X55" s="4094"/>
      <c r="Y55" s="4094"/>
      <c r="Z55" s="4094"/>
      <c r="AA55" s="4094"/>
      <c r="AB55" s="4094"/>
      <c r="AC55" s="4094"/>
      <c r="AD55" s="4094"/>
      <c r="AE55" s="4094"/>
      <c r="AF55" s="4094"/>
      <c r="AG55" s="4094"/>
      <c r="AH55" s="4094"/>
      <c r="AI55" s="4094"/>
      <c r="AJ55" s="4094"/>
      <c r="AK55" s="4094"/>
    </row>
    <row r="56" spans="1:42" ht="14.25" customHeight="1">
      <c r="O56" s="462"/>
    </row>
    <row r="57" spans="1:42" ht="14.25" customHeight="1">
      <c r="O57" s="462"/>
      <c r="S57" s="1164"/>
      <c r="T57" s="4094"/>
      <c r="U57" s="4094"/>
      <c r="V57" s="4094"/>
      <c r="W57" s="4094"/>
      <c r="X57" s="4094"/>
      <c r="Y57" s="4094"/>
      <c r="Z57" s="4094"/>
      <c r="AA57" s="4094"/>
      <c r="AB57" s="4094"/>
      <c r="AC57" s="4094"/>
      <c r="AD57" s="4094"/>
      <c r="AE57" s="4094"/>
      <c r="AF57" s="4094"/>
      <c r="AG57" s="4094"/>
      <c r="AH57" s="4094"/>
      <c r="AI57" s="4094"/>
      <c r="AJ57" s="4094"/>
      <c r="AK57" s="409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2553" hidden="1" customWidth="1"/>
    <col min="2" max="2" width="11" style="2553" hidden="1" customWidth="1"/>
    <col min="3" max="3" width="10.5703125" style="2553" hidden="1"/>
    <col min="4" max="4" width="12.85546875" style="2553" hidden="1" customWidth="1"/>
    <col min="5" max="5" width="10" style="2553" hidden="1" customWidth="1"/>
    <col min="6" max="6" width="8.7109375" style="2553" hidden="1" customWidth="1"/>
    <col min="7" max="7" width="7.5703125" style="2553" hidden="1" customWidth="1"/>
    <col min="8" max="8" width="11.42578125" style="2553" hidden="1" customWidth="1"/>
    <col min="9" max="9" width="12" style="2553" hidden="1" customWidth="1"/>
    <col min="10" max="10" width="9.85546875" style="2553" hidden="1" customWidth="1"/>
    <col min="11" max="11" width="11.42578125" style="2553" hidden="1" customWidth="1"/>
    <col min="12" max="12" width="19.140625" style="3808" hidden="1" customWidth="1"/>
    <col min="13" max="14" width="12.28515625" style="2555" hidden="1" customWidth="1"/>
    <col min="15" max="15" width="23.42578125" style="2555" hidden="1" customWidth="1"/>
    <col min="16" max="16" width="3.7109375" style="2555" hidden="1" customWidth="1"/>
    <col min="17" max="17" width="3.7109375" style="2556" hidden="1" customWidth="1"/>
    <col min="18" max="18" width="3.7109375" style="3173" customWidth="1"/>
    <col min="19" max="19" width="12.7109375" style="3174" customWidth="1"/>
    <col min="20" max="20" width="32" style="1920" customWidth="1"/>
    <col min="21" max="21" width="0.140625" style="1920" customWidth="1"/>
    <col min="22" max="25" width="21.7109375" style="1920" hidden="1" customWidth="1"/>
    <col min="26" max="26" width="11.7109375" style="1920" hidden="1" customWidth="1"/>
    <col min="27" max="27" width="3.7109375" style="1920" hidden="1" customWidth="1"/>
    <col min="28" max="28" width="11.7109375" style="1920" hidden="1" customWidth="1"/>
    <col min="29" max="29" width="8.5703125" style="1920" hidden="1" customWidth="1"/>
    <col min="30" max="32" width="3.7109375" style="1920" customWidth="1"/>
    <col min="33" max="33" width="24.7109375" style="1920" customWidth="1"/>
    <col min="34" max="36" width="3.7109375" style="1920" customWidth="1"/>
    <col min="37" max="37" width="24.7109375" style="1920" customWidth="1"/>
    <col min="38" max="40" width="3.7109375" style="1920" customWidth="1"/>
    <col min="41" max="41" width="18.85546875" style="1920" customWidth="1"/>
    <col min="42" max="44" width="3.7109375" style="1920" customWidth="1"/>
    <col min="45" max="45" width="18.85546875" style="1920" customWidth="1"/>
    <col min="46" max="49" width="21.7109375" style="1920" customWidth="1"/>
    <col min="50" max="50" width="11.7109375" style="1920" customWidth="1"/>
    <col min="51" max="51" width="3.7109375" style="1920" customWidth="1"/>
    <col min="52" max="52" width="11.7109375" style="1920" customWidth="1"/>
    <col min="53" max="53" width="8.5703125" style="1920" hidden="1" customWidth="1"/>
    <col min="54" max="54" width="4.7109375" style="1920" customWidth="1"/>
    <col min="55" max="55" width="115.7109375" style="1920" customWidth="1"/>
    <col min="56" max="57" width="10.5703125" style="1821"/>
    <col min="58" max="58" width="11.140625" style="1821" customWidth="1"/>
    <col min="59" max="60" width="10.5703125" style="1821"/>
  </cols>
  <sheetData>
    <row r="1" spans="1:60" ht="14.25" hidden="1" customHeight="1">
      <c r="W1" s="254"/>
      <c r="Y1" s="254"/>
      <c r="Z1" s="254"/>
      <c r="AW1" s="254"/>
      <c r="AX1" s="254"/>
    </row>
    <row r="2" spans="1:60" ht="21" hidden="1" customHeight="1">
      <c r="A2" s="1279"/>
      <c r="B2" s="1279"/>
      <c r="C2" s="1279"/>
      <c r="D2" s="1279"/>
      <c r="E2" s="4074">
        <v>1</v>
      </c>
      <c r="F2" s="1279"/>
      <c r="G2" s="1279"/>
      <c r="H2" s="1279"/>
      <c r="I2" s="1279"/>
      <c r="J2" s="1279"/>
      <c r="K2" s="1279"/>
      <c r="L2" s="1280"/>
      <c r="M2" s="1281"/>
      <c r="N2" s="1281"/>
      <c r="O2" s="1281"/>
      <c r="P2" s="1325"/>
      <c r="Q2" s="786"/>
      <c r="R2" s="280"/>
      <c r="S2" s="1403" t="e">
        <f>INDEX(PT_DIFFERENTIATION_NUM_NTAR,MATCH(A2,PT_DIFFERENTIATION_NTAR_ID,0))</f>
        <v>#N/A</v>
      </c>
      <c r="T2" s="217" t="s">
        <v>121</v>
      </c>
      <c r="U2" s="219"/>
      <c r="V2" s="4061"/>
      <c r="W2" s="4061"/>
      <c r="X2" s="4061"/>
      <c r="Y2" s="4061"/>
      <c r="Z2" s="4061"/>
      <c r="AA2" s="4061"/>
      <c r="AB2" s="4061"/>
      <c r="AC2" s="4062"/>
      <c r="AD2" s="4060" t="e">
        <f>INDEX(PT_DIFFERENTIATION_NTAR,MATCH(A2,PT_DIFFERENTIATION_NTAR_ID,0))</f>
        <v>#N/A</v>
      </c>
      <c r="AE2" s="4061"/>
      <c r="AF2" s="4061"/>
      <c r="AG2" s="4061"/>
      <c r="AH2" s="4061"/>
      <c r="AI2" s="4061"/>
      <c r="AJ2" s="4061"/>
      <c r="AK2" s="4061"/>
      <c r="AL2" s="4061"/>
      <c r="AM2" s="4061"/>
      <c r="AN2" s="4061"/>
      <c r="AO2" s="4061"/>
      <c r="AP2" s="4061"/>
      <c r="AQ2" s="4061"/>
      <c r="AR2" s="4061"/>
      <c r="AS2" s="4061"/>
      <c r="AT2" s="4061"/>
      <c r="AU2" s="4061"/>
      <c r="AV2" s="4061"/>
      <c r="AW2" s="4061"/>
      <c r="AX2" s="4061"/>
      <c r="AY2" s="4061"/>
      <c r="AZ2" s="4061"/>
      <c r="BA2" s="4061"/>
      <c r="BB2" s="4062"/>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4075"/>
      <c r="F3" s="4074">
        <v>1</v>
      </c>
      <c r="G3" s="1279"/>
      <c r="H3" s="1279"/>
      <c r="I3" s="1279"/>
      <c r="J3" s="1279"/>
      <c r="K3" s="1279"/>
      <c r="L3" s="1280"/>
      <c r="M3" s="1281"/>
      <c r="N3" s="1281"/>
      <c r="O3" s="1281"/>
      <c r="P3" s="1326"/>
      <c r="Q3" s="1327"/>
      <c r="R3" s="278"/>
      <c r="S3" s="1403" t="e">
        <f>INDEX(PT_DIFFERENTIATION_NUM_TER,MATCH(B3,PT_DIFFERENTIATION_TER_ID,0))</f>
        <v>#N/A</v>
      </c>
      <c r="T3" s="229" t="s">
        <v>389</v>
      </c>
      <c r="U3" s="219"/>
      <c r="V3" s="4061"/>
      <c r="W3" s="4061"/>
      <c r="X3" s="4061"/>
      <c r="Y3" s="4061"/>
      <c r="Z3" s="4061"/>
      <c r="AA3" s="4061"/>
      <c r="AB3" s="4061"/>
      <c r="AC3" s="4062"/>
      <c r="AD3" s="4060" t="e">
        <f>INDEX(PT_DIFFERENTIATION_TER,MATCH(B3,PT_DIFFERENTIATION_TER_ID,0))</f>
        <v>#N/A</v>
      </c>
      <c r="AE3" s="4061"/>
      <c r="AF3" s="4061"/>
      <c r="AG3" s="4061"/>
      <c r="AH3" s="4061"/>
      <c r="AI3" s="4061"/>
      <c r="AJ3" s="4061"/>
      <c r="AK3" s="4061"/>
      <c r="AL3" s="4061"/>
      <c r="AM3" s="4061"/>
      <c r="AN3" s="4061"/>
      <c r="AO3" s="4061"/>
      <c r="AP3" s="4061"/>
      <c r="AQ3" s="4061"/>
      <c r="AR3" s="4061"/>
      <c r="AS3" s="4061"/>
      <c r="AT3" s="4061"/>
      <c r="AU3" s="4061"/>
      <c r="AV3" s="4061"/>
      <c r="AW3" s="4061"/>
      <c r="AX3" s="4061"/>
      <c r="AY3" s="4061"/>
      <c r="AZ3" s="4061"/>
      <c r="BA3" s="4061"/>
      <c r="BB3" s="4062"/>
      <c r="BC3" s="1177" t="s">
        <v>390</v>
      </c>
      <c r="BE3" s="426"/>
      <c r="BF3" s="426" t="str">
        <f t="shared" si="0"/>
        <v>Территория действия тарифа</v>
      </c>
      <c r="BG3" s="426"/>
      <c r="BH3" s="426"/>
    </row>
    <row r="4" spans="1:60" ht="33.75" hidden="1" customHeight="1">
      <c r="A4" s="1279"/>
      <c r="B4" s="1279"/>
      <c r="C4" s="1279"/>
      <c r="D4" s="1279"/>
      <c r="E4" s="4075"/>
      <c r="F4" s="4075"/>
      <c r="G4" s="4074">
        <v>1</v>
      </c>
      <c r="H4" s="1279"/>
      <c r="I4" s="1279"/>
      <c r="J4" s="1279"/>
      <c r="K4" s="1279"/>
      <c r="L4" s="1280"/>
      <c r="M4" s="1281"/>
      <c r="N4" s="1281"/>
      <c r="O4" s="1281"/>
      <c r="P4" s="1328"/>
      <c r="Q4" s="1327"/>
      <c r="R4" s="278"/>
      <c r="S4" s="1403" t="e">
        <f>INDEX(PT_DIFFERENTIATION_NUM_CS,MATCH(C4,PT_DIFFERENTIATION_CS_ID,0))</f>
        <v>#N/A</v>
      </c>
      <c r="T4" s="230" t="s">
        <v>519</v>
      </c>
      <c r="U4" s="219"/>
      <c r="V4" s="4061"/>
      <c r="W4" s="4061"/>
      <c r="X4" s="4061"/>
      <c r="Y4" s="4061"/>
      <c r="Z4" s="4061"/>
      <c r="AA4" s="4061"/>
      <c r="AB4" s="4061"/>
      <c r="AC4" s="4062"/>
      <c r="AD4" s="4060" t="e">
        <f>INDEX(PT_DIFFERENTIATION_CS,MATCH(C4,PT_DIFFERENTIATION_CS_ID,0))</f>
        <v>#N/A</v>
      </c>
      <c r="AE4" s="4061"/>
      <c r="AF4" s="4061"/>
      <c r="AG4" s="4061"/>
      <c r="AH4" s="4061"/>
      <c r="AI4" s="4061"/>
      <c r="AJ4" s="4061"/>
      <c r="AK4" s="4061"/>
      <c r="AL4" s="4061"/>
      <c r="AM4" s="4061"/>
      <c r="AN4" s="4061"/>
      <c r="AO4" s="4061"/>
      <c r="AP4" s="4061"/>
      <c r="AQ4" s="4061"/>
      <c r="AR4" s="4061"/>
      <c r="AS4" s="4061"/>
      <c r="AT4" s="4061"/>
      <c r="AU4" s="4061"/>
      <c r="AV4" s="4061"/>
      <c r="AW4" s="4061"/>
      <c r="AX4" s="4061"/>
      <c r="AY4" s="4061"/>
      <c r="AZ4" s="4061"/>
      <c r="BA4" s="4061"/>
      <c r="BB4" s="4062"/>
      <c r="BC4" s="1177" t="s">
        <v>520</v>
      </c>
      <c r="BE4" s="426"/>
      <c r="BF4" s="426" t="str">
        <f t="shared" si="0"/>
        <v>Наименование централизованной системы горячего водоснабжения</v>
      </c>
      <c r="BG4" s="426"/>
      <c r="BH4" s="426"/>
    </row>
    <row r="5" spans="1:60" s="1821" customFormat="1" ht="14.25" hidden="1" customHeight="1">
      <c r="A5" s="1260"/>
      <c r="B5" s="1260"/>
      <c r="C5" s="1260"/>
      <c r="D5" s="1260"/>
      <c r="E5" s="4075"/>
      <c r="F5" s="4075"/>
      <c r="G5" s="4075"/>
      <c r="H5" s="4074">
        <v>1</v>
      </c>
      <c r="I5" s="1260"/>
      <c r="J5" s="1260"/>
      <c r="K5" s="1260"/>
      <c r="L5" s="1263"/>
      <c r="M5" s="1233"/>
      <c r="N5" s="1233"/>
      <c r="O5" s="1233"/>
      <c r="P5" s="1407"/>
      <c r="Q5" s="1408"/>
      <c r="R5" s="282"/>
      <c r="S5" s="949"/>
      <c r="T5" s="1409"/>
      <c r="U5" s="1300"/>
      <c r="V5" s="4102"/>
      <c r="W5" s="4102"/>
      <c r="X5" s="4102"/>
      <c r="Y5" s="4102"/>
      <c r="Z5" s="4102"/>
      <c r="AA5" s="4102"/>
      <c r="AB5" s="4102"/>
      <c r="AC5" s="4103"/>
      <c r="AD5" s="4101"/>
      <c r="AE5" s="4102"/>
      <c r="AF5" s="4102"/>
      <c r="AG5" s="4102"/>
      <c r="AH5" s="4102"/>
      <c r="AI5" s="4102"/>
      <c r="AJ5" s="4102"/>
      <c r="AK5" s="4102"/>
      <c r="AL5" s="4102"/>
      <c r="AM5" s="4102"/>
      <c r="AN5" s="4102"/>
      <c r="AO5" s="4102"/>
      <c r="AP5" s="4102"/>
      <c r="AQ5" s="4102"/>
      <c r="AR5" s="4102"/>
      <c r="AS5" s="4102"/>
      <c r="AT5" s="4102"/>
      <c r="AU5" s="4102"/>
      <c r="AV5" s="4102"/>
      <c r="AW5" s="4102"/>
      <c r="AX5" s="4102"/>
      <c r="AY5" s="4102"/>
      <c r="AZ5" s="4102"/>
      <c r="BA5" s="4102"/>
      <c r="BB5" s="4103"/>
      <c r="BC5" s="1301" t="s">
        <v>394</v>
      </c>
      <c r="BE5" s="426"/>
      <c r="BF5" s="426" t="str">
        <f t="shared" si="0"/>
        <v/>
      </c>
      <c r="BG5" s="426"/>
      <c r="BH5" s="426"/>
    </row>
    <row r="6" spans="1:60" s="1821" customFormat="1" ht="14.25" hidden="1" customHeight="1">
      <c r="A6" s="1260"/>
      <c r="B6" s="1260"/>
      <c r="C6" s="1260"/>
      <c r="D6" s="1260"/>
      <c r="E6" s="4075"/>
      <c r="F6" s="4075"/>
      <c r="G6" s="4075"/>
      <c r="H6" s="4075"/>
      <c r="I6" s="4072" t="str">
        <f>S5&amp;".1"</f>
        <v>.1</v>
      </c>
      <c r="J6" s="1260"/>
      <c r="K6" s="1260"/>
      <c r="L6" s="1263" t="s">
        <v>395</v>
      </c>
      <c r="M6" s="436"/>
      <c r="N6" s="436"/>
      <c r="O6" s="436"/>
      <c r="P6" s="4073">
        <v>1</v>
      </c>
      <c r="Q6" s="1391"/>
      <c r="R6" s="281"/>
      <c r="S6" s="949"/>
      <c r="T6" s="1299"/>
      <c r="U6" s="1300"/>
      <c r="V6" s="4102"/>
      <c r="W6" s="4102"/>
      <c r="X6" s="4102"/>
      <c r="Y6" s="4102"/>
      <c r="Z6" s="4102"/>
      <c r="AA6" s="4102"/>
      <c r="AB6" s="4102"/>
      <c r="AC6" s="4103"/>
      <c r="AD6" s="4101"/>
      <c r="AE6" s="4102"/>
      <c r="AF6" s="4102"/>
      <c r="AG6" s="4102"/>
      <c r="AH6" s="4102"/>
      <c r="AI6" s="4102"/>
      <c r="AJ6" s="4102"/>
      <c r="AK6" s="4102"/>
      <c r="AL6" s="4102"/>
      <c r="AM6" s="4102"/>
      <c r="AN6" s="4102"/>
      <c r="AO6" s="4102"/>
      <c r="AP6" s="4102"/>
      <c r="AQ6" s="4102"/>
      <c r="AR6" s="4102"/>
      <c r="AS6" s="4102"/>
      <c r="AT6" s="4102"/>
      <c r="AU6" s="4102"/>
      <c r="AV6" s="4102"/>
      <c r="AW6" s="4102"/>
      <c r="AX6" s="4102"/>
      <c r="AY6" s="4102"/>
      <c r="AZ6" s="4102"/>
      <c r="BA6" s="4102"/>
      <c r="BB6" s="4103"/>
      <c r="BC6" s="1301"/>
      <c r="BE6" s="426"/>
      <c r="BF6" s="426" t="str">
        <f t="shared" si="0"/>
        <v/>
      </c>
      <c r="BG6" s="426"/>
      <c r="BH6" s="426"/>
    </row>
    <row r="7" spans="1:60" s="1821" customFormat="1" ht="14.25" hidden="1" customHeight="1">
      <c r="A7" s="1260"/>
      <c r="B7" s="1260"/>
      <c r="C7" s="1260"/>
      <c r="D7" s="1260"/>
      <c r="E7" s="4075"/>
      <c r="F7" s="4075"/>
      <c r="G7" s="4075"/>
      <c r="H7" s="4075"/>
      <c r="I7" s="4095"/>
      <c r="J7" s="4072" t="str">
        <f>S5&amp;".1"</f>
        <v>.1</v>
      </c>
      <c r="K7" s="1260"/>
      <c r="L7" s="1263"/>
      <c r="M7" s="436"/>
      <c r="N7" s="436"/>
      <c r="O7" s="436"/>
      <c r="P7" s="4073"/>
      <c r="Q7" s="4073">
        <v>1</v>
      </c>
      <c r="R7" s="282"/>
      <c r="S7" s="949"/>
      <c r="T7" s="1315"/>
      <c r="U7" s="1300"/>
      <c r="V7" s="4102"/>
      <c r="W7" s="4102"/>
      <c r="X7" s="4102"/>
      <c r="Y7" s="4102"/>
      <c r="Z7" s="4102"/>
      <c r="AA7" s="4102"/>
      <c r="AB7" s="4102"/>
      <c r="AC7" s="4103"/>
      <c r="AD7" s="4101"/>
      <c r="AE7" s="4102"/>
      <c r="AF7" s="4102"/>
      <c r="AG7" s="4102"/>
      <c r="AH7" s="4102"/>
      <c r="AI7" s="4102"/>
      <c r="AJ7" s="4102"/>
      <c r="AK7" s="4102"/>
      <c r="AL7" s="4102"/>
      <c r="AM7" s="4102"/>
      <c r="AN7" s="4102"/>
      <c r="AO7" s="4102"/>
      <c r="AP7" s="4102"/>
      <c r="AQ7" s="4102"/>
      <c r="AR7" s="4102"/>
      <c r="AS7" s="4102"/>
      <c r="AT7" s="4102"/>
      <c r="AU7" s="4102"/>
      <c r="AV7" s="4102"/>
      <c r="AW7" s="4102"/>
      <c r="AX7" s="4102"/>
      <c r="AY7" s="4102"/>
      <c r="AZ7" s="4102"/>
      <c r="BA7" s="4102"/>
      <c r="BB7" s="4103"/>
      <c r="BC7" s="1301"/>
      <c r="BE7" s="426"/>
      <c r="BF7" s="426" t="str">
        <f t="shared" si="0"/>
        <v/>
      </c>
      <c r="BG7" s="426"/>
      <c r="BH7" s="426"/>
    </row>
    <row r="8" spans="1:60" ht="11.25" hidden="1" customHeight="1">
      <c r="A8" s="1279"/>
      <c r="B8" s="1279"/>
      <c r="C8" s="1279"/>
      <c r="D8" s="1279"/>
      <c r="E8" s="4075"/>
      <c r="F8" s="4075"/>
      <c r="G8" s="4075"/>
      <c r="H8" s="4075"/>
      <c r="I8" s="4095"/>
      <c r="J8" s="4095"/>
      <c r="K8" s="4072" t="e">
        <f>S4&amp;".1"</f>
        <v>#N/A</v>
      </c>
      <c r="L8" s="1280"/>
      <c r="P8" s="4073"/>
      <c r="Q8" s="4073"/>
      <c r="R8" s="4130">
        <v>1</v>
      </c>
      <c r="S8" s="4124" t="e">
        <f>$K8</f>
        <v>#N/A</v>
      </c>
      <c r="T8" s="4142"/>
      <c r="U8" s="219"/>
      <c r="V8" s="668"/>
      <c r="W8" s="1176"/>
      <c r="X8" s="668"/>
      <c r="Y8" s="1176"/>
      <c r="Z8" s="1644"/>
      <c r="AA8" s="1380" t="s">
        <v>65</v>
      </c>
      <c r="AB8" s="1644"/>
      <c r="AC8" s="1380" t="s">
        <v>65</v>
      </c>
      <c r="AD8" s="4001" t="s">
        <v>65</v>
      </c>
      <c r="AE8" s="4110"/>
      <c r="AF8" s="4028">
        <v>1</v>
      </c>
      <c r="AG8" s="4146"/>
      <c r="AH8" s="3927" t="s">
        <v>65</v>
      </c>
      <c r="AI8" s="4110"/>
      <c r="AJ8" s="4028">
        <v>1</v>
      </c>
      <c r="AK8" s="4145" t="s">
        <v>24</v>
      </c>
      <c r="AL8" s="3927" t="s">
        <v>65</v>
      </c>
      <c r="AM8" s="4018"/>
      <c r="AN8" s="4028">
        <v>1</v>
      </c>
      <c r="AO8" s="4139"/>
      <c r="AP8" s="4140" t="s">
        <v>65</v>
      </c>
      <c r="AQ8" s="232"/>
      <c r="AR8" s="1396">
        <v>1</v>
      </c>
      <c r="AS8" s="1402" t="s">
        <v>24</v>
      </c>
      <c r="AT8" s="668"/>
      <c r="AU8" s="1176"/>
      <c r="AV8" s="668"/>
      <c r="AW8" s="1176"/>
      <c r="AX8" s="1644"/>
      <c r="AY8" s="1380" t="s">
        <v>65</v>
      </c>
      <c r="AZ8" s="1644"/>
      <c r="BA8" s="1380" t="s">
        <v>65</v>
      </c>
      <c r="BB8" s="1265"/>
      <c r="BC8" s="4069" t="s">
        <v>490</v>
      </c>
      <c r="BE8" s="426"/>
      <c r="BF8" s="426" t="str">
        <f t="shared" si="0"/>
        <v/>
      </c>
      <c r="BG8" s="426"/>
      <c r="BH8" s="426"/>
    </row>
    <row r="9" spans="1:60" ht="11.25" hidden="1" customHeight="1">
      <c r="A9" s="1279"/>
      <c r="B9" s="1279"/>
      <c r="C9" s="1279"/>
      <c r="D9" s="1279"/>
      <c r="E9" s="4075"/>
      <c r="F9" s="4075"/>
      <c r="G9" s="4075"/>
      <c r="H9" s="4075"/>
      <c r="I9" s="4095"/>
      <c r="J9" s="4095"/>
      <c r="K9" s="4072"/>
      <c r="L9" s="1280"/>
      <c r="P9" s="4073"/>
      <c r="Q9" s="4073"/>
      <c r="R9" s="4130"/>
      <c r="S9" s="4125"/>
      <c r="T9" s="4143"/>
      <c r="U9" s="219"/>
      <c r="V9" s="1309"/>
      <c r="W9" s="1406"/>
      <c r="X9" s="1309"/>
      <c r="Y9" s="1406"/>
      <c r="Z9" s="1309"/>
      <c r="AA9" s="1309"/>
      <c r="AB9" s="1309"/>
      <c r="AC9" s="1309"/>
      <c r="AD9" s="4002"/>
      <c r="AE9" s="4110"/>
      <c r="AF9" s="4028"/>
      <c r="AG9" s="4146"/>
      <c r="AH9" s="3927"/>
      <c r="AI9" s="4110"/>
      <c r="AJ9" s="4028"/>
      <c r="AK9" s="4145"/>
      <c r="AL9" s="3927"/>
      <c r="AM9" s="4023"/>
      <c r="AN9" s="4028"/>
      <c r="AO9" s="4139"/>
      <c r="AP9" s="4141"/>
      <c r="AQ9" s="239"/>
      <c r="AR9" s="350"/>
      <c r="AS9" s="350" t="s">
        <v>491</v>
      </c>
      <c r="AT9" s="1309"/>
      <c r="AU9" s="1406"/>
      <c r="AV9" s="1309"/>
      <c r="AW9" s="1406"/>
      <c r="AX9" s="1309"/>
      <c r="AY9" s="1309"/>
      <c r="AZ9" s="1309"/>
      <c r="BA9" s="1309"/>
      <c r="BB9" s="1313"/>
      <c r="BC9" s="4070"/>
      <c r="BE9" s="426"/>
      <c r="BF9" s="426"/>
      <c r="BG9" s="426"/>
      <c r="BH9" s="426"/>
    </row>
    <row r="10" spans="1:60" ht="11.25" hidden="1" customHeight="1">
      <c r="A10" s="1279"/>
      <c r="B10" s="1279"/>
      <c r="C10" s="1279"/>
      <c r="D10" s="1279"/>
      <c r="E10" s="4075"/>
      <c r="F10" s="4075"/>
      <c r="G10" s="4075"/>
      <c r="H10" s="4075"/>
      <c r="I10" s="4095"/>
      <c r="J10" s="4095"/>
      <c r="K10" s="4072"/>
      <c r="L10" s="1280"/>
      <c r="P10" s="4073"/>
      <c r="Q10" s="4073"/>
      <c r="R10" s="4130"/>
      <c r="S10" s="4125"/>
      <c r="T10" s="4143"/>
      <c r="U10" s="219"/>
      <c r="V10" s="1309"/>
      <c r="W10" s="1406"/>
      <c r="X10" s="1309"/>
      <c r="Y10" s="1406"/>
      <c r="Z10" s="1309"/>
      <c r="AA10" s="1309"/>
      <c r="AB10" s="1309"/>
      <c r="AC10" s="1309"/>
      <c r="AD10" s="4002"/>
      <c r="AE10" s="4110"/>
      <c r="AF10" s="4028"/>
      <c r="AG10" s="4146"/>
      <c r="AH10" s="3927"/>
      <c r="AI10" s="4110"/>
      <c r="AJ10" s="4028"/>
      <c r="AK10" s="4145"/>
      <c r="AL10" s="3927"/>
      <c r="AM10" s="239"/>
      <c r="AN10" s="1410"/>
      <c r="AO10" s="1410" t="s">
        <v>492</v>
      </c>
      <c r="AP10" s="350"/>
      <c r="AQ10" s="350"/>
      <c r="AR10" s="350"/>
      <c r="AS10" s="1309"/>
      <c r="AT10" s="1309"/>
      <c r="AU10" s="1406"/>
      <c r="AV10" s="1309"/>
      <c r="AW10" s="1406"/>
      <c r="AX10" s="1309"/>
      <c r="AY10" s="1309"/>
      <c r="AZ10" s="1309"/>
      <c r="BA10" s="1309"/>
      <c r="BB10" s="1313"/>
      <c r="BC10" s="4070"/>
      <c r="BE10" s="426"/>
      <c r="BF10" s="426"/>
      <c r="BG10" s="426"/>
      <c r="BH10" s="426"/>
    </row>
    <row r="11" spans="1:60" ht="11.25" hidden="1" customHeight="1">
      <c r="A11" s="1279"/>
      <c r="B11" s="1279"/>
      <c r="C11" s="1279"/>
      <c r="D11" s="1279"/>
      <c r="E11" s="4075"/>
      <c r="F11" s="4075"/>
      <c r="G11" s="4075"/>
      <c r="H11" s="4075"/>
      <c r="I11" s="4095"/>
      <c r="J11" s="4095"/>
      <c r="K11" s="4072"/>
      <c r="L11" s="1280"/>
      <c r="P11" s="4073"/>
      <c r="Q11" s="4073"/>
      <c r="R11" s="4130"/>
      <c r="S11" s="4125"/>
      <c r="T11" s="4143"/>
      <c r="U11" s="219"/>
      <c r="V11" s="1309"/>
      <c r="W11" s="1406"/>
      <c r="X11" s="1309"/>
      <c r="Y11" s="1406"/>
      <c r="Z11" s="1309"/>
      <c r="AA11" s="1309"/>
      <c r="AB11" s="1309"/>
      <c r="AC11" s="1309"/>
      <c r="AD11" s="4002"/>
      <c r="AE11" s="4110"/>
      <c r="AF11" s="4028"/>
      <c r="AG11" s="4146"/>
      <c r="AH11" s="3927"/>
      <c r="AI11" s="213"/>
      <c r="AJ11" s="349"/>
      <c r="AK11" s="234" t="s">
        <v>493</v>
      </c>
      <c r="AL11" s="1309"/>
      <c r="AM11" s="1309"/>
      <c r="AN11" s="1309"/>
      <c r="AO11" s="1309"/>
      <c r="AP11" s="1309"/>
      <c r="AQ11" s="1309"/>
      <c r="AR11" s="1309"/>
      <c r="AS11" s="1309"/>
      <c r="AT11" s="1309"/>
      <c r="AU11" s="1406"/>
      <c r="AV11" s="1309"/>
      <c r="AW11" s="1406"/>
      <c r="AX11" s="1309"/>
      <c r="AY11" s="1309"/>
      <c r="AZ11" s="1309"/>
      <c r="BA11" s="1309"/>
      <c r="BB11" s="1313"/>
      <c r="BC11" s="4070"/>
      <c r="BE11" s="426"/>
      <c r="BF11" s="426"/>
      <c r="BG11" s="426"/>
      <c r="BH11" s="426"/>
    </row>
    <row r="12" spans="1:60" ht="11.25" hidden="1" customHeight="1">
      <c r="A12" s="1279"/>
      <c r="B12" s="1279"/>
      <c r="C12" s="1279"/>
      <c r="D12" s="1279"/>
      <c r="E12" s="4075"/>
      <c r="F12" s="4075"/>
      <c r="G12" s="4075"/>
      <c r="H12" s="4075"/>
      <c r="I12" s="4095"/>
      <c r="J12" s="4095"/>
      <c r="K12" s="4072"/>
      <c r="L12" s="1280"/>
      <c r="P12" s="4073"/>
      <c r="Q12" s="4073"/>
      <c r="R12" s="4130"/>
      <c r="S12" s="4126"/>
      <c r="T12" s="4144"/>
      <c r="U12" s="219"/>
      <c r="V12" s="1309"/>
      <c r="W12" s="1310" t="str">
        <f>Z8&amp;"-"&amp;AB8</f>
        <v>-</v>
      </c>
      <c r="X12" s="1309"/>
      <c r="Y12" s="1310" t="str">
        <f>AB8&amp;"-"&amp;AD8</f>
        <v>-да</v>
      </c>
      <c r="Z12" s="1309"/>
      <c r="AA12" s="1309"/>
      <c r="AB12" s="1309"/>
      <c r="AC12" s="1309"/>
      <c r="AD12" s="3932"/>
      <c r="AE12" s="233"/>
      <c r="AF12" s="235"/>
      <c r="AG12" s="350" t="s">
        <v>494</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4070"/>
      <c r="BE12" s="426"/>
      <c r="BF12" s="426" t="str">
        <f t="shared" ref="BF12:BF18" si="1">IF(T12="","",T12)</f>
        <v/>
      </c>
      <c r="BG12" s="426"/>
      <c r="BH12" s="426"/>
    </row>
    <row r="13" spans="1:60" ht="11.25" hidden="1" customHeight="1">
      <c r="A13" s="1279"/>
      <c r="B13" s="1279"/>
      <c r="C13" s="1279"/>
      <c r="D13" s="1279"/>
      <c r="E13" s="4075"/>
      <c r="F13" s="4075"/>
      <c r="G13" s="4075"/>
      <c r="H13" s="4075"/>
      <c r="I13" s="4095"/>
      <c r="J13" s="4072"/>
      <c r="K13" s="1279"/>
      <c r="L13" s="1280"/>
      <c r="P13" s="4073"/>
      <c r="Q13" s="4073"/>
      <c r="R13" s="281"/>
      <c r="S13" s="1198"/>
      <c r="T13" s="206" t="s">
        <v>458</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4071"/>
      <c r="BE13" s="426"/>
      <c r="BF13" s="426" t="str">
        <f t="shared" si="1"/>
        <v>Добавить строку</v>
      </c>
      <c r="BG13" s="426"/>
      <c r="BH13" s="426"/>
    </row>
    <row r="14" spans="1:60" s="1821" customFormat="1" ht="14.25" hidden="1" customHeight="1">
      <c r="A14" s="1260"/>
      <c r="B14" s="1260"/>
      <c r="C14" s="1260"/>
      <c r="D14" s="1260"/>
      <c r="E14" s="4075"/>
      <c r="F14" s="4075"/>
      <c r="G14" s="4075"/>
      <c r="H14" s="4075"/>
      <c r="I14" s="4072"/>
      <c r="J14" s="1260"/>
      <c r="K14" s="1260"/>
      <c r="L14" s="1263"/>
      <c r="M14" s="436"/>
      <c r="N14" s="436"/>
      <c r="O14" s="436"/>
      <c r="P14" s="4073"/>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21" customFormat="1" ht="14.25" hidden="1" customHeight="1">
      <c r="A15" s="1260"/>
      <c r="B15" s="1260"/>
      <c r="C15" s="1260"/>
      <c r="D15" s="1260"/>
      <c r="E15" s="4075"/>
      <c r="F15" s="4075"/>
      <c r="G15" s="4075"/>
      <c r="H15" s="4074"/>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2550" customFormat="1" ht="14.25" hidden="1" customHeight="1">
      <c r="A16" s="1260"/>
      <c r="B16" s="1260"/>
      <c r="C16" s="1260"/>
      <c r="D16" s="1232"/>
      <c r="E16" s="4075"/>
      <c r="F16" s="4075"/>
      <c r="G16" s="4074"/>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2550" customFormat="1" ht="14.25" hidden="1" customHeight="1">
      <c r="A17" s="1260"/>
      <c r="B17" s="1260"/>
      <c r="C17" s="1232"/>
      <c r="D17" s="1232"/>
      <c r="E17" s="4075"/>
      <c r="F17" s="4074"/>
      <c r="G17" s="1232"/>
      <c r="H17" s="1232"/>
      <c r="I17" s="1232"/>
      <c r="J17" s="1232"/>
      <c r="K17" s="1232"/>
      <c r="L17" s="1404"/>
      <c r="M17" s="1239"/>
      <c r="N17" s="1239"/>
      <c r="P17" s="1234"/>
      <c r="Q17" s="1235"/>
      <c r="R17" s="1234"/>
      <c r="S17" s="1240"/>
      <c r="T17" s="1243" t="s">
        <v>167</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21" customFormat="1" ht="14.25" hidden="1" customHeight="1">
      <c r="A18" s="1260"/>
      <c r="B18" s="1260"/>
      <c r="C18" s="1260"/>
      <c r="D18" s="1260"/>
      <c r="E18" s="4074"/>
      <c r="F18" s="1260"/>
      <c r="G18" s="1260"/>
      <c r="H18" s="1260"/>
      <c r="I18" s="1260"/>
      <c r="J18" s="1260"/>
      <c r="K18" s="1260"/>
      <c r="L18" s="1263"/>
      <c r="M18" s="1239"/>
      <c r="N18" s="1239"/>
      <c r="O18" s="444"/>
      <c r="P18" s="313"/>
      <c r="Q18" s="1261"/>
      <c r="R18" s="313"/>
      <c r="S18" s="1240"/>
      <c r="T18" s="1243" t="s">
        <v>168</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55</v>
      </c>
      <c r="AE20" s="1411"/>
      <c r="AF20" s="473">
        <v>1</v>
      </c>
      <c r="AG20" s="1412"/>
      <c r="AH20" s="1242" t="s">
        <v>55</v>
      </c>
      <c r="AI20" s="1411"/>
      <c r="AJ20" s="473">
        <v>1</v>
      </c>
      <c r="AK20" s="1412"/>
      <c r="AL20" s="1242" t="s">
        <v>55</v>
      </c>
      <c r="AM20" s="1413"/>
      <c r="AN20" s="473">
        <v>1</v>
      </c>
      <c r="AO20" s="1414"/>
      <c r="AP20" s="1242" t="s">
        <v>55</v>
      </c>
      <c r="AQ20" s="1413"/>
      <c r="AR20" s="473">
        <v>1</v>
      </c>
      <c r="AS20" s="1414"/>
      <c r="AT20" s="251"/>
      <c r="AU20" s="318"/>
      <c r="AV20" s="251"/>
      <c r="AW20" s="318"/>
      <c r="AX20" s="1646"/>
      <c r="AY20" s="1395" t="s">
        <v>65</v>
      </c>
      <c r="AZ20" s="1646"/>
      <c r="BA20" s="1395" t="s">
        <v>65</v>
      </c>
    </row>
    <row r="21" spans="1:60" ht="14.25" hidden="1" customHeight="1">
      <c r="BD21" s="422"/>
      <c r="BE21" s="422"/>
      <c r="BF21" s="422"/>
      <c r="BG21" s="422"/>
      <c r="BH21" s="422"/>
    </row>
    <row r="22" spans="1:60" ht="14.25" hidden="1" customHeight="1">
      <c r="O22" s="1283" t="s">
        <v>406</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3802" customFormat="1" ht="14.25" hidden="1" customHeight="1">
      <c r="M24" s="1418"/>
      <c r="N24" s="1418"/>
      <c r="O24" s="1419" t="s">
        <v>407</v>
      </c>
      <c r="P24" s="1418"/>
      <c r="Q24" s="1420"/>
      <c r="R24" s="1420"/>
      <c r="AA24" s="1417" t="s">
        <v>409</v>
      </c>
      <c r="AC24" s="1417" t="s">
        <v>410</v>
      </c>
      <c r="AD24" s="1417" t="s">
        <v>459</v>
      </c>
      <c r="AH24" s="1417" t="s">
        <v>459</v>
      </c>
      <c r="AK24" s="1417" t="s">
        <v>495</v>
      </c>
      <c r="AL24" s="1417" t="s">
        <v>459</v>
      </c>
      <c r="AP24" s="1417" t="s">
        <v>459</v>
      </c>
      <c r="AY24" s="1417" t="s">
        <v>409</v>
      </c>
      <c r="BA24" s="1417" t="s">
        <v>410</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405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4058"/>
      <c r="U28" s="4058"/>
      <c r="V28" s="4058"/>
      <c r="W28" s="4058"/>
      <c r="X28" s="4058"/>
      <c r="Y28" s="4058"/>
      <c r="Z28" s="4058"/>
      <c r="AA28" s="4058"/>
      <c r="AB28" s="4058"/>
      <c r="AC28" s="4058"/>
      <c r="AD28" s="4058"/>
      <c r="AE28" s="4058"/>
      <c r="AF28" s="4058"/>
      <c r="AG28" s="4058"/>
      <c r="AH28" s="4058"/>
      <c r="AI28" s="4058"/>
      <c r="AJ28" s="4058"/>
      <c r="AK28" s="4058"/>
      <c r="AL28" s="4058"/>
      <c r="AM28" s="4058"/>
      <c r="AN28" s="4058"/>
      <c r="AO28" s="4058"/>
      <c r="AP28" s="4058"/>
      <c r="AQ28" s="4058"/>
      <c r="AR28" s="4058"/>
      <c r="AS28" s="4058"/>
      <c r="AT28" s="4058"/>
      <c r="AU28" s="4058"/>
      <c r="AV28" s="4058"/>
      <c r="AW28" s="4058"/>
      <c r="AX28" s="4058"/>
      <c r="AY28" s="4058"/>
      <c r="AZ28" s="4058"/>
      <c r="BA28" s="1152"/>
    </row>
    <row r="29" spans="1:60" ht="14.25" customHeight="1">
      <c r="Q29" s="210"/>
      <c r="R29" s="305"/>
      <c r="S29" s="4004" t="str">
        <f>IF(org=0,"Не определено",org)</f>
        <v>ООО «РИР-Сахалин»</v>
      </c>
      <c r="T29" s="4004"/>
      <c r="U29" s="4004"/>
      <c r="V29" s="4004"/>
      <c r="W29" s="4004"/>
      <c r="X29" s="4004"/>
      <c r="Y29" s="4004"/>
      <c r="Z29" s="4004"/>
      <c r="AA29" s="4004"/>
      <c r="AB29" s="4004"/>
      <c r="AC29" s="4004"/>
      <c r="AD29" s="4004"/>
      <c r="AE29" s="4004"/>
      <c r="AF29" s="4004"/>
      <c r="AG29" s="4004"/>
      <c r="AH29" s="4004"/>
      <c r="AI29" s="4004"/>
      <c r="AJ29" s="4004"/>
      <c r="AK29" s="4004"/>
      <c r="AL29" s="4004"/>
      <c r="AM29" s="4004"/>
      <c r="AN29" s="4004"/>
      <c r="AO29" s="4004"/>
      <c r="AP29" s="4004"/>
      <c r="AQ29" s="4004"/>
      <c r="AR29" s="4004"/>
      <c r="AS29" s="4004"/>
      <c r="AT29" s="4004"/>
      <c r="AU29" s="4004"/>
      <c r="AV29" s="4004"/>
      <c r="AW29" s="4004"/>
      <c r="AX29" s="4004"/>
      <c r="AY29" s="4004"/>
      <c r="AZ29" s="4004"/>
      <c r="BA29" s="1152"/>
    </row>
    <row r="30" spans="1:60" ht="14.25" hidden="1"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2564" customFormat="1" ht="25.5" hidden="1" customHeight="1">
      <c r="A31" s="1284"/>
      <c r="B31" s="1284"/>
      <c r="C31" s="1284"/>
      <c r="D31" s="1284"/>
      <c r="E31" s="1284"/>
      <c r="F31" s="1284"/>
      <c r="G31" s="1284"/>
      <c r="H31" s="1284"/>
      <c r="I31" s="1284"/>
      <c r="J31" s="1284"/>
      <c r="K31" s="1284"/>
      <c r="L31" s="1285"/>
      <c r="M31" s="1284"/>
      <c r="N31" s="1284"/>
      <c r="O31" s="1284"/>
      <c r="P31" s="1284"/>
      <c r="Q31" s="1284"/>
      <c r="S31" s="4066" t="s">
        <v>38</v>
      </c>
      <c r="T31" s="4066"/>
      <c r="U31" s="1288"/>
      <c r="V31" s="4067" t="str">
        <f>IF(TITLE_NAME_OR_PR_CHANGE="",IF(TITLE_NAME_OR_PR="","",TITLE_NAME_OR_PR),TITLE_NAME_OR_PR_CHANGE)</f>
        <v/>
      </c>
      <c r="W31" s="4067"/>
      <c r="X31" s="4067"/>
      <c r="Y31" s="4067"/>
      <c r="Z31" s="4067"/>
      <c r="AA31" s="4067"/>
      <c r="AB31" s="4067"/>
      <c r="AC31" s="253"/>
      <c r="AD31" s="4067" t="str">
        <f>IF(TITLE_NAME_OR_PR_CHANGE="",IF(TITLE_NAME_OR_PR="","",TITLE_NAME_OR_PR),TITLE_NAME_OR_PR_CHANGE)</f>
        <v/>
      </c>
      <c r="AE31" s="4067"/>
      <c r="AF31" s="4067"/>
      <c r="AG31" s="4067"/>
      <c r="AH31" s="4067"/>
      <c r="AI31" s="4067"/>
      <c r="AJ31" s="4067"/>
      <c r="AK31" s="4067"/>
      <c r="AL31" s="4067"/>
      <c r="AM31" s="4067"/>
      <c r="AN31" s="4067"/>
      <c r="AO31" s="4067"/>
      <c r="AP31" s="4067"/>
      <c r="AQ31" s="4067"/>
      <c r="AR31" s="4067"/>
      <c r="AS31" s="4067"/>
      <c r="AT31" s="4067"/>
      <c r="AU31" s="4067"/>
      <c r="AV31" s="4067"/>
      <c r="AW31" s="4067"/>
      <c r="AX31" s="4067"/>
      <c r="AY31" s="4067"/>
      <c r="AZ31" s="4067"/>
      <c r="BA31" s="253"/>
      <c r="BB31" s="253"/>
      <c r="BC31" s="200"/>
      <c r="BD31" s="296"/>
      <c r="BE31" s="296"/>
      <c r="BF31" s="296"/>
      <c r="BG31" s="296"/>
      <c r="BH31" s="296"/>
    </row>
    <row r="32" spans="1:60" s="2564" customFormat="1" ht="18.75" hidden="1" customHeight="1">
      <c r="A32" s="1284"/>
      <c r="B32" s="1284"/>
      <c r="C32" s="1284"/>
      <c r="D32" s="1284"/>
      <c r="E32" s="1284"/>
      <c r="F32" s="1284"/>
      <c r="G32" s="1284"/>
      <c r="H32" s="1284"/>
      <c r="I32" s="1284"/>
      <c r="J32" s="1284"/>
      <c r="K32" s="1284"/>
      <c r="L32" s="1285"/>
      <c r="M32" s="1284"/>
      <c r="N32" s="1284"/>
      <c r="O32" s="1284"/>
      <c r="P32" s="1284"/>
      <c r="Q32" s="1284"/>
      <c r="S32" s="4066" t="s">
        <v>412</v>
      </c>
      <c r="T32" s="4066"/>
      <c r="U32" s="1288"/>
      <c r="V32" s="4076">
        <f>IF(TITLE_DATE_PR_CHANGE="",IF(TITLE_DATE_PR="","",TITLE_DATE_PR),TITLE_DATE_PR_CHANGE)</f>
        <v>45289.465104166666</v>
      </c>
      <c r="W32" s="4076"/>
      <c r="X32" s="4076"/>
      <c r="Y32" s="4076"/>
      <c r="Z32" s="4076"/>
      <c r="AA32" s="4076"/>
      <c r="AB32" s="4076"/>
      <c r="AC32" s="253"/>
      <c r="AD32" s="4076">
        <f>IF(TITLE_DATE_PR_CHANGE="",IF(TITLE_DATE_PR="","",TITLE_DATE_PR),TITLE_DATE_PR_CHANGE)</f>
        <v>45289.465104166666</v>
      </c>
      <c r="AE32" s="4076"/>
      <c r="AF32" s="4076"/>
      <c r="AG32" s="4076"/>
      <c r="AH32" s="4076"/>
      <c r="AI32" s="4076"/>
      <c r="AJ32" s="4076"/>
      <c r="AK32" s="4076"/>
      <c r="AL32" s="4076"/>
      <c r="AM32" s="4076"/>
      <c r="AN32" s="4076"/>
      <c r="AO32" s="4076"/>
      <c r="AP32" s="4076"/>
      <c r="AQ32" s="4076"/>
      <c r="AR32" s="4076"/>
      <c r="AS32" s="4076"/>
      <c r="AT32" s="4076"/>
      <c r="AU32" s="4076"/>
      <c r="AV32" s="4076"/>
      <c r="AW32" s="4076"/>
      <c r="AX32" s="4076"/>
      <c r="AY32" s="4076"/>
      <c r="AZ32" s="4076"/>
      <c r="BA32" s="253"/>
      <c r="BB32" s="253"/>
      <c r="BC32" s="200"/>
      <c r="BD32" s="296"/>
      <c r="BE32" s="296"/>
      <c r="BF32" s="296"/>
      <c r="BG32" s="296"/>
      <c r="BH32" s="296"/>
    </row>
    <row r="33" spans="1:60" s="2564" customFormat="1" ht="18.75" hidden="1" customHeight="1">
      <c r="A33" s="1284"/>
      <c r="B33" s="1284"/>
      <c r="C33" s="1284"/>
      <c r="D33" s="1284"/>
      <c r="E33" s="1284"/>
      <c r="F33" s="1284"/>
      <c r="G33" s="1284"/>
      <c r="H33" s="1284"/>
      <c r="I33" s="1284"/>
      <c r="J33" s="1284"/>
      <c r="K33" s="1284"/>
      <c r="L33" s="1285"/>
      <c r="M33" s="1284"/>
      <c r="N33" s="1284"/>
      <c r="O33" s="1284"/>
      <c r="P33" s="1284"/>
      <c r="Q33" s="1284"/>
      <c r="S33" s="4066" t="s">
        <v>413</v>
      </c>
      <c r="T33" s="4066"/>
      <c r="U33" s="1288"/>
      <c r="V33" s="4067" t="str">
        <f>IF(TITLE_NUMBER_PR_CHANGE="",IF(TITLE_NUMBER_PR="","",TITLE_NUMBER_PR),TITLE_NUMBER_PR_CHANGE)</f>
        <v>761-1/201-1</v>
      </c>
      <c r="W33" s="4067"/>
      <c r="X33" s="4067"/>
      <c r="Y33" s="4067"/>
      <c r="Z33" s="4067"/>
      <c r="AA33" s="4067"/>
      <c r="AB33" s="4067"/>
      <c r="AC33" s="253"/>
      <c r="AD33" s="4067" t="str">
        <f>IF(TITLE_NUMBER_PR_CHANGE="",IF(TITLE_NUMBER_PR="","",TITLE_NUMBER_PR),TITLE_NUMBER_PR_CHANGE)</f>
        <v>761-1/201-1</v>
      </c>
      <c r="AE33" s="4067"/>
      <c r="AF33" s="4067"/>
      <c r="AG33" s="4067"/>
      <c r="AH33" s="4067"/>
      <c r="AI33" s="4067"/>
      <c r="AJ33" s="4067"/>
      <c r="AK33" s="4067"/>
      <c r="AL33" s="4067"/>
      <c r="AM33" s="4067"/>
      <c r="AN33" s="4067"/>
      <c r="AO33" s="4067"/>
      <c r="AP33" s="4067"/>
      <c r="AQ33" s="4067"/>
      <c r="AR33" s="4067"/>
      <c r="AS33" s="4067"/>
      <c r="AT33" s="4067"/>
      <c r="AU33" s="4067"/>
      <c r="AV33" s="4067"/>
      <c r="AW33" s="4067"/>
      <c r="AX33" s="4067"/>
      <c r="AY33" s="4067"/>
      <c r="AZ33" s="4067"/>
      <c r="BA33" s="253"/>
      <c r="BB33" s="253"/>
      <c r="BC33" s="200"/>
      <c r="BD33" s="296"/>
      <c r="BE33" s="296"/>
      <c r="BF33" s="296"/>
      <c r="BG33" s="296"/>
      <c r="BH33" s="296"/>
    </row>
    <row r="34" spans="1:60" s="2564" customFormat="1" ht="18.75" hidden="1" customHeight="1">
      <c r="A34" s="1284"/>
      <c r="B34" s="1284"/>
      <c r="C34" s="1284"/>
      <c r="D34" s="1284"/>
      <c r="E34" s="1284"/>
      <c r="F34" s="1284"/>
      <c r="G34" s="1284"/>
      <c r="H34" s="1284"/>
      <c r="I34" s="1284"/>
      <c r="J34" s="1284"/>
      <c r="K34" s="1284"/>
      <c r="L34" s="1285"/>
      <c r="M34" s="1284"/>
      <c r="N34" s="1284"/>
      <c r="O34" s="1284"/>
      <c r="P34" s="1284"/>
      <c r="Q34" s="1284"/>
      <c r="S34" s="4066" t="s">
        <v>39</v>
      </c>
      <c r="T34" s="4066"/>
      <c r="U34" s="1288"/>
      <c r="V34" s="4067" t="str">
        <f>IF(TITLE_IST_PUB_CHANGE="",IF(TITLE_IST_PUB="","",TITLE_IST_PUB),TITLE_IST_PUB_CHANGE)</f>
        <v/>
      </c>
      <c r="W34" s="4067"/>
      <c r="X34" s="4067"/>
      <c r="Y34" s="4067"/>
      <c r="Z34" s="4067"/>
      <c r="AA34" s="4067"/>
      <c r="AB34" s="4067"/>
      <c r="AC34" s="253"/>
      <c r="AD34" s="4067" t="str">
        <f>IF(TITLE_IST_PUB_CHANGE="",IF(TITLE_IST_PUB="","",TITLE_IST_PUB),TITLE_IST_PUB_CHANGE)</f>
        <v/>
      </c>
      <c r="AE34" s="4067"/>
      <c r="AF34" s="4067"/>
      <c r="AG34" s="4067"/>
      <c r="AH34" s="4067"/>
      <c r="AI34" s="4067"/>
      <c r="AJ34" s="4067"/>
      <c r="AK34" s="4067"/>
      <c r="AL34" s="4067"/>
      <c r="AM34" s="4067"/>
      <c r="AN34" s="4067"/>
      <c r="AO34" s="4067"/>
      <c r="AP34" s="4067"/>
      <c r="AQ34" s="4067"/>
      <c r="AR34" s="4067"/>
      <c r="AS34" s="4067"/>
      <c r="AT34" s="4067"/>
      <c r="AU34" s="4067"/>
      <c r="AV34" s="4067"/>
      <c r="AW34" s="4067"/>
      <c r="AX34" s="4067"/>
      <c r="AY34" s="4067"/>
      <c r="AZ34" s="4067"/>
      <c r="BA34" s="253"/>
      <c r="BB34" s="253"/>
      <c r="BC34" s="200"/>
      <c r="BD34" s="296"/>
      <c r="BE34" s="296"/>
      <c r="BF34" s="296"/>
      <c r="BG34" s="296"/>
      <c r="BH34" s="296"/>
    </row>
    <row r="35" spans="1:60" ht="14.25"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2564" customFormat="1" ht="18.75" customHeight="1">
      <c r="A36" s="1284"/>
      <c r="B36" s="1284"/>
      <c r="C36" s="1284"/>
      <c r="D36" s="1284"/>
      <c r="E36" s="1284"/>
      <c r="F36" s="1284"/>
      <c r="G36" s="1284"/>
      <c r="H36" s="1284"/>
      <c r="I36" s="1284"/>
      <c r="J36" s="1284"/>
      <c r="K36" s="1284"/>
      <c r="L36" s="1285"/>
      <c r="M36" s="1284"/>
      <c r="N36" s="1284"/>
      <c r="O36" s="1284"/>
      <c r="P36" s="1284"/>
      <c r="Q36" s="1284"/>
      <c r="S36" s="4066" t="s">
        <v>412</v>
      </c>
      <c r="T36" s="4066"/>
      <c r="U36" s="1288"/>
      <c r="V36" s="4076">
        <f>IF(TITLE_DATE_PR_CHANGE="",IF(TITLE_DATE_PR="","",TITLE_DATE_PR),TITLE_DATE_PR_CHANGE)</f>
        <v>45289.465104166666</v>
      </c>
      <c r="W36" s="4076"/>
      <c r="X36" s="4076"/>
      <c r="Y36" s="4076"/>
      <c r="Z36" s="4076"/>
      <c r="AA36" s="4076"/>
      <c r="AB36" s="4076"/>
      <c r="AC36" s="253"/>
      <c r="AD36" s="4076">
        <f>IF(TITLE_DATE_PR_CHANGE="",IF(TITLE_DATE_PR="","",TITLE_DATE_PR),TITLE_DATE_PR_CHANGE)</f>
        <v>45289.465104166666</v>
      </c>
      <c r="AE36" s="4076"/>
      <c r="AF36" s="4076"/>
      <c r="AG36" s="4076"/>
      <c r="AH36" s="4076"/>
      <c r="AI36" s="4076"/>
      <c r="AJ36" s="4076"/>
      <c r="AK36" s="4076"/>
      <c r="AL36" s="4076"/>
      <c r="AM36" s="4076"/>
      <c r="AN36" s="4076"/>
      <c r="AO36" s="4076"/>
      <c r="AP36" s="4076"/>
      <c r="AQ36" s="4076"/>
      <c r="AR36" s="4076"/>
      <c r="AS36" s="4076"/>
      <c r="AT36" s="4076"/>
      <c r="AU36" s="4076"/>
      <c r="AV36" s="4076"/>
      <c r="AW36" s="4076"/>
      <c r="AX36" s="4076"/>
      <c r="AY36" s="4076"/>
      <c r="AZ36" s="4076"/>
      <c r="BA36" s="253"/>
      <c r="BB36" s="253"/>
      <c r="BC36" s="200"/>
      <c r="BD36" s="296"/>
      <c r="BE36" s="296"/>
      <c r="BF36" s="296"/>
      <c r="BG36" s="296"/>
      <c r="BH36" s="296"/>
    </row>
    <row r="37" spans="1:60" s="2564" customFormat="1" ht="18.75" customHeight="1">
      <c r="A37" s="1284"/>
      <c r="B37" s="1284"/>
      <c r="C37" s="1284"/>
      <c r="D37" s="1284"/>
      <c r="E37" s="1284"/>
      <c r="F37" s="1284"/>
      <c r="G37" s="1284"/>
      <c r="H37" s="1284"/>
      <c r="I37" s="1284"/>
      <c r="J37" s="1284"/>
      <c r="K37" s="1284"/>
      <c r="L37" s="1285"/>
      <c r="M37" s="1284"/>
      <c r="N37" s="1284"/>
      <c r="O37" s="1284"/>
      <c r="P37" s="1284"/>
      <c r="Q37" s="1284"/>
      <c r="S37" s="4066" t="s">
        <v>413</v>
      </c>
      <c r="T37" s="4066"/>
      <c r="U37" s="1288"/>
      <c r="V37" s="4067" t="str">
        <f>IF(TITLE_NUMBER_PR_CHANGE="",IF(TITLE_NUMBER_PR="","",TITLE_NUMBER_PR),TITLE_NUMBER_PR_CHANGE)</f>
        <v>761-1/201-1</v>
      </c>
      <c r="W37" s="4067"/>
      <c r="X37" s="4067"/>
      <c r="Y37" s="4067"/>
      <c r="Z37" s="4067"/>
      <c r="AA37" s="4067"/>
      <c r="AB37" s="4067"/>
      <c r="AC37" s="253"/>
      <c r="AD37" s="4067" t="str">
        <f>IF(TITLE_NUMBER_PR_CHANGE="",IF(TITLE_NUMBER_PR="","",TITLE_NUMBER_PR),TITLE_NUMBER_PR_CHANGE)</f>
        <v>761-1/201-1</v>
      </c>
      <c r="AE37" s="4067"/>
      <c r="AF37" s="4067"/>
      <c r="AG37" s="4067"/>
      <c r="AH37" s="4067"/>
      <c r="AI37" s="4067"/>
      <c r="AJ37" s="4067"/>
      <c r="AK37" s="4067"/>
      <c r="AL37" s="4067"/>
      <c r="AM37" s="4067"/>
      <c r="AN37" s="4067"/>
      <c r="AO37" s="4067"/>
      <c r="AP37" s="4067"/>
      <c r="AQ37" s="4067"/>
      <c r="AR37" s="4067"/>
      <c r="AS37" s="4067"/>
      <c r="AT37" s="4067"/>
      <c r="AU37" s="4067"/>
      <c r="AV37" s="4067"/>
      <c r="AW37" s="4067"/>
      <c r="AX37" s="4067"/>
      <c r="AY37" s="4067"/>
      <c r="AZ37" s="4067"/>
      <c r="BA37" s="253"/>
      <c r="BB37" s="253"/>
      <c r="BC37" s="200"/>
      <c r="BD37" s="296"/>
      <c r="BE37" s="296"/>
      <c r="BF37" s="296"/>
      <c r="BG37" s="296"/>
      <c r="BH37" s="296"/>
    </row>
    <row r="38" spans="1:60" s="2564"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98"/>
      <c r="V38" s="253"/>
      <c r="W38" s="253"/>
      <c r="X38" s="253"/>
      <c r="Y38" s="253"/>
      <c r="Z38" s="253"/>
      <c r="AA38" s="253"/>
      <c r="AB38" s="253"/>
      <c r="AC38" s="198" t="s">
        <v>416</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416</v>
      </c>
      <c r="BD38" s="296"/>
      <c r="BE38" s="296"/>
      <c r="BF38" s="296"/>
      <c r="BG38" s="296"/>
      <c r="BH38" s="296"/>
    </row>
    <row r="39" spans="1:60" ht="14.25" customHeight="1">
      <c r="Q39" s="210"/>
      <c r="R39" s="305"/>
      <c r="S39" s="1195"/>
      <c r="T39" s="290"/>
      <c r="U39" s="1153"/>
      <c r="V39" s="4068"/>
      <c r="W39" s="4068"/>
      <c r="X39" s="4068"/>
      <c r="Y39" s="4068"/>
      <c r="Z39" s="4068"/>
      <c r="AA39" s="4068"/>
      <c r="AB39" s="4068"/>
      <c r="AC39" s="4068"/>
      <c r="AD39" s="4068"/>
      <c r="AE39" s="4068"/>
      <c r="AF39" s="4068"/>
      <c r="AG39" s="4068"/>
      <c r="AH39" s="4068"/>
      <c r="AI39" s="4068"/>
      <c r="AJ39" s="4068"/>
      <c r="AK39" s="4068"/>
      <c r="AL39" s="4068"/>
      <c r="AM39" s="4068"/>
      <c r="AN39" s="4068"/>
      <c r="AO39" s="4068"/>
      <c r="AP39" s="4068"/>
      <c r="AQ39" s="4068"/>
      <c r="AR39" s="4068"/>
      <c r="AS39" s="4068"/>
      <c r="AT39" s="4068"/>
      <c r="AU39" s="4068"/>
      <c r="AV39" s="4068"/>
      <c r="AW39" s="4068"/>
      <c r="AX39" s="4068"/>
      <c r="AY39" s="4068"/>
      <c r="AZ39" s="4068"/>
      <c r="BA39" s="4068"/>
    </row>
    <row r="40" spans="1:60" ht="14.25" customHeight="1">
      <c r="Q40" s="210"/>
      <c r="R40" s="305"/>
      <c r="S40" s="3946" t="s">
        <v>290</v>
      </c>
      <c r="T40" s="3946"/>
      <c r="U40" s="3946"/>
      <c r="V40" s="3946"/>
      <c r="W40" s="3946"/>
      <c r="X40" s="3946"/>
      <c r="Y40" s="3946"/>
      <c r="Z40" s="3946"/>
      <c r="AA40" s="3946"/>
      <c r="AB40" s="3946"/>
      <c r="AC40" s="3946"/>
      <c r="AD40" s="3946"/>
      <c r="AE40" s="3946"/>
      <c r="AF40" s="3946"/>
      <c r="AG40" s="3946"/>
      <c r="AH40" s="3946"/>
      <c r="AI40" s="3946"/>
      <c r="AJ40" s="3946"/>
      <c r="AK40" s="3946"/>
      <c r="AL40" s="3946"/>
      <c r="AM40" s="3946"/>
      <c r="AN40" s="3946"/>
      <c r="AO40" s="3946"/>
      <c r="AP40" s="3946"/>
      <c r="AQ40" s="3946"/>
      <c r="AR40" s="3946"/>
      <c r="AS40" s="3946"/>
      <c r="AT40" s="3946"/>
      <c r="AU40" s="3946"/>
      <c r="AV40" s="3946"/>
      <c r="AW40" s="3946"/>
      <c r="AX40" s="3946"/>
      <c r="AY40" s="3946"/>
      <c r="AZ40" s="3946"/>
      <c r="BA40" s="3946"/>
      <c r="BB40" s="3946"/>
      <c r="BC40" s="3946" t="s">
        <v>291</v>
      </c>
    </row>
    <row r="41" spans="1:60" ht="14.25" customHeight="1">
      <c r="Q41" s="210"/>
      <c r="R41" s="305"/>
      <c r="S41" s="4082" t="s">
        <v>86</v>
      </c>
      <c r="T41" s="4033" t="s">
        <v>496</v>
      </c>
      <c r="U41" s="220"/>
      <c r="V41" s="4083" t="s">
        <v>419</v>
      </c>
      <c r="W41" s="4084"/>
      <c r="X41" s="4084"/>
      <c r="Y41" s="4084"/>
      <c r="Z41" s="4084"/>
      <c r="AA41" s="4084"/>
      <c r="AB41" s="4085"/>
      <c r="AC41" s="4086" t="s">
        <v>420</v>
      </c>
      <c r="AD41" s="4112" t="s">
        <v>497</v>
      </c>
      <c r="AE41" s="4098"/>
      <c r="AF41" s="4098"/>
      <c r="AG41" s="4113"/>
      <c r="AH41" s="4112" t="s">
        <v>498</v>
      </c>
      <c r="AI41" s="4098"/>
      <c r="AJ41" s="4098"/>
      <c r="AK41" s="4113"/>
      <c r="AL41" s="4112" t="s">
        <v>499</v>
      </c>
      <c r="AM41" s="4098"/>
      <c r="AN41" s="4098"/>
      <c r="AO41" s="4113"/>
      <c r="AP41" s="4112" t="s">
        <v>500</v>
      </c>
      <c r="AQ41" s="4098"/>
      <c r="AR41" s="4098"/>
      <c r="AS41" s="4113"/>
      <c r="AT41" s="4083" t="s">
        <v>419</v>
      </c>
      <c r="AU41" s="4084"/>
      <c r="AV41" s="4084"/>
      <c r="AW41" s="4084"/>
      <c r="AX41" s="4084"/>
      <c r="AY41" s="4084"/>
      <c r="AZ41" s="4085"/>
      <c r="BA41" s="4086" t="s">
        <v>420</v>
      </c>
      <c r="BB41" s="4089" t="s">
        <v>422</v>
      </c>
      <c r="BC41" s="3946"/>
    </row>
    <row r="42" spans="1:60" ht="33.75" customHeight="1">
      <c r="Q42" s="210"/>
      <c r="R42" s="305"/>
      <c r="S42" s="4082"/>
      <c r="T42" s="4033"/>
      <c r="U42" s="938"/>
      <c r="V42" s="4018" t="s">
        <v>501</v>
      </c>
      <c r="W42" s="4019"/>
      <c r="X42" s="4018" t="s">
        <v>502</v>
      </c>
      <c r="Y42" s="4019"/>
      <c r="Z42" s="4018" t="s">
        <v>503</v>
      </c>
      <c r="AA42" s="4107"/>
      <c r="AB42" s="4019"/>
      <c r="AC42" s="4087"/>
      <c r="AD42" s="4114"/>
      <c r="AE42" s="4115"/>
      <c r="AF42" s="4115"/>
      <c r="AG42" s="4116"/>
      <c r="AH42" s="4114"/>
      <c r="AI42" s="4115"/>
      <c r="AJ42" s="4115"/>
      <c r="AK42" s="4116"/>
      <c r="AL42" s="4114"/>
      <c r="AM42" s="4115"/>
      <c r="AN42" s="4115"/>
      <c r="AO42" s="4116"/>
      <c r="AP42" s="4114"/>
      <c r="AQ42" s="4115"/>
      <c r="AR42" s="4115"/>
      <c r="AS42" s="4116"/>
      <c r="AT42" s="4018" t="s">
        <v>501</v>
      </c>
      <c r="AU42" s="4019"/>
      <c r="AV42" s="4018" t="s">
        <v>502</v>
      </c>
      <c r="AW42" s="4019"/>
      <c r="AX42" s="4018" t="s">
        <v>503</v>
      </c>
      <c r="AY42" s="4107"/>
      <c r="AZ42" s="4019"/>
      <c r="BA42" s="4087"/>
      <c r="BB42" s="4090"/>
      <c r="BC42" s="3946"/>
    </row>
    <row r="43" spans="1:60" ht="14.25" customHeight="1">
      <c r="Q43" s="210"/>
      <c r="R43" s="305"/>
      <c r="S43" s="4082"/>
      <c r="T43" s="4033"/>
      <c r="U43" s="938"/>
      <c r="V43" s="4023"/>
      <c r="W43" s="4024"/>
      <c r="X43" s="4023"/>
      <c r="Y43" s="4024"/>
      <c r="Z43" s="4023"/>
      <c r="AA43" s="4108"/>
      <c r="AB43" s="4024"/>
      <c r="AC43" s="4087"/>
      <c r="AD43" s="4114"/>
      <c r="AE43" s="4115"/>
      <c r="AF43" s="4115"/>
      <c r="AG43" s="4116"/>
      <c r="AH43" s="4114"/>
      <c r="AI43" s="4115"/>
      <c r="AJ43" s="4115"/>
      <c r="AK43" s="4116"/>
      <c r="AL43" s="4114"/>
      <c r="AM43" s="4115"/>
      <c r="AN43" s="4115"/>
      <c r="AO43" s="4116"/>
      <c r="AP43" s="4114"/>
      <c r="AQ43" s="4115"/>
      <c r="AR43" s="4115"/>
      <c r="AS43" s="4116"/>
      <c r="AT43" s="4023"/>
      <c r="AU43" s="4024"/>
      <c r="AV43" s="4023"/>
      <c r="AW43" s="4024"/>
      <c r="AX43" s="4023"/>
      <c r="AY43" s="4108"/>
      <c r="AZ43" s="4024"/>
      <c r="BA43" s="4087"/>
      <c r="BB43" s="4090"/>
      <c r="BC43" s="3946"/>
    </row>
    <row r="44" spans="1:60" ht="14.25" customHeight="1">
      <c r="A44" s="1286"/>
      <c r="B44" s="1286" t="s">
        <v>133</v>
      </c>
      <c r="C44" s="1286" t="s">
        <v>134</v>
      </c>
      <c r="D44" s="1286" t="s">
        <v>135</v>
      </c>
      <c r="E44" s="1280" t="s">
        <v>427</v>
      </c>
      <c r="F44" s="1280" t="s">
        <v>428</v>
      </c>
      <c r="G44" s="1280" t="s">
        <v>429</v>
      </c>
      <c r="H44" s="1280" t="s">
        <v>430</v>
      </c>
      <c r="I44" s="1280" t="s">
        <v>431</v>
      </c>
      <c r="J44" s="1280" t="s">
        <v>432</v>
      </c>
      <c r="K44" s="1280" t="s">
        <v>433</v>
      </c>
      <c r="L44" s="1280" t="s">
        <v>407</v>
      </c>
      <c r="Q44" s="210"/>
      <c r="R44" s="305"/>
      <c r="S44" s="4082"/>
      <c r="T44" s="4033"/>
      <c r="U44" s="221"/>
      <c r="V44" s="1389" t="s">
        <v>469</v>
      </c>
      <c r="W44" s="1389" t="s">
        <v>470</v>
      </c>
      <c r="X44" s="1389" t="s">
        <v>469</v>
      </c>
      <c r="Y44" s="1389" t="s">
        <v>470</v>
      </c>
      <c r="Z44" s="1399" t="s">
        <v>436</v>
      </c>
      <c r="AA44" s="4042" t="s">
        <v>437</v>
      </c>
      <c r="AB44" s="4044"/>
      <c r="AC44" s="4088"/>
      <c r="AD44" s="4117"/>
      <c r="AE44" s="4118"/>
      <c r="AF44" s="4118"/>
      <c r="AG44" s="4119"/>
      <c r="AH44" s="4117"/>
      <c r="AI44" s="4118"/>
      <c r="AJ44" s="4118"/>
      <c r="AK44" s="4119"/>
      <c r="AL44" s="4117"/>
      <c r="AM44" s="4118"/>
      <c r="AN44" s="4118"/>
      <c r="AO44" s="4119"/>
      <c r="AP44" s="4117"/>
      <c r="AQ44" s="4118"/>
      <c r="AR44" s="4118"/>
      <c r="AS44" s="4119"/>
      <c r="AT44" s="1389" t="s">
        <v>469</v>
      </c>
      <c r="AU44" s="1389" t="s">
        <v>470</v>
      </c>
      <c r="AV44" s="1389" t="s">
        <v>469</v>
      </c>
      <c r="AW44" s="1389" t="s">
        <v>470</v>
      </c>
      <c r="AX44" s="1399" t="s">
        <v>436</v>
      </c>
      <c r="AY44" s="4042" t="s">
        <v>437</v>
      </c>
      <c r="AZ44" s="4044"/>
      <c r="BA44" s="4088"/>
      <c r="BB44" s="4091"/>
      <c r="BC44" s="3946"/>
    </row>
    <row r="45" spans="1:60" s="1820" customFormat="1" ht="0"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107</v>
      </c>
      <c r="T45" s="1172" t="s">
        <v>108</v>
      </c>
      <c r="U45" s="1154" t="str">
        <f ca="1">OFFSET(U45,0,-1)</f>
        <v>2</v>
      </c>
      <c r="V45" s="1392">
        <f t="shared" ref="V45:AA45" ca="1" si="2">OFFSET(V45,0,-1)+1</f>
        <v>3</v>
      </c>
      <c r="W45" s="1392">
        <f t="shared" ca="1" si="2"/>
        <v>4</v>
      </c>
      <c r="X45" s="1392">
        <f t="shared" ca="1" si="2"/>
        <v>5</v>
      </c>
      <c r="Y45" s="1392">
        <f t="shared" ca="1" si="2"/>
        <v>6</v>
      </c>
      <c r="Z45" s="1392">
        <f t="shared" ca="1" si="2"/>
        <v>7</v>
      </c>
      <c r="AA45" s="4081">
        <f t="shared" ca="1" si="2"/>
        <v>8</v>
      </c>
      <c r="AB45" s="4081"/>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4081">
        <f ca="1">OFFSET(AY45,0,-1)+1</f>
        <v>3</v>
      </c>
      <c r="AZ45" s="4081"/>
      <c r="BA45" s="1392">
        <f ca="1">OFFSET(BA45,0,-2)+1</f>
        <v>4</v>
      </c>
      <c r="BB45" s="1154">
        <f ca="1">OFFSET(BB45,0,-1)</f>
        <v>4</v>
      </c>
      <c r="BC45" s="1392">
        <f ca="1">OFFSET(BC45,0,-1)+1</f>
        <v>5</v>
      </c>
      <c r="BD45" s="437"/>
      <c r="BE45" s="437"/>
      <c r="BF45" s="437"/>
      <c r="BG45" s="437"/>
      <c r="BH45" s="437"/>
    </row>
    <row r="46" spans="1:60" ht="21" customHeight="1">
      <c r="A46" s="1279" t="s">
        <v>251</v>
      </c>
      <c r="B46" s="1279"/>
      <c r="C46" s="1279"/>
      <c r="D46" s="1279"/>
      <c r="E46" s="4074">
        <v>1</v>
      </c>
      <c r="F46" s="1279"/>
      <c r="G46" s="1279"/>
      <c r="H46" s="1279"/>
      <c r="I46" s="1279"/>
      <c r="J46" s="1279"/>
      <c r="K46" s="1279"/>
      <c r="L46" s="1280"/>
      <c r="M46" s="1281"/>
      <c r="N46" s="1281"/>
      <c r="O46" s="1281"/>
      <c r="P46" s="1325"/>
      <c r="Q46" s="786"/>
      <c r="R46" s="280"/>
      <c r="S46" s="1403">
        <f>INDEX(PT_DIFFERENTIATION_NUM_NTAR,MATCH(A46,PT_DIFFERENTIATION_NTAR_ID,0))</f>
        <v>0</v>
      </c>
      <c r="T46" s="217" t="s">
        <v>121</v>
      </c>
      <c r="U46" s="219"/>
      <c r="V46" s="4061"/>
      <c r="W46" s="4061"/>
      <c r="X46" s="4061"/>
      <c r="Y46" s="4061"/>
      <c r="Z46" s="4061"/>
      <c r="AA46" s="4061"/>
      <c r="AB46" s="4061"/>
      <c r="AC46" s="4062"/>
      <c r="AD46" s="4060" t="str">
        <f>INDEX(PT_DIFFERENTIATION_NTAR,MATCH(A46,PT_DIFFERENTIATION_NTAR_ID,0))</f>
        <v/>
      </c>
      <c r="AE46" s="4061"/>
      <c r="AF46" s="4061"/>
      <c r="AG46" s="4061"/>
      <c r="AH46" s="4061"/>
      <c r="AI46" s="4061"/>
      <c r="AJ46" s="4061"/>
      <c r="AK46" s="4061"/>
      <c r="AL46" s="4061"/>
      <c r="AM46" s="4061"/>
      <c r="AN46" s="4061"/>
      <c r="AO46" s="4061"/>
      <c r="AP46" s="4061"/>
      <c r="AQ46" s="4061"/>
      <c r="AR46" s="4061"/>
      <c r="AS46" s="4061"/>
      <c r="AT46" s="4061"/>
      <c r="AU46" s="4061"/>
      <c r="AV46" s="4061"/>
      <c r="AW46" s="4061"/>
      <c r="AX46" s="4061"/>
      <c r="AY46" s="4061"/>
      <c r="AZ46" s="4061"/>
      <c r="BA46" s="4061"/>
      <c r="BB46" s="4062"/>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251</v>
      </c>
      <c r="B47" s="1279" t="s">
        <v>252</v>
      </c>
      <c r="C47" s="1279"/>
      <c r="D47" s="1279"/>
      <c r="E47" s="4075"/>
      <c r="F47" s="4074">
        <v>1</v>
      </c>
      <c r="G47" s="1279"/>
      <c r="H47" s="1279"/>
      <c r="I47" s="1279"/>
      <c r="J47" s="1279"/>
      <c r="K47" s="1279"/>
      <c r="L47" s="1280"/>
      <c r="M47" s="1281"/>
      <c r="N47" s="1281"/>
      <c r="O47" s="1281"/>
      <c r="P47" s="1326"/>
      <c r="Q47" s="1327"/>
      <c r="R47" s="278"/>
      <c r="S47" s="1403" t="str">
        <f>INDEX(PT_DIFFERENTIATION_NUM_TER,MATCH(B47,PT_DIFFERENTIATION_TER_ID,0))</f>
        <v>.</v>
      </c>
      <c r="T47" s="229" t="s">
        <v>389</v>
      </c>
      <c r="U47" s="219"/>
      <c r="V47" s="4061"/>
      <c r="W47" s="4061"/>
      <c r="X47" s="4061"/>
      <c r="Y47" s="4061"/>
      <c r="Z47" s="4061"/>
      <c r="AA47" s="4061"/>
      <c r="AB47" s="4061"/>
      <c r="AC47" s="4062"/>
      <c r="AD47" s="4060" t="str">
        <f>INDEX(PT_DIFFERENTIATION_TER,MATCH(B47,PT_DIFFERENTIATION_TER_ID,0))</f>
        <v/>
      </c>
      <c r="AE47" s="4061"/>
      <c r="AF47" s="4061"/>
      <c r="AG47" s="4061"/>
      <c r="AH47" s="4061"/>
      <c r="AI47" s="4061"/>
      <c r="AJ47" s="4061"/>
      <c r="AK47" s="4061"/>
      <c r="AL47" s="4061"/>
      <c r="AM47" s="4061"/>
      <c r="AN47" s="4061"/>
      <c r="AO47" s="4061"/>
      <c r="AP47" s="4061"/>
      <c r="AQ47" s="4061"/>
      <c r="AR47" s="4061"/>
      <c r="AS47" s="4061"/>
      <c r="AT47" s="4061"/>
      <c r="AU47" s="4061"/>
      <c r="AV47" s="4061"/>
      <c r="AW47" s="4061"/>
      <c r="AX47" s="4061"/>
      <c r="AY47" s="4061"/>
      <c r="AZ47" s="4061"/>
      <c r="BA47" s="4061"/>
      <c r="BB47" s="4062"/>
      <c r="BC47" s="1177" t="s">
        <v>390</v>
      </c>
      <c r="BE47" s="426"/>
      <c r="BF47" s="426" t="str">
        <f t="shared" si="3"/>
        <v>Территория действия тарифа</v>
      </c>
      <c r="BG47" s="426"/>
      <c r="BH47" s="426"/>
    </row>
    <row r="48" spans="1:60" ht="33.75" customHeight="1">
      <c r="A48" s="1279" t="s">
        <v>251</v>
      </c>
      <c r="B48" s="1279" t="s">
        <v>252</v>
      </c>
      <c r="C48" s="1279" t="s">
        <v>253</v>
      </c>
      <c r="D48" s="1279"/>
      <c r="E48" s="4075"/>
      <c r="F48" s="4075"/>
      <c r="G48" s="4074">
        <v>1</v>
      </c>
      <c r="H48" s="1279"/>
      <c r="I48" s="1279"/>
      <c r="J48" s="1279"/>
      <c r="K48" s="1279"/>
      <c r="L48" s="1280"/>
      <c r="M48" s="1281"/>
      <c r="N48" s="1281"/>
      <c r="O48" s="1281"/>
      <c r="P48" s="1328"/>
      <c r="Q48" s="1327"/>
      <c r="R48" s="278"/>
      <c r="S48" s="1403" t="str">
        <f>INDEX(PT_DIFFERENTIATION_NUM_CS,MATCH(C48,PT_DIFFERENTIATION_CS_ID,0))</f>
        <v>..</v>
      </c>
      <c r="T48" s="230" t="s">
        <v>519</v>
      </c>
      <c r="U48" s="219"/>
      <c r="V48" s="4061"/>
      <c r="W48" s="4061"/>
      <c r="X48" s="4061"/>
      <c r="Y48" s="4061"/>
      <c r="Z48" s="4061"/>
      <c r="AA48" s="4061"/>
      <c r="AB48" s="4061"/>
      <c r="AC48" s="4062"/>
      <c r="AD48" s="4060" t="str">
        <f>INDEX(PT_DIFFERENTIATION_CS,MATCH(C48,PT_DIFFERENTIATION_CS_ID,0))</f>
        <v/>
      </c>
      <c r="AE48" s="4061"/>
      <c r="AF48" s="4061"/>
      <c r="AG48" s="4061"/>
      <c r="AH48" s="4061"/>
      <c r="AI48" s="4061"/>
      <c r="AJ48" s="4061"/>
      <c r="AK48" s="4061"/>
      <c r="AL48" s="4061"/>
      <c r="AM48" s="4061"/>
      <c r="AN48" s="4061"/>
      <c r="AO48" s="4061"/>
      <c r="AP48" s="4061"/>
      <c r="AQ48" s="4061"/>
      <c r="AR48" s="4061"/>
      <c r="AS48" s="4061"/>
      <c r="AT48" s="4061"/>
      <c r="AU48" s="4061"/>
      <c r="AV48" s="4061"/>
      <c r="AW48" s="4061"/>
      <c r="AX48" s="4061"/>
      <c r="AY48" s="4061"/>
      <c r="AZ48" s="4061"/>
      <c r="BA48" s="4061"/>
      <c r="BB48" s="4062"/>
      <c r="BC48" s="1177" t="s">
        <v>520</v>
      </c>
      <c r="BE48" s="426"/>
      <c r="BF48" s="426" t="str">
        <f t="shared" si="3"/>
        <v>Наименование централизованной системы горячего водоснабжения</v>
      </c>
      <c r="BG48" s="426"/>
      <c r="BH48" s="426"/>
    </row>
    <row r="49" spans="1:60" s="1821" customFormat="1" ht="0" hidden="1" customHeight="1">
      <c r="A49" s="1260" t="s">
        <v>251</v>
      </c>
      <c r="B49" s="1260" t="s">
        <v>252</v>
      </c>
      <c r="C49" s="1260" t="s">
        <v>253</v>
      </c>
      <c r="D49" s="1260" t="s">
        <v>527</v>
      </c>
      <c r="E49" s="4075"/>
      <c r="F49" s="4075"/>
      <c r="G49" s="4075"/>
      <c r="H49" s="4074">
        <v>1</v>
      </c>
      <c r="I49" s="1260"/>
      <c r="J49" s="1260"/>
      <c r="K49" s="1260"/>
      <c r="L49" s="1263"/>
      <c r="M49" s="1233"/>
      <c r="N49" s="1233"/>
      <c r="O49" s="1233"/>
      <c r="P49" s="1407"/>
      <c r="Q49" s="1408"/>
      <c r="R49" s="282"/>
      <c r="S49" s="949"/>
      <c r="T49" s="1409"/>
      <c r="U49" s="1300"/>
      <c r="V49" s="4102"/>
      <c r="W49" s="4102"/>
      <c r="X49" s="4102"/>
      <c r="Y49" s="4102"/>
      <c r="Z49" s="4102"/>
      <c r="AA49" s="4102"/>
      <c r="AB49" s="4102"/>
      <c r="AC49" s="4103"/>
      <c r="AD49" s="4101"/>
      <c r="AE49" s="4102"/>
      <c r="AF49" s="4102"/>
      <c r="AG49" s="4102"/>
      <c r="AH49" s="4102"/>
      <c r="AI49" s="4102"/>
      <c r="AJ49" s="4102"/>
      <c r="AK49" s="4102"/>
      <c r="AL49" s="4102"/>
      <c r="AM49" s="4102"/>
      <c r="AN49" s="4102"/>
      <c r="AO49" s="4102"/>
      <c r="AP49" s="4102"/>
      <c r="AQ49" s="4102"/>
      <c r="AR49" s="4102"/>
      <c r="AS49" s="4102"/>
      <c r="AT49" s="4102"/>
      <c r="AU49" s="4102"/>
      <c r="AV49" s="4102"/>
      <c r="AW49" s="4102"/>
      <c r="AX49" s="4102"/>
      <c r="AY49" s="4102"/>
      <c r="AZ49" s="4102"/>
      <c r="BA49" s="4102"/>
      <c r="BB49" s="4103"/>
      <c r="BC49" s="1301" t="s">
        <v>394</v>
      </c>
      <c r="BE49" s="426"/>
      <c r="BF49" s="426" t="str">
        <f t="shared" si="3"/>
        <v/>
      </c>
      <c r="BG49" s="426"/>
      <c r="BH49" s="426"/>
    </row>
    <row r="50" spans="1:60" s="1821" customFormat="1" ht="0" hidden="1" customHeight="1">
      <c r="A50" s="1260" t="s">
        <v>251</v>
      </c>
      <c r="B50" s="1260" t="s">
        <v>252</v>
      </c>
      <c r="C50" s="1260" t="s">
        <v>253</v>
      </c>
      <c r="D50" s="1260" t="s">
        <v>527</v>
      </c>
      <c r="E50" s="4075"/>
      <c r="F50" s="4075"/>
      <c r="G50" s="4075"/>
      <c r="H50" s="4075"/>
      <c r="I50" s="4072" t="str">
        <f>S49&amp;".1"</f>
        <v>.1</v>
      </c>
      <c r="J50" s="1260"/>
      <c r="K50" s="1260"/>
      <c r="L50" s="1263" t="s">
        <v>395</v>
      </c>
      <c r="M50" s="436"/>
      <c r="N50" s="436"/>
      <c r="O50" s="436"/>
      <c r="P50" s="4073">
        <v>1</v>
      </c>
      <c r="Q50" s="1391"/>
      <c r="R50" s="281"/>
      <c r="S50" s="949"/>
      <c r="T50" s="1299"/>
      <c r="U50" s="1300"/>
      <c r="V50" s="4102"/>
      <c r="W50" s="4102"/>
      <c r="X50" s="4102"/>
      <c r="Y50" s="4102"/>
      <c r="Z50" s="4102"/>
      <c r="AA50" s="4102"/>
      <c r="AB50" s="4102"/>
      <c r="AC50" s="4103"/>
      <c r="AD50" s="4101"/>
      <c r="AE50" s="4102"/>
      <c r="AF50" s="4102"/>
      <c r="AG50" s="4102"/>
      <c r="AH50" s="4102"/>
      <c r="AI50" s="4102"/>
      <c r="AJ50" s="4102"/>
      <c r="AK50" s="4102"/>
      <c r="AL50" s="4102"/>
      <c r="AM50" s="4102"/>
      <c r="AN50" s="4102"/>
      <c r="AO50" s="4102"/>
      <c r="AP50" s="4102"/>
      <c r="AQ50" s="4102"/>
      <c r="AR50" s="4102"/>
      <c r="AS50" s="4102"/>
      <c r="AT50" s="4102"/>
      <c r="AU50" s="4102"/>
      <c r="AV50" s="4102"/>
      <c r="AW50" s="4102"/>
      <c r="AX50" s="4102"/>
      <c r="AY50" s="4102"/>
      <c r="AZ50" s="4102"/>
      <c r="BA50" s="4102"/>
      <c r="BB50" s="4103"/>
      <c r="BC50" s="1301"/>
      <c r="BE50" s="426"/>
      <c r="BF50" s="426" t="str">
        <f t="shared" si="3"/>
        <v/>
      </c>
      <c r="BG50" s="426"/>
      <c r="BH50" s="426"/>
    </row>
    <row r="51" spans="1:60" s="1821" customFormat="1" ht="0" hidden="1" customHeight="1">
      <c r="A51" s="1260" t="s">
        <v>251</v>
      </c>
      <c r="B51" s="1260" t="s">
        <v>252</v>
      </c>
      <c r="C51" s="1260" t="s">
        <v>253</v>
      </c>
      <c r="D51" s="1260" t="s">
        <v>527</v>
      </c>
      <c r="E51" s="4075"/>
      <c r="F51" s="4075"/>
      <c r="G51" s="4075"/>
      <c r="H51" s="4075"/>
      <c r="I51" s="4095"/>
      <c r="J51" s="4072" t="str">
        <f>S49&amp;".1"</f>
        <v>.1</v>
      </c>
      <c r="K51" s="1260"/>
      <c r="L51" s="1263"/>
      <c r="M51" s="436"/>
      <c r="N51" s="436"/>
      <c r="O51" s="436"/>
      <c r="P51" s="4073"/>
      <c r="Q51" s="4073">
        <v>1</v>
      </c>
      <c r="R51" s="282"/>
      <c r="S51" s="949"/>
      <c r="T51" s="1315"/>
      <c r="U51" s="1300"/>
      <c r="V51" s="4102"/>
      <c r="W51" s="4102"/>
      <c r="X51" s="4102"/>
      <c r="Y51" s="4102"/>
      <c r="Z51" s="4102"/>
      <c r="AA51" s="4102"/>
      <c r="AB51" s="4102"/>
      <c r="AC51" s="4103"/>
      <c r="AD51" s="4101"/>
      <c r="AE51" s="4102"/>
      <c r="AF51" s="4102"/>
      <c r="AG51" s="4102"/>
      <c r="AH51" s="4102"/>
      <c r="AI51" s="4102"/>
      <c r="AJ51" s="4102"/>
      <c r="AK51" s="4102"/>
      <c r="AL51" s="4102"/>
      <c r="AM51" s="4102"/>
      <c r="AN51" s="4147"/>
      <c r="AO51" s="4147"/>
      <c r="AP51" s="4102"/>
      <c r="AQ51" s="4102"/>
      <c r="AR51" s="4102"/>
      <c r="AS51" s="4102"/>
      <c r="AT51" s="4102"/>
      <c r="AU51" s="4102"/>
      <c r="AV51" s="4102"/>
      <c r="AW51" s="4102"/>
      <c r="AX51" s="4102"/>
      <c r="AY51" s="4102"/>
      <c r="AZ51" s="4102"/>
      <c r="BA51" s="4102"/>
      <c r="BB51" s="4103"/>
      <c r="BC51" s="1301"/>
      <c r="BE51" s="426"/>
      <c r="BF51" s="426" t="str">
        <f t="shared" si="3"/>
        <v/>
      </c>
      <c r="BG51" s="426"/>
      <c r="BH51" s="426"/>
    </row>
    <row r="52" spans="1:60" ht="11.25" customHeight="1">
      <c r="A52" s="1279" t="s">
        <v>251</v>
      </c>
      <c r="B52" s="1279" t="s">
        <v>252</v>
      </c>
      <c r="C52" s="1279" t="s">
        <v>253</v>
      </c>
      <c r="D52" s="1279" t="s">
        <v>527</v>
      </c>
      <c r="E52" s="4075"/>
      <c r="F52" s="4075"/>
      <c r="G52" s="4075"/>
      <c r="H52" s="4075"/>
      <c r="I52" s="4095"/>
      <c r="J52" s="4095"/>
      <c r="K52" s="4072" t="str">
        <f>S48&amp;".1"</f>
        <v>...1</v>
      </c>
      <c r="L52" s="1280"/>
      <c r="P52" s="4073"/>
      <c r="Q52" s="4073"/>
      <c r="R52" s="282">
        <v>1</v>
      </c>
      <c r="S52" s="4124" t="str">
        <f>$K52</f>
        <v>...1</v>
      </c>
      <c r="T52" s="4142"/>
      <c r="U52" s="219"/>
      <c r="V52" s="668"/>
      <c r="W52" s="1176"/>
      <c r="X52" s="668"/>
      <c r="Y52" s="1176"/>
      <c r="Z52" s="1644"/>
      <c r="AA52" s="1380" t="s">
        <v>65</v>
      </c>
      <c r="AB52" s="1644"/>
      <c r="AC52" s="1380" t="s">
        <v>65</v>
      </c>
      <c r="AD52" s="4001" t="s">
        <v>65</v>
      </c>
      <c r="AE52" s="4110"/>
      <c r="AF52" s="4028">
        <v>1</v>
      </c>
      <c r="AG52" s="4146"/>
      <c r="AH52" s="3927" t="s">
        <v>65</v>
      </c>
      <c r="AI52" s="4110"/>
      <c r="AJ52" s="4028">
        <v>1</v>
      </c>
      <c r="AK52" s="4145" t="s">
        <v>24</v>
      </c>
      <c r="AL52" s="3927" t="s">
        <v>65</v>
      </c>
      <c r="AM52" s="4018"/>
      <c r="AN52" s="4028">
        <v>1</v>
      </c>
      <c r="AO52" s="4139"/>
      <c r="AP52" s="4140" t="s">
        <v>65</v>
      </c>
      <c r="AQ52" s="232"/>
      <c r="AR52" s="1396">
        <v>1</v>
      </c>
      <c r="AS52" s="1402" t="s">
        <v>24</v>
      </c>
      <c r="AT52" s="668"/>
      <c r="AU52" s="1176"/>
      <c r="AV52" s="668"/>
      <c r="AW52" s="1176"/>
      <c r="AX52" s="1644"/>
      <c r="AY52" s="1380" t="s">
        <v>65</v>
      </c>
      <c r="AZ52" s="1644"/>
      <c r="BA52" s="1380" t="s">
        <v>65</v>
      </c>
      <c r="BB52" s="1265"/>
      <c r="BC52" s="4069" t="s">
        <v>490</v>
      </c>
      <c r="BE52" s="426"/>
      <c r="BF52" s="426" t="str">
        <f t="shared" si="3"/>
        <v/>
      </c>
      <c r="BG52" s="426"/>
      <c r="BH52" s="426"/>
    </row>
    <row r="53" spans="1:60" ht="11.25" customHeight="1">
      <c r="A53" s="1279"/>
      <c r="B53" s="1279"/>
      <c r="C53" s="1279"/>
      <c r="D53" s="1279"/>
      <c r="E53" s="4075"/>
      <c r="F53" s="4075"/>
      <c r="G53" s="4075"/>
      <c r="H53" s="4075"/>
      <c r="I53" s="4095"/>
      <c r="J53" s="4095"/>
      <c r="K53" s="4072"/>
      <c r="L53" s="1280"/>
      <c r="P53" s="4073"/>
      <c r="Q53" s="4073"/>
      <c r="R53" s="282"/>
      <c r="S53" s="4125"/>
      <c r="T53" s="4143"/>
      <c r="U53" s="219"/>
      <c r="V53" s="1309"/>
      <c r="W53" s="1406"/>
      <c r="X53" s="1309"/>
      <c r="Y53" s="1406"/>
      <c r="Z53" s="1309"/>
      <c r="AA53" s="1309"/>
      <c r="AB53" s="1309"/>
      <c r="AC53" s="1309"/>
      <c r="AD53" s="4002"/>
      <c r="AE53" s="4110"/>
      <c r="AF53" s="4028"/>
      <c r="AG53" s="4146"/>
      <c r="AH53" s="3927"/>
      <c r="AI53" s="4110"/>
      <c r="AJ53" s="4028"/>
      <c r="AK53" s="4145"/>
      <c r="AL53" s="3927"/>
      <c r="AM53" s="4023"/>
      <c r="AN53" s="4028"/>
      <c r="AO53" s="4139"/>
      <c r="AP53" s="4141"/>
      <c r="AQ53" s="239"/>
      <c r="AR53" s="350"/>
      <c r="AS53" s="350" t="s">
        <v>491</v>
      </c>
      <c r="AT53" s="1309"/>
      <c r="AU53" s="1406"/>
      <c r="AV53" s="1309"/>
      <c r="AW53" s="1406"/>
      <c r="AX53" s="1309"/>
      <c r="AY53" s="1309"/>
      <c r="AZ53" s="1309"/>
      <c r="BA53" s="1309"/>
      <c r="BB53" s="1313"/>
      <c r="BC53" s="4070"/>
      <c r="BE53" s="426"/>
      <c r="BF53" s="426"/>
      <c r="BG53" s="426"/>
      <c r="BH53" s="426"/>
    </row>
    <row r="54" spans="1:60" ht="11.25" customHeight="1">
      <c r="A54" s="1279" t="s">
        <v>251</v>
      </c>
      <c r="B54" s="1279"/>
      <c r="C54" s="1279"/>
      <c r="D54" s="1279"/>
      <c r="E54" s="4075"/>
      <c r="F54" s="4075"/>
      <c r="G54" s="4075"/>
      <c r="H54" s="4075"/>
      <c r="I54" s="4095"/>
      <c r="J54" s="4095"/>
      <c r="K54" s="4072"/>
      <c r="L54" s="1280"/>
      <c r="P54" s="4073"/>
      <c r="Q54" s="4073"/>
      <c r="R54" s="282"/>
      <c r="S54" s="4125"/>
      <c r="T54" s="4143"/>
      <c r="U54" s="219"/>
      <c r="V54" s="1309"/>
      <c r="W54" s="1406"/>
      <c r="X54" s="1309"/>
      <c r="Y54" s="1406"/>
      <c r="Z54" s="1309"/>
      <c r="AA54" s="1309"/>
      <c r="AB54" s="1309"/>
      <c r="AC54" s="1309"/>
      <c r="AD54" s="4002"/>
      <c r="AE54" s="4110"/>
      <c r="AF54" s="4028"/>
      <c r="AG54" s="4146"/>
      <c r="AH54" s="3927"/>
      <c r="AI54" s="4110"/>
      <c r="AJ54" s="4028"/>
      <c r="AK54" s="4145"/>
      <c r="AL54" s="3927"/>
      <c r="AM54" s="239"/>
      <c r="AN54" s="1410"/>
      <c r="AO54" s="1410" t="s">
        <v>492</v>
      </c>
      <c r="AP54" s="350"/>
      <c r="AQ54" s="350"/>
      <c r="AR54" s="350"/>
      <c r="AS54" s="1309"/>
      <c r="AT54" s="1309"/>
      <c r="AU54" s="1406"/>
      <c r="AV54" s="1309"/>
      <c r="AW54" s="1406"/>
      <c r="AX54" s="1309"/>
      <c r="AY54" s="1309"/>
      <c r="AZ54" s="1309"/>
      <c r="BA54" s="1309"/>
      <c r="BB54" s="1313"/>
      <c r="BC54" s="4070"/>
      <c r="BE54" s="426"/>
      <c r="BF54" s="426"/>
      <c r="BG54" s="426"/>
      <c r="BH54" s="426"/>
    </row>
    <row r="55" spans="1:60" ht="11.25" customHeight="1">
      <c r="A55" s="1279" t="s">
        <v>251</v>
      </c>
      <c r="B55" s="1279"/>
      <c r="C55" s="1279"/>
      <c r="D55" s="1279"/>
      <c r="E55" s="4075"/>
      <c r="F55" s="4075"/>
      <c r="G55" s="4075"/>
      <c r="H55" s="4075"/>
      <c r="I55" s="4095"/>
      <c r="J55" s="4095"/>
      <c r="K55" s="4072"/>
      <c r="L55" s="1280"/>
      <c r="P55" s="4073"/>
      <c r="Q55" s="4073"/>
      <c r="R55" s="282"/>
      <c r="S55" s="4125"/>
      <c r="T55" s="4143"/>
      <c r="U55" s="219"/>
      <c r="V55" s="1309"/>
      <c r="W55" s="1406"/>
      <c r="X55" s="1309"/>
      <c r="Y55" s="1406"/>
      <c r="Z55" s="1309"/>
      <c r="AA55" s="1309"/>
      <c r="AB55" s="1309"/>
      <c r="AC55" s="1309"/>
      <c r="AD55" s="4002"/>
      <c r="AE55" s="4110"/>
      <c r="AF55" s="4028"/>
      <c r="AG55" s="4146"/>
      <c r="AH55" s="3927"/>
      <c r="AI55" s="213"/>
      <c r="AJ55" s="349"/>
      <c r="AK55" s="234" t="s">
        <v>493</v>
      </c>
      <c r="AL55" s="1309"/>
      <c r="AM55" s="1309"/>
      <c r="AN55" s="1309"/>
      <c r="AO55" s="1309"/>
      <c r="AP55" s="1309"/>
      <c r="AQ55" s="1309"/>
      <c r="AR55" s="1309"/>
      <c r="AS55" s="1309"/>
      <c r="AT55" s="1309"/>
      <c r="AU55" s="1406"/>
      <c r="AV55" s="1309"/>
      <c r="AW55" s="1406"/>
      <c r="AX55" s="1309"/>
      <c r="AY55" s="1309"/>
      <c r="AZ55" s="1309"/>
      <c r="BA55" s="1309"/>
      <c r="BB55" s="1313"/>
      <c r="BC55" s="4070"/>
      <c r="BE55" s="426"/>
      <c r="BF55" s="426"/>
      <c r="BG55" s="426"/>
      <c r="BH55" s="426"/>
    </row>
    <row r="56" spans="1:60" ht="11.25" customHeight="1">
      <c r="A56" s="1279" t="s">
        <v>251</v>
      </c>
      <c r="B56" s="1279" t="s">
        <v>252</v>
      </c>
      <c r="C56" s="1279" t="s">
        <v>253</v>
      </c>
      <c r="D56" s="1279" t="s">
        <v>527</v>
      </c>
      <c r="E56" s="4075"/>
      <c r="F56" s="4075"/>
      <c r="G56" s="4075"/>
      <c r="H56" s="4075"/>
      <c r="I56" s="4095"/>
      <c r="J56" s="4095"/>
      <c r="K56" s="4072"/>
      <c r="L56" s="1280"/>
      <c r="P56" s="4073"/>
      <c r="Q56" s="4073"/>
      <c r="R56" s="282"/>
      <c r="S56" s="4126"/>
      <c r="T56" s="4144"/>
      <c r="U56" s="219"/>
      <c r="V56" s="1309"/>
      <c r="W56" s="1310" t="str">
        <f>Z52&amp;"-"&amp;AB52</f>
        <v>-</v>
      </c>
      <c r="X56" s="1309"/>
      <c r="Y56" s="1310" t="str">
        <f>AB52&amp;"-"&amp;AD52</f>
        <v>-да</v>
      </c>
      <c r="Z56" s="1309"/>
      <c r="AA56" s="1309"/>
      <c r="AB56" s="1309"/>
      <c r="AC56" s="1309"/>
      <c r="AD56" s="3932"/>
      <c r="AE56" s="233"/>
      <c r="AF56" s="235"/>
      <c r="AG56" s="350" t="s">
        <v>494</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4070"/>
      <c r="BE56" s="426"/>
      <c r="BF56" s="426" t="str">
        <f t="shared" ref="BF56:BF63" si="4">IF(T56="","",T56)</f>
        <v/>
      </c>
      <c r="BG56" s="426"/>
      <c r="BH56" s="426"/>
    </row>
    <row r="57" spans="1:60" ht="11.25" customHeight="1">
      <c r="A57" s="1279" t="s">
        <v>251</v>
      </c>
      <c r="B57" s="1279" t="s">
        <v>252</v>
      </c>
      <c r="C57" s="1279" t="s">
        <v>253</v>
      </c>
      <c r="D57" s="1279" t="s">
        <v>527</v>
      </c>
      <c r="E57" s="4075"/>
      <c r="F57" s="4075"/>
      <c r="G57" s="4075"/>
      <c r="H57" s="4075"/>
      <c r="I57" s="4095"/>
      <c r="J57" s="4072"/>
      <c r="K57" s="1279"/>
      <c r="L57" s="1280"/>
      <c r="P57" s="4073"/>
      <c r="Q57" s="4073"/>
      <c r="R57" s="281"/>
      <c r="S57" s="1198"/>
      <c r="T57" s="206" t="s">
        <v>458</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4071"/>
      <c r="BE57" s="426"/>
      <c r="BF57" s="426" t="str">
        <f t="shared" si="4"/>
        <v>Добавить строку</v>
      </c>
      <c r="BG57" s="426"/>
      <c r="BH57" s="426"/>
    </row>
    <row r="58" spans="1:60" s="1821" customFormat="1" ht="0" hidden="1" customHeight="1">
      <c r="A58" s="1260" t="s">
        <v>251</v>
      </c>
      <c r="B58" s="1260" t="s">
        <v>252</v>
      </c>
      <c r="C58" s="1260" t="s">
        <v>253</v>
      </c>
      <c r="D58" s="1260" t="s">
        <v>527</v>
      </c>
      <c r="E58" s="4075"/>
      <c r="F58" s="4075"/>
      <c r="G58" s="4075"/>
      <c r="H58" s="4075"/>
      <c r="I58" s="4072"/>
      <c r="J58" s="1260"/>
      <c r="K58" s="1260"/>
      <c r="L58" s="1263"/>
      <c r="M58" s="436"/>
      <c r="N58" s="436"/>
      <c r="O58" s="436"/>
      <c r="P58" s="4073"/>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21" customFormat="1" ht="0" hidden="1" customHeight="1">
      <c r="A59" s="1260" t="s">
        <v>251</v>
      </c>
      <c r="B59" s="1260" t="s">
        <v>252</v>
      </c>
      <c r="C59" s="1260" t="s">
        <v>253</v>
      </c>
      <c r="D59" s="1260" t="s">
        <v>527</v>
      </c>
      <c r="E59" s="4075"/>
      <c r="F59" s="4075"/>
      <c r="G59" s="4075"/>
      <c r="H59" s="4074"/>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2550" customFormat="1" ht="0" hidden="1" customHeight="1">
      <c r="A60" s="1260" t="s">
        <v>251</v>
      </c>
      <c r="B60" s="1260" t="s">
        <v>252</v>
      </c>
      <c r="C60" s="1260" t="s">
        <v>253</v>
      </c>
      <c r="D60" s="1232"/>
      <c r="E60" s="4075"/>
      <c r="F60" s="4075"/>
      <c r="G60" s="4074"/>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2550" customFormat="1" ht="0" hidden="1" customHeight="1">
      <c r="A61" s="1260" t="s">
        <v>251</v>
      </c>
      <c r="B61" s="1260" t="s">
        <v>252</v>
      </c>
      <c r="C61" s="1232"/>
      <c r="D61" s="1232"/>
      <c r="E61" s="4075"/>
      <c r="F61" s="4074"/>
      <c r="G61" s="1232"/>
      <c r="H61" s="1232"/>
      <c r="I61" s="1232"/>
      <c r="J61" s="1232"/>
      <c r="K61" s="1232"/>
      <c r="L61" s="1404"/>
      <c r="M61" s="1239"/>
      <c r="N61" s="1239"/>
      <c r="P61" s="1234"/>
      <c r="Q61" s="1235"/>
      <c r="R61" s="1234"/>
      <c r="S61" s="1240"/>
      <c r="T61" s="1243" t="s">
        <v>167</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21" customFormat="1" ht="0" hidden="1" customHeight="1">
      <c r="A62" s="1260" t="s">
        <v>251</v>
      </c>
      <c r="B62" s="1260"/>
      <c r="C62" s="1260"/>
      <c r="D62" s="1260"/>
      <c r="E62" s="4074"/>
      <c r="F62" s="1260"/>
      <c r="G62" s="1260"/>
      <c r="H62" s="1260"/>
      <c r="I62" s="1260"/>
      <c r="J62" s="1260"/>
      <c r="K62" s="1260"/>
      <c r="L62" s="1263"/>
      <c r="M62" s="1239"/>
      <c r="N62" s="1239"/>
      <c r="O62" s="444"/>
      <c r="P62" s="313"/>
      <c r="Q62" s="1261"/>
      <c r="R62" s="313"/>
      <c r="S62" s="1240"/>
      <c r="T62" s="1243" t="s">
        <v>168</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2550"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169</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4094"/>
      <c r="U65" s="4094"/>
      <c r="V65" s="4094"/>
      <c r="W65" s="4094"/>
      <c r="X65" s="4094"/>
      <c r="Y65" s="4094"/>
      <c r="Z65" s="4094"/>
      <c r="AA65" s="4094"/>
      <c r="AB65" s="4094"/>
      <c r="AC65" s="4094"/>
      <c r="AD65" s="4094"/>
      <c r="AE65" s="4094"/>
      <c r="AF65" s="4094"/>
      <c r="AG65" s="4094"/>
      <c r="AH65" s="4094"/>
      <c r="AI65" s="4094"/>
      <c r="AJ65" s="4094"/>
      <c r="AK65" s="4094"/>
      <c r="AL65" s="4094"/>
      <c r="AM65" s="4094"/>
      <c r="AN65" s="4094"/>
      <c r="AO65" s="4094"/>
      <c r="AP65" s="4094"/>
      <c r="AQ65" s="4094"/>
      <c r="AR65" s="4094"/>
      <c r="AS65" s="4094"/>
      <c r="AT65" s="4094"/>
      <c r="AU65" s="4094"/>
      <c r="AV65" s="4094"/>
      <c r="AW65" s="4094"/>
      <c r="AX65" s="4094"/>
      <c r="AY65" s="4094"/>
      <c r="AZ65" s="4094"/>
      <c r="BA65" s="4094"/>
      <c r="BB65" s="4094"/>
      <c r="BC65" s="4094"/>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8.75" customHeight="1">
      <c r="O67" s="462"/>
      <c r="S67" s="1164"/>
      <c r="T67" s="4094"/>
      <c r="U67" s="4094"/>
      <c r="V67" s="4094"/>
      <c r="W67" s="4094"/>
      <c r="X67" s="4094"/>
      <c r="Y67" s="4094"/>
      <c r="Z67" s="4094"/>
      <c r="AA67" s="4094"/>
      <c r="AB67" s="4094"/>
      <c r="AC67" s="4094"/>
      <c r="AD67" s="4094"/>
      <c r="AE67" s="4094"/>
      <c r="AF67" s="4094"/>
      <c r="AG67" s="4094"/>
      <c r="AH67" s="4094"/>
      <c r="AI67" s="4094"/>
      <c r="AJ67" s="4094"/>
      <c r="AK67" s="4094"/>
      <c r="AL67" s="4094"/>
      <c r="AM67" s="4094"/>
      <c r="AN67" s="4094"/>
      <c r="AO67" s="4094"/>
      <c r="AP67" s="4094"/>
      <c r="AQ67" s="4094"/>
      <c r="AR67" s="4094"/>
      <c r="AS67" s="4094"/>
      <c r="AT67" s="4094"/>
      <c r="AU67" s="4094"/>
      <c r="AV67" s="4094"/>
      <c r="AW67" s="4094"/>
      <c r="AX67" s="4094"/>
      <c r="AY67" s="4094"/>
      <c r="AZ67" s="4094"/>
      <c r="BA67" s="4094"/>
      <c r="BB67" s="4094"/>
      <c r="BC67" s="4094"/>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3811" hidden="1" customWidth="1"/>
    <col min="2" max="2" width="16.85546875" style="2553" hidden="1" customWidth="1"/>
    <col min="3" max="3" width="5.5703125" style="3810" hidden="1" customWidth="1"/>
    <col min="4" max="4" width="3.7109375" style="3817" customWidth="1"/>
    <col min="5" max="5" width="7.7109375" style="1923" customWidth="1"/>
    <col min="6" max="6" width="54.5703125" style="1923" customWidth="1"/>
    <col min="7" max="7" width="10.42578125" style="1923" customWidth="1"/>
    <col min="8" max="8" width="40.7109375" style="1923" hidden="1" customWidth="1"/>
    <col min="9" max="9" width="40.7109375" style="1923" customWidth="1"/>
    <col min="10" max="10" width="102.85546875" style="1923" customWidth="1"/>
    <col min="11" max="11" width="9.7109375" style="2553" customWidth="1"/>
    <col min="12" max="12" width="5.28515625" style="3810" customWidth="1"/>
    <col min="13" max="13" width="3.7109375" style="3810" customWidth="1"/>
    <col min="14" max="17" width="3.7109375" style="2553" customWidth="1"/>
    <col min="18" max="18" width="10.5703125" style="3810" customWidth="1"/>
    <col min="19" max="19" width="34.7109375" style="2553" customWidth="1"/>
    <col min="20" max="20" width="9.42578125" style="2553" customWidth="1"/>
    <col min="21" max="21" width="9.140625" style="3812"/>
    <col min="22" max="26" width="9.140625" style="2553"/>
    <col min="27" max="31" width="9.140625" style="1922"/>
  </cols>
  <sheetData>
    <row r="1" spans="1:31" ht="11.25" hidden="1" customHeight="1"/>
    <row r="2" spans="1:31" ht="23.25" hidden="1" customHeight="1">
      <c r="B2" s="3921"/>
      <c r="C2" s="1067" t="s">
        <v>528</v>
      </c>
      <c r="D2" s="1550"/>
      <c r="E2" s="471">
        <f>B2</f>
        <v>0</v>
      </c>
      <c r="F2" s="472"/>
      <c r="G2" s="1557" t="s">
        <v>529</v>
      </c>
      <c r="H2" s="1557" t="s">
        <v>529</v>
      </c>
      <c r="I2" s="1557" t="s">
        <v>529</v>
      </c>
      <c r="J2" s="208" t="s">
        <v>530</v>
      </c>
      <c r="K2" s="468"/>
    </row>
    <row r="3" spans="1:31" s="3810" customFormat="1" ht="0.75" hidden="1" customHeight="1">
      <c r="B3" s="3921"/>
      <c r="C3" s="1067"/>
      <c r="D3" s="473"/>
      <c r="E3" s="474"/>
      <c r="F3" s="475" t="s">
        <v>531</v>
      </c>
      <c r="G3" s="476"/>
      <c r="H3" s="476">
        <f>H4*H5+H7</f>
        <v>0</v>
      </c>
      <c r="I3" s="476">
        <f>I4*I5+I6</f>
        <v>0</v>
      </c>
      <c r="J3" s="477"/>
    </row>
    <row r="4" spans="1:31" ht="23.25" hidden="1" customHeight="1">
      <c r="B4" s="3921"/>
      <c r="C4" s="1067"/>
      <c r="D4" s="1550"/>
      <c r="E4" s="471" t="str">
        <f>B2&amp;".1"</f>
        <v>.1</v>
      </c>
      <c r="F4" s="478" t="s">
        <v>532</v>
      </c>
      <c r="G4" s="479"/>
      <c r="H4" s="466"/>
      <c r="I4" s="466"/>
      <c r="J4" s="208" t="s">
        <v>533</v>
      </c>
      <c r="K4" s="468"/>
    </row>
    <row r="5" spans="1:31" ht="18.75" hidden="1" customHeight="1">
      <c r="B5" s="3921"/>
      <c r="C5" s="1067"/>
      <c r="D5" s="1550"/>
      <c r="E5" s="471" t="str">
        <f>B2&amp;".2"</f>
        <v>.2</v>
      </c>
      <c r="F5" s="478" t="s">
        <v>534</v>
      </c>
      <c r="G5" s="1557" t="s">
        <v>535</v>
      </c>
      <c r="H5" s="466"/>
      <c r="I5" s="466"/>
      <c r="J5" s="208"/>
      <c r="K5" s="468"/>
    </row>
    <row r="6" spans="1:31" ht="18.75" hidden="1" customHeight="1">
      <c r="B6" s="3921"/>
      <c r="C6" s="1067"/>
      <c r="D6" s="1550"/>
      <c r="E6" s="471" t="str">
        <f>B2&amp;".3"</f>
        <v>.3</v>
      </c>
      <c r="F6" s="478" t="s">
        <v>536</v>
      </c>
      <c r="G6" s="1557" t="s">
        <v>535</v>
      </c>
      <c r="H6" s="466"/>
      <c r="I6" s="466"/>
      <c r="J6" s="208"/>
      <c r="K6" s="468"/>
    </row>
    <row r="7" spans="1:31" ht="18.75" hidden="1" customHeight="1">
      <c r="B7" s="3921"/>
      <c r="C7" s="1067"/>
      <c r="D7" s="1550"/>
      <c r="E7" s="471" t="str">
        <f>B2&amp;".4"</f>
        <v>.4</v>
      </c>
      <c r="F7" s="478" t="s">
        <v>537</v>
      </c>
      <c r="G7" s="1557" t="s">
        <v>529</v>
      </c>
      <c r="H7" s="480"/>
      <c r="I7" s="480"/>
      <c r="J7" s="208"/>
      <c r="K7" s="468"/>
    </row>
    <row r="8" spans="1:31" s="2553" customFormat="1" ht="11.25" hidden="1" customHeight="1">
      <c r="A8" s="895"/>
      <c r="C8" s="1548"/>
      <c r="D8" s="462"/>
      <c r="H8" s="1060">
        <v>4</v>
      </c>
      <c r="I8" s="1060">
        <v>4</v>
      </c>
      <c r="L8" s="1548"/>
      <c r="M8" s="1548"/>
      <c r="R8" s="1548"/>
    </row>
    <row r="9" spans="1:31" s="2553" customFormat="1" ht="22.5" hidden="1" customHeight="1">
      <c r="A9" s="895"/>
      <c r="C9" s="1548"/>
      <c r="D9" s="463"/>
      <c r="E9" s="1559"/>
      <c r="F9" s="465"/>
      <c r="G9" s="1557" t="s">
        <v>535</v>
      </c>
      <c r="H9" s="466"/>
      <c r="I9" s="466"/>
      <c r="J9" s="467" t="s">
        <v>538</v>
      </c>
      <c r="K9" s="468"/>
      <c r="L9" s="1548"/>
      <c r="M9" s="1548"/>
      <c r="R9" s="1548"/>
      <c r="U9" s="469"/>
      <c r="AA9" s="1544"/>
      <c r="AB9" s="1544"/>
      <c r="AC9" s="1544"/>
      <c r="AD9" s="1544"/>
      <c r="AE9" s="1544"/>
    </row>
    <row r="10" spans="1:31" ht="11.25" hidden="1" customHeight="1"/>
    <row r="11" spans="1:31" ht="18.75" hidden="1" customHeight="1">
      <c r="D11" s="1550"/>
      <c r="E11" s="471"/>
      <c r="F11" s="465"/>
      <c r="G11" s="1557" t="s">
        <v>539</v>
      </c>
      <c r="H11" s="466"/>
      <c r="I11" s="466"/>
      <c r="J11" s="208" t="s">
        <v>540</v>
      </c>
      <c r="K11" s="468"/>
    </row>
    <row r="12" spans="1:31" ht="11.25" hidden="1" customHeight="1"/>
    <row r="13" spans="1:31" ht="22.5" hidden="1" customHeight="1">
      <c r="D13" s="1550"/>
      <c r="E13" s="471"/>
      <c r="F13" s="465"/>
      <c r="G13" s="878" t="s">
        <v>541</v>
      </c>
      <c r="H13" s="470"/>
      <c r="I13" s="470"/>
      <c r="J13" s="663" t="s">
        <v>542</v>
      </c>
      <c r="K13" s="468"/>
    </row>
    <row r="14" spans="1:31" ht="11.25" hidden="1" customHeight="1"/>
    <row r="15" spans="1:31" ht="22.5" hidden="1" customHeight="1">
      <c r="D15" s="1550"/>
      <c r="E15" s="471"/>
      <c r="F15" s="465"/>
      <c r="G15" s="1557" t="s">
        <v>543</v>
      </c>
      <c r="H15" s="470"/>
      <c r="I15" s="470"/>
      <c r="J15" s="208" t="s">
        <v>544</v>
      </c>
      <c r="K15" s="468"/>
    </row>
    <row r="16" spans="1:31" ht="11.25" hidden="1" customHeight="1"/>
    <row r="17" spans="1:26" ht="22.5" hidden="1" customHeight="1">
      <c r="D17" s="1550"/>
      <c r="E17" s="471"/>
      <c r="F17" s="465"/>
      <c r="G17" s="1557" t="s">
        <v>545</v>
      </c>
      <c r="H17" s="470"/>
      <c r="I17" s="470"/>
      <c r="J17" s="208" t="s">
        <v>546</v>
      </c>
      <c r="K17" s="468"/>
    </row>
    <row r="18" spans="1:26" ht="11.25" hidden="1" customHeight="1"/>
    <row r="19" spans="1:26" s="1922" customFormat="1" ht="11.25" hidden="1" customHeight="1">
      <c r="A19" s="895"/>
      <c r="B19" s="1060"/>
      <c r="C19" s="1548"/>
      <c r="D19" s="289"/>
      <c r="J19" s="1544">
        <v>4</v>
      </c>
      <c r="K19" s="1060"/>
      <c r="L19" s="1548"/>
      <c r="M19" s="1548"/>
      <c r="N19" s="1060"/>
      <c r="O19" s="1060"/>
      <c r="P19" s="1060"/>
      <c r="Q19" s="1060"/>
      <c r="R19" s="1548"/>
      <c r="S19" s="1060"/>
      <c r="T19" s="1060"/>
      <c r="U19" s="469"/>
      <c r="V19" s="1060"/>
      <c r="W19" s="1060"/>
      <c r="X19" s="1060"/>
      <c r="Y19" s="1060"/>
      <c r="Z19" s="1060"/>
    </row>
    <row r="21" spans="1:26" ht="24" customHeight="1">
      <c r="E21" s="405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4058"/>
      <c r="G21" s="4058"/>
      <c r="H21" s="4058"/>
      <c r="I21" s="4058"/>
      <c r="J21" s="481"/>
    </row>
    <row r="22" spans="1:26" ht="24" customHeight="1">
      <c r="E22" s="4004" t="str">
        <f>IF(org=0,"Не определено",org)</f>
        <v>ООО «РИР-Сахалин»</v>
      </c>
      <c r="F22" s="4004"/>
      <c r="G22" s="4004"/>
      <c r="H22" s="4004"/>
      <c r="I22" s="4004"/>
    </row>
    <row r="23" spans="1:26" ht="11.25" customHeight="1">
      <c r="E23" s="1037"/>
      <c r="F23" s="1037"/>
      <c r="G23" s="1037"/>
      <c r="H23" s="1037"/>
      <c r="I23" s="1037"/>
    </row>
    <row r="24" spans="1:26" s="3810" customFormat="1" ht="0.75" customHeight="1">
      <c r="A24" s="1067"/>
      <c r="D24" s="1553"/>
      <c r="H24" s="802"/>
      <c r="I24" s="802" t="s">
        <v>115</v>
      </c>
    </row>
    <row r="25" spans="1:26" ht="11.25" customHeight="1">
      <c r="E25" s="630"/>
      <c r="F25" s="4148" t="s">
        <v>103</v>
      </c>
      <c r="G25" s="4149"/>
      <c r="H25" s="1563" t="str">
        <f>IF(H24="","",INDEX(DIFFERENTIATION_UNMERGE_VD,MATCH(H24,DIFFERENTIATION_ID_DIFF,0)))</f>
        <v/>
      </c>
      <c r="I25" s="1563">
        <f>IF(I24="","",INDEX(DIFFERENTIATION_UNMERGE_VD,MATCH(I24,DIFFERENTIATION_ID_DIFF,0)))</f>
        <v>0</v>
      </c>
      <c r="J25" s="3946"/>
    </row>
    <row r="26" spans="1:26" ht="11.25" customHeight="1">
      <c r="E26" s="630"/>
      <c r="F26" s="4148" t="s">
        <v>547</v>
      </c>
      <c r="G26" s="4149"/>
      <c r="H26" s="1563" t="str">
        <f>IF(H24="","",INDEX(DIFFERENTIATION_UNMERGE_AREA,MATCH(H24,DIFFERENTIATION_ID_DIFF,0)))</f>
        <v/>
      </c>
      <c r="I26" s="1563" t="str">
        <f>IF(I24="","",INDEX(DIFFERENTIATION_UNMERGE_AREA,MATCH(I24,DIFFERENTIATION_ID_DIFF,0)))</f>
        <v/>
      </c>
      <c r="J26" s="3946"/>
    </row>
    <row r="27" spans="1:26" ht="11.25" customHeight="1">
      <c r="E27" s="630"/>
      <c r="F27" s="4148" t="s">
        <v>548</v>
      </c>
      <c r="G27" s="4149"/>
      <c r="H27" s="1563" t="str">
        <f>IF(H24="","",INDEX(DIFFERENTIATION_UNMERGE_SYSTEM,MATCH(H24,DIFFERENTIATION_ID_DIFF,0)))</f>
        <v/>
      </c>
      <c r="I27" s="1563" t="str">
        <f>IF(I24="","",INDEX(DIFFERENTIATION_UNMERGE_SYSTEM,MATCH(I24,DIFFERENTIATION_ID_DIFF,0)))</f>
        <v>без дифференциации</v>
      </c>
      <c r="J27" s="3946"/>
    </row>
    <row r="28" spans="1:26" ht="11.25" customHeight="1">
      <c r="E28" s="4150" t="s">
        <v>290</v>
      </c>
      <c r="F28" s="4151"/>
      <c r="G28" s="4151"/>
      <c r="H28" s="1556"/>
      <c r="I28" s="1556"/>
      <c r="J28" s="3946"/>
    </row>
    <row r="29" spans="1:26" ht="22.5" customHeight="1">
      <c r="E29" s="1557" t="s">
        <v>86</v>
      </c>
      <c r="F29" s="1564" t="s">
        <v>292</v>
      </c>
      <c r="G29" s="1564" t="s">
        <v>549</v>
      </c>
      <c r="H29" s="1564" t="s">
        <v>293</v>
      </c>
      <c r="I29" s="1564" t="s">
        <v>293</v>
      </c>
      <c r="J29" s="3946"/>
    </row>
    <row r="30" spans="1:26" ht="18.75" customHeight="1">
      <c r="D30" s="1550"/>
      <c r="E30" s="471">
        <f>FHD_NUM_P_1</f>
        <v>1</v>
      </c>
      <c r="F30" s="1790" t="str">
        <f>FHD_P_1</f>
        <v>Выручка от регулируемого вида деятельности с распределением по видам деятельности</v>
      </c>
      <c r="G30" s="1788" t="s">
        <v>535</v>
      </c>
      <c r="H30" s="482"/>
      <c r="I30" s="482"/>
      <c r="J30" s="208" t="str">
        <f>FHD_NOTE_P_1</f>
        <v>Указывается выручка от регулируемого вида деятельности с распределением по видам деятельности.</v>
      </c>
      <c r="K30" s="468"/>
    </row>
    <row r="31" spans="1:26" ht="11.25" customHeight="1">
      <c r="D31" s="1550"/>
      <c r="E31" s="471">
        <f>FHD_NUM_P_2</f>
        <v>2</v>
      </c>
      <c r="F31" s="1790" t="str">
        <f>FHD_P_2</f>
        <v>Себестоимость производимых товаров (оказываемых услуг) по регулируемому виду деятельности, включая:</v>
      </c>
      <c r="G31" s="1788" t="s">
        <v>535</v>
      </c>
      <c r="H31" s="483">
        <f>SUMIF($K33:$K71,$K31,H33:H71)</f>
        <v>0</v>
      </c>
      <c r="I31" s="483">
        <f>SUMIF($K33:$K71,$K31,I33:I71)</f>
        <v>0</v>
      </c>
      <c r="J31" s="208" t="str">
        <f>FHD_NOTE_P_2</f>
        <v>Указывается суммарная себестоимость производимых товаров.</v>
      </c>
      <c r="K31" s="1548" t="s">
        <v>550</v>
      </c>
    </row>
    <row r="32" spans="1:26" ht="11.25" customHeight="1">
      <c r="D32" s="1550"/>
      <c r="E32" s="471" t="str">
        <f>FHD_NUM_P_3</f>
        <v>2.1</v>
      </c>
      <c r="F32" s="1434" t="str">
        <f>FHD_P_3</f>
        <v>Расходы на приобретаемую тепловую энергию (мощность), теплоноситель</v>
      </c>
      <c r="G32" s="1788" t="s">
        <v>535</v>
      </c>
      <c r="H32" s="482"/>
      <c r="I32" s="482"/>
      <c r="J32" s="208" t="str">
        <f>FHD_NOTE_P_3</f>
        <v/>
      </c>
      <c r="K32" s="1548" t="str">
        <f t="shared" ref="K32:K70" si="0">IF((LEN(E32)-LEN(SUBSTITUTE(E32,".","")))/LEN(".")=1,"p","")</f>
        <v>p</v>
      </c>
    </row>
    <row r="33" spans="1:31" ht="11.25" customHeight="1">
      <c r="A33" s="4152" t="s">
        <v>551</v>
      </c>
      <c r="D33" s="1550"/>
      <c r="E33" s="471" t="str">
        <f>FHD_NUM_P_4</f>
        <v>2.2</v>
      </c>
      <c r="F33" s="143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88" t="s">
        <v>535</v>
      </c>
      <c r="H33" s="483">
        <f>SUMIF($F34:$F40,$F3,H34:H40)</f>
        <v>0</v>
      </c>
      <c r="I33" s="483">
        <f>SUMIF($F34:$F40,$F3,I34:I40)</f>
        <v>0</v>
      </c>
      <c r="J33" s="208" t="str">
        <f>FHD_NOTE_P_4</f>
        <v>Указываются суммарные расходы на приобретение топлива всех видов.</v>
      </c>
      <c r="K33" s="1548" t="str">
        <f t="shared" si="0"/>
        <v>p</v>
      </c>
    </row>
    <row r="34" spans="1:31" s="3813" customFormat="1" ht="0.75" customHeight="1">
      <c r="A34" s="4152"/>
      <c r="B34" s="4153" t="str">
        <f>E33&amp;".0"</f>
        <v>2.2.0</v>
      </c>
      <c r="C34" s="1067"/>
      <c r="D34" s="485"/>
      <c r="E34" s="486"/>
      <c r="F34" s="487"/>
      <c r="G34" s="488"/>
      <c r="H34" s="423"/>
      <c r="I34" s="423"/>
      <c r="J34" s="489"/>
      <c r="K34" s="1548" t="str">
        <f t="shared" si="0"/>
        <v/>
      </c>
      <c r="L34" s="1548"/>
      <c r="M34" s="1548"/>
      <c r="N34" s="1548"/>
      <c r="O34" s="1548"/>
      <c r="P34" s="1548"/>
      <c r="Q34" s="1548"/>
      <c r="R34" s="1548"/>
      <c r="S34" s="1548"/>
      <c r="T34" s="1548"/>
      <c r="U34" s="490"/>
      <c r="V34" s="1548"/>
      <c r="W34" s="1548"/>
      <c r="X34" s="1548"/>
      <c r="Y34" s="1548"/>
      <c r="Z34" s="1548"/>
      <c r="AA34" s="491"/>
      <c r="AB34" s="491"/>
      <c r="AC34" s="491"/>
      <c r="AD34" s="491"/>
      <c r="AE34" s="491"/>
    </row>
    <row r="35" spans="1:31" s="3813" customFormat="1" ht="0.75" customHeight="1">
      <c r="A35" s="4152"/>
      <c r="B35" s="4153"/>
      <c r="C35" s="1067"/>
      <c r="D35" s="485"/>
      <c r="E35" s="492"/>
      <c r="F35" s="493"/>
      <c r="G35" s="488"/>
      <c r="H35" s="494"/>
      <c r="I35" s="494"/>
      <c r="J35" s="489"/>
      <c r="K35" s="1548" t="str">
        <f t="shared" si="0"/>
        <v/>
      </c>
      <c r="L35" s="1548"/>
      <c r="M35" s="1548"/>
      <c r="N35" s="1548"/>
      <c r="O35" s="1548"/>
      <c r="P35" s="1548"/>
      <c r="Q35" s="1548"/>
      <c r="R35" s="1548"/>
      <c r="S35" s="1548"/>
      <c r="T35" s="1548"/>
      <c r="U35" s="490"/>
      <c r="V35" s="1548"/>
      <c r="W35" s="1548"/>
      <c r="X35" s="1548"/>
      <c r="Y35" s="1548"/>
      <c r="Z35" s="1548"/>
      <c r="AA35" s="491"/>
      <c r="AB35" s="491"/>
      <c r="AC35" s="491"/>
      <c r="AD35" s="491"/>
      <c r="AE35" s="491"/>
    </row>
    <row r="36" spans="1:31" s="3813" customFormat="1" ht="0.75" customHeight="1">
      <c r="A36" s="4152"/>
      <c r="B36" s="4153"/>
      <c r="C36" s="1067"/>
      <c r="D36" s="485"/>
      <c r="E36" s="492"/>
      <c r="F36" s="493"/>
      <c r="G36" s="488"/>
      <c r="H36" s="494"/>
      <c r="I36" s="494"/>
      <c r="J36" s="489"/>
      <c r="K36" s="1548" t="str">
        <f t="shared" si="0"/>
        <v/>
      </c>
      <c r="L36" s="1548"/>
      <c r="M36" s="1548"/>
      <c r="N36" s="1548"/>
      <c r="O36" s="1548"/>
      <c r="P36" s="1548"/>
      <c r="Q36" s="1548"/>
      <c r="R36" s="1548"/>
      <c r="S36" s="1548"/>
      <c r="T36" s="1548"/>
      <c r="U36" s="490"/>
      <c r="V36" s="1548"/>
      <c r="W36" s="1548"/>
      <c r="X36" s="1548"/>
      <c r="Y36" s="1548"/>
      <c r="Z36" s="1548"/>
      <c r="AA36" s="491"/>
      <c r="AB36" s="491"/>
      <c r="AC36" s="491"/>
      <c r="AD36" s="491"/>
      <c r="AE36" s="491"/>
    </row>
    <row r="37" spans="1:31" s="3813" customFormat="1" ht="0.75" customHeight="1">
      <c r="A37" s="4152"/>
      <c r="B37" s="4153"/>
      <c r="C37" s="1067"/>
      <c r="D37" s="485"/>
      <c r="E37" s="492"/>
      <c r="F37" s="493"/>
      <c r="G37" s="488"/>
      <c r="H37" s="494"/>
      <c r="I37" s="494"/>
      <c r="J37" s="489"/>
      <c r="K37" s="1548" t="str">
        <f t="shared" si="0"/>
        <v/>
      </c>
      <c r="L37" s="1548"/>
      <c r="M37" s="1548"/>
      <c r="N37" s="1548"/>
      <c r="O37" s="1548"/>
      <c r="P37" s="1548"/>
      <c r="Q37" s="1548"/>
      <c r="R37" s="1548"/>
      <c r="S37" s="1548"/>
      <c r="T37" s="1548"/>
      <c r="U37" s="490"/>
      <c r="V37" s="1548"/>
      <c r="W37" s="1548"/>
      <c r="X37" s="1548"/>
      <c r="Y37" s="1548"/>
      <c r="Z37" s="1548"/>
      <c r="AA37" s="491"/>
      <c r="AB37" s="491"/>
      <c r="AC37" s="491"/>
      <c r="AD37" s="491"/>
      <c r="AE37" s="491"/>
    </row>
    <row r="38" spans="1:31" s="3813" customFormat="1" ht="0.75" customHeight="1">
      <c r="A38" s="4152"/>
      <c r="B38" s="4153"/>
      <c r="C38" s="1067"/>
      <c r="D38" s="485"/>
      <c r="E38" s="492"/>
      <c r="F38" s="493"/>
      <c r="G38" s="488"/>
      <c r="H38" s="494"/>
      <c r="I38" s="494"/>
      <c r="J38" s="489"/>
      <c r="K38" s="1548" t="str">
        <f t="shared" si="0"/>
        <v/>
      </c>
      <c r="L38" s="1548"/>
      <c r="M38" s="1548"/>
      <c r="N38" s="1548"/>
      <c r="O38" s="1548"/>
      <c r="P38" s="1548"/>
      <c r="Q38" s="1548"/>
      <c r="R38" s="1548"/>
      <c r="S38" s="1548"/>
      <c r="T38" s="1548"/>
      <c r="U38" s="490"/>
      <c r="V38" s="1548"/>
      <c r="W38" s="1548"/>
      <c r="X38" s="1548"/>
      <c r="Y38" s="1548"/>
      <c r="Z38" s="1548"/>
      <c r="AA38" s="491"/>
      <c r="AB38" s="491"/>
      <c r="AC38" s="491"/>
      <c r="AD38" s="491"/>
      <c r="AE38" s="491"/>
    </row>
    <row r="39" spans="1:31" s="3813" customFormat="1" ht="0.75" customHeight="1">
      <c r="A39" s="4152"/>
      <c r="B39" s="4153"/>
      <c r="C39" s="1067"/>
      <c r="D39" s="485"/>
      <c r="E39" s="492"/>
      <c r="F39" s="493"/>
      <c r="G39" s="488"/>
      <c r="H39" s="423"/>
      <c r="I39" s="423"/>
      <c r="J39" s="489"/>
      <c r="K39" s="1548" t="str">
        <f t="shared" si="0"/>
        <v/>
      </c>
      <c r="L39" s="1548"/>
      <c r="M39" s="1548"/>
      <c r="N39" s="1548"/>
      <c r="O39" s="1548"/>
      <c r="P39" s="1548"/>
      <c r="Q39" s="1548"/>
      <c r="R39" s="1548"/>
      <c r="S39" s="1548"/>
      <c r="T39" s="1548"/>
      <c r="U39" s="490"/>
      <c r="V39" s="1548"/>
      <c r="W39" s="1548"/>
      <c r="X39" s="1548"/>
      <c r="Y39" s="1548"/>
      <c r="Z39" s="1548"/>
      <c r="AA39" s="491"/>
      <c r="AB39" s="491"/>
      <c r="AC39" s="491"/>
      <c r="AD39" s="491"/>
      <c r="AE39" s="491"/>
    </row>
    <row r="40" spans="1:31" s="2553" customFormat="1" ht="15" customHeight="1">
      <c r="A40" s="4152"/>
      <c r="C40" s="1548"/>
      <c r="D40" s="1545"/>
      <c r="E40" s="495"/>
      <c r="F40" s="496" t="s">
        <v>552</v>
      </c>
      <c r="G40" s="497"/>
      <c r="H40" s="498"/>
      <c r="I40" s="498"/>
      <c r="J40" s="220"/>
      <c r="K40" s="1548" t="str">
        <f t="shared" si="0"/>
        <v/>
      </c>
      <c r="L40" s="1548"/>
      <c r="M40" s="1548"/>
      <c r="R40" s="1548"/>
      <c r="U40" s="469"/>
      <c r="AA40" s="1544"/>
      <c r="AB40" s="1544"/>
      <c r="AC40" s="1544"/>
      <c r="AD40" s="1544"/>
      <c r="AE40" s="1544"/>
    </row>
    <row r="41" spans="1:31" ht="11.25" hidden="1" customHeight="1">
      <c r="A41" s="4152" t="s">
        <v>553</v>
      </c>
      <c r="D41" s="1550"/>
      <c r="E41" s="471" t="str">
        <f>FHD_NUM_P_5</f>
        <v/>
      </c>
      <c r="F41" s="1434" t="str">
        <f>FHD_P_5</f>
        <v/>
      </c>
      <c r="G41" s="1788" t="s">
        <v>535</v>
      </c>
      <c r="H41" s="482"/>
      <c r="I41" s="482"/>
      <c r="J41" s="208" t="str">
        <f>FHD_NOTE_P_5</f>
        <v/>
      </c>
      <c r="K41" s="1548" t="str">
        <f t="shared" si="0"/>
        <v/>
      </c>
    </row>
    <row r="42" spans="1:31" ht="11.25" hidden="1" customHeight="1">
      <c r="A42" s="4152"/>
      <c r="D42" s="1550"/>
      <c r="E42" s="471" t="str">
        <f>FHD_NUM_P_6</f>
        <v/>
      </c>
      <c r="F42" s="1434" t="str">
        <f>FHD_P_6</f>
        <v/>
      </c>
      <c r="G42" s="1788" t="s">
        <v>535</v>
      </c>
      <c r="H42" s="482"/>
      <c r="I42" s="482"/>
      <c r="J42" s="208" t="str">
        <f>FHD_NOTE_P_6</f>
        <v/>
      </c>
      <c r="K42" s="1548" t="str">
        <f t="shared" si="0"/>
        <v/>
      </c>
    </row>
    <row r="43" spans="1:31" ht="11.25" hidden="1" customHeight="1">
      <c r="A43" s="4152"/>
      <c r="D43" s="1550"/>
      <c r="E43" s="471" t="str">
        <f>FHD_NUM_P_7</f>
        <v/>
      </c>
      <c r="F43" s="1434" t="str">
        <f>FHD_P_7</f>
        <v/>
      </c>
      <c r="G43" s="1788" t="s">
        <v>535</v>
      </c>
      <c r="H43" s="482"/>
      <c r="I43" s="482"/>
      <c r="J43" s="208" t="str">
        <f>FHD_NOTE_P_7</f>
        <v/>
      </c>
      <c r="K43" s="1548" t="str">
        <f t="shared" si="0"/>
        <v/>
      </c>
    </row>
    <row r="44" spans="1:31" ht="11.25" customHeight="1">
      <c r="D44" s="1550"/>
      <c r="E44" s="471" t="str">
        <f>FHD_NUM_P_8</f>
        <v>2.3</v>
      </c>
      <c r="F44" s="1434" t="str">
        <f>FHD_P_8</f>
        <v>Расходы на приобретаемую электрическую энергию (мощность), используемую в технологическом процессе</v>
      </c>
      <c r="G44" s="1788" t="s">
        <v>535</v>
      </c>
      <c r="H44" s="482"/>
      <c r="I44" s="482"/>
      <c r="J44" s="208" t="str">
        <f>FHD_NOTE_P_8</f>
        <v/>
      </c>
      <c r="K44" s="1548" t="str">
        <f t="shared" si="0"/>
        <v>p</v>
      </c>
    </row>
    <row r="45" spans="1:31" ht="11.25" customHeight="1">
      <c r="D45" s="1550"/>
      <c r="E45" s="471" t="str">
        <f>FHD_NUM_P_9</f>
        <v>2.3.1</v>
      </c>
      <c r="F45" s="1561" t="str">
        <f>FHD_P_9</f>
        <v>Средневзвешенная стоимость 1 кВт.ч (с учетом мощности)</v>
      </c>
      <c r="G45" s="1788" t="s">
        <v>554</v>
      </c>
      <c r="H45" s="482"/>
      <c r="I45" s="482"/>
      <c r="J45" s="208" t="str">
        <f>FHD_NOTE_P_9</f>
        <v/>
      </c>
      <c r="K45" s="1548" t="str">
        <f t="shared" si="0"/>
        <v/>
      </c>
    </row>
    <row r="46" spans="1:31" s="2553" customFormat="1" ht="11.25" customHeight="1">
      <c r="A46" s="895"/>
      <c r="C46" s="1548"/>
      <c r="D46" s="499"/>
      <c r="E46" s="471" t="str">
        <f>FHD_NUM_P_10</f>
        <v>2.3.2</v>
      </c>
      <c r="F46" s="1561" t="str">
        <f>FHD_P_10</f>
        <v>Объём приобретения электрической энергии</v>
      </c>
      <c r="G46" s="1788" t="s">
        <v>555</v>
      </c>
      <c r="H46" s="482"/>
      <c r="I46" s="482"/>
      <c r="J46" s="208" t="str">
        <f>FHD_NOTE_P_10</f>
        <v/>
      </c>
      <c r="K46" s="1548" t="str">
        <f t="shared" si="0"/>
        <v/>
      </c>
      <c r="L46" s="1548"/>
      <c r="M46" s="1548"/>
      <c r="R46" s="1548"/>
      <c r="U46" s="469"/>
      <c r="AA46" s="1544"/>
      <c r="AB46" s="1544"/>
      <c r="AC46" s="1544"/>
      <c r="AD46" s="1544"/>
      <c r="AE46" s="1544"/>
    </row>
    <row r="47" spans="1:31" s="2553" customFormat="1" ht="11.25" customHeight="1">
      <c r="A47" s="897" t="s">
        <v>556</v>
      </c>
      <c r="C47" s="1548"/>
      <c r="D47" s="500"/>
      <c r="E47" s="471" t="str">
        <f>FHD_NUM_P_11</f>
        <v>2.4</v>
      </c>
      <c r="F47" s="1434" t="str">
        <f>FHD_P_11</f>
        <v>Расходы на приобретение холодной воды, используемой в технологическом процессе</v>
      </c>
      <c r="G47" s="1788" t="s">
        <v>535</v>
      </c>
      <c r="H47" s="482"/>
      <c r="I47" s="482"/>
      <c r="J47" s="208" t="str">
        <f>FHD_NOTE_P_11</f>
        <v/>
      </c>
      <c r="K47" s="1548" t="str">
        <f t="shared" si="0"/>
        <v>p</v>
      </c>
      <c r="L47" s="1548"/>
      <c r="M47" s="1548"/>
      <c r="R47" s="1548"/>
      <c r="U47" s="469"/>
      <c r="AA47" s="1544"/>
      <c r="AB47" s="1544"/>
      <c r="AC47" s="1544"/>
      <c r="AD47" s="1544"/>
      <c r="AE47" s="1544"/>
    </row>
    <row r="48" spans="1:31" s="2553" customFormat="1" ht="18" customHeight="1">
      <c r="A48" s="897" t="s">
        <v>557</v>
      </c>
      <c r="C48" s="1548"/>
      <c r="D48" s="1550"/>
      <c r="E48" s="471" t="str">
        <f>FHD_NUM_P_12</f>
        <v>2.5</v>
      </c>
      <c r="F48" s="1434" t="str">
        <f>FHD_P_12</f>
        <v>Расходы на химические реагенты, используемые в технологическом процессе</v>
      </c>
      <c r="G48" s="1788" t="s">
        <v>535</v>
      </c>
      <c r="H48" s="502"/>
      <c r="I48" s="502"/>
      <c r="J48" s="208" t="str">
        <f>FHD_NOTE_P_12</f>
        <v/>
      </c>
      <c r="K48" s="1548" t="str">
        <f t="shared" si="0"/>
        <v>p</v>
      </c>
      <c r="L48" s="1548"/>
      <c r="M48" s="1548"/>
      <c r="R48" s="1548"/>
      <c r="U48" s="469"/>
      <c r="AA48" s="1544"/>
      <c r="AB48" s="1544"/>
      <c r="AC48" s="1544"/>
      <c r="AD48" s="1544"/>
      <c r="AE48" s="1544"/>
    </row>
    <row r="49" spans="1:31" s="2557" customFormat="1" ht="11.25" customHeight="1">
      <c r="A49" s="896"/>
      <c r="C49" s="649"/>
      <c r="D49" s="594"/>
      <c r="E49" s="471" t="str">
        <f>FHD_NUM_P_13</f>
        <v>2.6</v>
      </c>
      <c r="F49" s="143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8" t="s">
        <v>535</v>
      </c>
      <c r="H49" s="482"/>
      <c r="I49" s="482"/>
      <c r="J49" s="208" t="str">
        <f>FHD_NOTE_P_13</f>
        <v/>
      </c>
      <c r="K49" s="1548" t="str">
        <f t="shared" si="0"/>
        <v>p</v>
      </c>
      <c r="L49" s="649"/>
      <c r="M49" s="649"/>
      <c r="R49" s="649"/>
      <c r="U49" s="650"/>
      <c r="AA49" s="651"/>
      <c r="AB49" s="651"/>
      <c r="AC49" s="651"/>
      <c r="AD49" s="651"/>
      <c r="AE49" s="651"/>
    </row>
    <row r="50" spans="1:31" s="2557" customFormat="1" ht="11.25" customHeight="1">
      <c r="A50" s="896"/>
      <c r="C50" s="649"/>
      <c r="D50" s="594"/>
      <c r="E50" s="471" t="str">
        <f>FHD_NUM_P_14</f>
        <v>2.6.1</v>
      </c>
      <c r="F50" s="1561" t="str">
        <f>FHD_P_14</f>
        <v>Расходы на оплату труда основного производственного персонала</v>
      </c>
      <c r="G50" s="1788" t="s">
        <v>535</v>
      </c>
      <c r="H50" s="482"/>
      <c r="I50" s="482"/>
      <c r="J50" s="208" t="str">
        <f>FHD_NOTE_P_14</f>
        <v/>
      </c>
      <c r="K50" s="1548" t="str">
        <f t="shared" si="0"/>
        <v/>
      </c>
      <c r="L50" s="649"/>
      <c r="M50" s="649"/>
      <c r="R50" s="649"/>
      <c r="U50" s="650"/>
      <c r="AA50" s="651"/>
      <c r="AB50" s="651"/>
      <c r="AC50" s="651"/>
      <c r="AD50" s="651"/>
      <c r="AE50" s="651"/>
    </row>
    <row r="51" spans="1:31" s="2557" customFormat="1" ht="11.25" customHeight="1">
      <c r="A51" s="896"/>
      <c r="C51" s="649"/>
      <c r="D51" s="594"/>
      <c r="E51" s="471" t="str">
        <f>FHD_NUM_P_15</f>
        <v>2.6.2</v>
      </c>
      <c r="F51" s="1561" t="str">
        <f>FHD_P_15</f>
        <v>Страховые взносы на обязательное социальное страхование, выплачиваемые из фонда оплаты труда основного производственного персонала</v>
      </c>
      <c r="G51" s="1788" t="s">
        <v>535</v>
      </c>
      <c r="H51" s="482"/>
      <c r="I51" s="482"/>
      <c r="J51" s="208" t="str">
        <f>FHD_NOTE_P_15</f>
        <v/>
      </c>
      <c r="K51" s="1548" t="str">
        <f t="shared" si="0"/>
        <v/>
      </c>
      <c r="L51" s="649"/>
      <c r="M51" s="649"/>
      <c r="R51" s="649"/>
      <c r="U51" s="650"/>
      <c r="AA51" s="651"/>
      <c r="AB51" s="651"/>
      <c r="AC51" s="651"/>
      <c r="AD51" s="651"/>
      <c r="AE51" s="651"/>
    </row>
    <row r="52" spans="1:31" s="2553" customFormat="1" ht="11.25" customHeight="1">
      <c r="A52" s="895"/>
      <c r="C52" s="1548"/>
      <c r="D52" s="1550"/>
      <c r="E52" s="471" t="str">
        <f>FHD_NUM_P_16</f>
        <v>2.7</v>
      </c>
      <c r="F52" s="143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8" t="s">
        <v>535</v>
      </c>
      <c r="H52" s="482"/>
      <c r="I52" s="482"/>
      <c r="J52" s="208" t="str">
        <f>FHD_NOTE_P_16</f>
        <v/>
      </c>
      <c r="K52" s="1548" t="str">
        <f t="shared" si="0"/>
        <v>p</v>
      </c>
      <c r="L52" s="1548"/>
      <c r="M52" s="1553"/>
      <c r="N52" s="462"/>
      <c r="O52" s="462"/>
      <c r="R52" s="1548"/>
      <c r="U52" s="469"/>
      <c r="AA52" s="1544"/>
      <c r="AB52" s="1544"/>
      <c r="AC52" s="1544"/>
      <c r="AD52" s="1544"/>
      <c r="AE52" s="1544"/>
    </row>
    <row r="53" spans="1:31" s="2553" customFormat="1" ht="11.25" customHeight="1">
      <c r="A53" s="895"/>
      <c r="C53" s="1548"/>
      <c r="D53" s="1550"/>
      <c r="E53" s="471" t="str">
        <f>FHD_NUM_P_17</f>
        <v>2.7.1</v>
      </c>
      <c r="F53" s="1561" t="str">
        <f>FHD_P_17</f>
        <v>Расходы на оплату труда административно-управленческого персонала</v>
      </c>
      <c r="G53" s="1788" t="s">
        <v>535</v>
      </c>
      <c r="H53" s="482"/>
      <c r="I53" s="482"/>
      <c r="J53" s="208" t="str">
        <f>FHD_NOTE_P_17</f>
        <v/>
      </c>
      <c r="K53" s="1548" t="str">
        <f t="shared" si="0"/>
        <v/>
      </c>
      <c r="L53" s="1548"/>
      <c r="M53" s="1553"/>
      <c r="N53" s="462"/>
      <c r="O53" s="462"/>
      <c r="R53" s="1548"/>
      <c r="U53" s="469"/>
      <c r="AA53" s="1544"/>
      <c r="AB53" s="1544"/>
      <c r="AC53" s="1544"/>
      <c r="AD53" s="1544"/>
      <c r="AE53" s="1544"/>
    </row>
    <row r="54" spans="1:31" s="2553" customFormat="1" ht="11.25" customHeight="1">
      <c r="A54" s="895"/>
      <c r="C54" s="1548"/>
      <c r="D54" s="1550"/>
      <c r="E54" s="471" t="str">
        <f>FHD_NUM_P_18</f>
        <v>2.7.2</v>
      </c>
      <c r="F54" s="156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8" t="s">
        <v>535</v>
      </c>
      <c r="H54" s="482"/>
      <c r="I54" s="482"/>
      <c r="J54" s="208" t="str">
        <f>FHD_NOTE_P_18</f>
        <v/>
      </c>
      <c r="K54" s="1548" t="str">
        <f t="shared" si="0"/>
        <v/>
      </c>
      <c r="L54" s="1548"/>
      <c r="M54" s="1553"/>
      <c r="N54" s="462"/>
      <c r="O54" s="462"/>
      <c r="R54" s="1548"/>
      <c r="U54" s="469"/>
      <c r="AA54" s="1544"/>
      <c r="AB54" s="1544"/>
      <c r="AC54" s="1544"/>
      <c r="AD54" s="1544"/>
      <c r="AE54" s="1544"/>
    </row>
    <row r="55" spans="1:31" s="2553" customFormat="1" ht="11.25" customHeight="1">
      <c r="A55" s="895"/>
      <c r="C55" s="1548"/>
      <c r="D55" s="500"/>
      <c r="E55" s="471" t="str">
        <f>FHD_NUM_P_19</f>
        <v>2.8</v>
      </c>
      <c r="F55" s="1434" t="str">
        <f>FHD_P_19</f>
        <v>Расходы на амортизацию основных средств и нематериальных активов</v>
      </c>
      <c r="G55" s="1788" t="s">
        <v>535</v>
      </c>
      <c r="H55" s="482"/>
      <c r="I55" s="482"/>
      <c r="J55" s="208" t="str">
        <f>FHD_NOTE_P_19</f>
        <v/>
      </c>
      <c r="K55" s="1548" t="str">
        <f t="shared" si="0"/>
        <v>p</v>
      </c>
      <c r="L55" s="1548"/>
      <c r="M55" s="1548"/>
      <c r="R55" s="1548"/>
      <c r="U55" s="469"/>
      <c r="AA55" s="1544"/>
      <c r="AB55" s="1544"/>
      <c r="AC55" s="1544"/>
      <c r="AD55" s="1544"/>
      <c r="AE55" s="1544"/>
    </row>
    <row r="56" spans="1:31" s="2553" customFormat="1" ht="11.25" customHeight="1">
      <c r="A56" s="895"/>
      <c r="C56" s="1548"/>
      <c r="D56" s="500"/>
      <c r="E56" s="471" t="str">
        <f>FHD_NUM_P_20</f>
        <v>2.8.1</v>
      </c>
      <c r="F56" s="1561" t="str">
        <f>FHD_P_20</f>
        <v>Расходы на амортизацию основных средств</v>
      </c>
      <c r="G56" s="1788" t="s">
        <v>535</v>
      </c>
      <c r="H56" s="482"/>
      <c r="I56" s="482"/>
      <c r="J56" s="208" t="str">
        <f>FHD_NOTE_P_20</f>
        <v/>
      </c>
      <c r="K56" s="1548" t="str">
        <f t="shared" si="0"/>
        <v/>
      </c>
      <c r="L56" s="1548"/>
      <c r="M56" s="1548"/>
      <c r="R56" s="1548"/>
      <c r="U56" s="469"/>
      <c r="AA56" s="1544"/>
      <c r="AB56" s="1544"/>
      <c r="AC56" s="1544"/>
      <c r="AD56" s="1544"/>
      <c r="AE56" s="1544"/>
    </row>
    <row r="57" spans="1:31" s="2553" customFormat="1" ht="11.25" customHeight="1">
      <c r="A57" s="895"/>
      <c r="C57" s="1548"/>
      <c r="D57" s="500"/>
      <c r="E57" s="471" t="str">
        <f>FHD_NUM_P_21</f>
        <v>2.8.2</v>
      </c>
      <c r="F57" s="1561" t="str">
        <f>FHD_P_21</f>
        <v>Расходы на амортизацию нематериальных активов</v>
      </c>
      <c r="G57" s="1788" t="s">
        <v>535</v>
      </c>
      <c r="H57" s="482"/>
      <c r="I57" s="482"/>
      <c r="J57" s="208" t="str">
        <f>FHD_NOTE_P_21</f>
        <v/>
      </c>
      <c r="K57" s="1548" t="str">
        <f t="shared" si="0"/>
        <v/>
      </c>
      <c r="L57" s="1548"/>
      <c r="M57" s="1548"/>
      <c r="R57" s="1548"/>
      <c r="U57" s="469"/>
      <c r="AA57" s="1544"/>
      <c r="AB57" s="1544"/>
      <c r="AC57" s="1544"/>
      <c r="AD57" s="1544"/>
      <c r="AE57" s="1544"/>
    </row>
    <row r="58" spans="1:31" s="2553" customFormat="1" ht="11.25" customHeight="1">
      <c r="A58" s="895"/>
      <c r="C58" s="1548"/>
      <c r="D58" s="1550"/>
      <c r="E58" s="471" t="str">
        <f>FHD_NUM_P_22</f>
        <v>2.9</v>
      </c>
      <c r="F58" s="1434" t="str">
        <f>FHD_P_22</f>
        <v>Расходы на аренду имущества, используемого для осуществления регулируемого вида деятельности</v>
      </c>
      <c r="G58" s="1788" t="s">
        <v>535</v>
      </c>
      <c r="H58" s="482"/>
      <c r="I58" s="482"/>
      <c r="J58" s="208" t="str">
        <f>FHD_NOTE_P_22</f>
        <v/>
      </c>
      <c r="K58" s="1548" t="str">
        <f t="shared" si="0"/>
        <v>p</v>
      </c>
      <c r="L58" s="1548"/>
      <c r="M58" s="1548"/>
      <c r="R58" s="1548"/>
      <c r="U58" s="469"/>
      <c r="AA58" s="1544"/>
      <c r="AB58" s="1544"/>
      <c r="AC58" s="1544"/>
      <c r="AD58" s="1544"/>
      <c r="AE58" s="1544"/>
    </row>
    <row r="59" spans="1:31" s="2553" customFormat="1" ht="11.25" customHeight="1">
      <c r="A59" s="895"/>
      <c r="C59" s="1548"/>
      <c r="D59" s="500"/>
      <c r="E59" s="471" t="str">
        <f>FHD_NUM_P_23</f>
        <v>2.10</v>
      </c>
      <c r="F59" s="1434" t="str">
        <f>FHD_P_23</f>
        <v>Общепроизводственные расходы, в том числе:</v>
      </c>
      <c r="G59" s="1788" t="s">
        <v>535</v>
      </c>
      <c r="H59" s="482"/>
      <c r="I59" s="482"/>
      <c r="J59" s="208" t="str">
        <f>FHD_NOTE_P_23</f>
        <v>Указывается общая сумма общепроизводственных расходов.</v>
      </c>
      <c r="K59" s="1548" t="str">
        <f t="shared" si="0"/>
        <v>p</v>
      </c>
      <c r="L59" s="1548"/>
      <c r="M59" s="1548"/>
      <c r="R59" s="1548"/>
      <c r="U59" s="469"/>
      <c r="AA59" s="1544"/>
      <c r="AB59" s="1544"/>
      <c r="AC59" s="1544"/>
      <c r="AD59" s="1544"/>
      <c r="AE59" s="1544"/>
    </row>
    <row r="60" spans="1:31" s="2553" customFormat="1" ht="11.25" customHeight="1">
      <c r="A60" s="895"/>
      <c r="C60" s="1548"/>
      <c r="D60" s="500"/>
      <c r="E60" s="471" t="str">
        <f>FHD_NUM_P_24</f>
        <v>2.10.1</v>
      </c>
      <c r="F60" s="1561" t="str">
        <f>FHD_P_24</f>
        <v>Расходы на текущий ремонт</v>
      </c>
      <c r="G60" s="1788" t="s">
        <v>535</v>
      </c>
      <c r="H60" s="482"/>
      <c r="I60" s="482"/>
      <c r="J60" s="208" t="str">
        <f>FHD_NOTE_P_24</f>
        <v>Указываются расходы на текущий ремонт, отнесенные к общепроизводственным расходам.</v>
      </c>
      <c r="K60" s="1548" t="str">
        <f t="shared" si="0"/>
        <v/>
      </c>
      <c r="L60" s="1548"/>
      <c r="M60" s="1548"/>
      <c r="R60" s="1548"/>
      <c r="U60" s="469"/>
      <c r="AA60" s="1544"/>
      <c r="AB60" s="1544"/>
      <c r="AC60" s="1544"/>
      <c r="AD60" s="1544"/>
      <c r="AE60" s="1544"/>
    </row>
    <row r="61" spans="1:31" s="2553" customFormat="1" ht="11.25" customHeight="1">
      <c r="A61" s="895"/>
      <c r="C61" s="1548"/>
      <c r="D61" s="500"/>
      <c r="E61" s="471" t="str">
        <f>FHD_NUM_P_25</f>
        <v>2.10.2</v>
      </c>
      <c r="F61" s="1561" t="str">
        <f>FHD_P_25</f>
        <v>Расходы на капитальный ремонт</v>
      </c>
      <c r="G61" s="1788" t="s">
        <v>535</v>
      </c>
      <c r="H61" s="482"/>
      <c r="I61" s="482"/>
      <c r="J61" s="208" t="str">
        <f>FHD_NOTE_P_25</f>
        <v>Указываются расходы на капитальный ремонт, отнесенные к общепроизводственным расходам.</v>
      </c>
      <c r="K61" s="1548" t="str">
        <f t="shared" si="0"/>
        <v/>
      </c>
      <c r="L61" s="1548"/>
      <c r="M61" s="1548"/>
      <c r="R61" s="1548"/>
      <c r="U61" s="469"/>
      <c r="AA61" s="1544"/>
      <c r="AB61" s="1544"/>
      <c r="AC61" s="1544"/>
      <c r="AD61" s="1544"/>
      <c r="AE61" s="1544"/>
    </row>
    <row r="62" spans="1:31" s="2553" customFormat="1" ht="11.25" customHeight="1">
      <c r="A62" s="895"/>
      <c r="C62" s="1548"/>
      <c r="D62" s="1550"/>
      <c r="E62" s="471" t="str">
        <f>FHD_NUM_P_26</f>
        <v>2.11</v>
      </c>
      <c r="F62" s="1434" t="str">
        <f>FHD_P_26</f>
        <v>Общехозяйственные расходы, в том числе:</v>
      </c>
      <c r="G62" s="1788" t="s">
        <v>535</v>
      </c>
      <c r="H62" s="482"/>
      <c r="I62" s="482"/>
      <c r="J62" s="208" t="str">
        <f>FHD_NOTE_P_26</f>
        <v>Указывается общая сумма общехозяйственных расходов.</v>
      </c>
      <c r="K62" s="1548" t="str">
        <f t="shared" si="0"/>
        <v>p</v>
      </c>
      <c r="L62" s="1548"/>
      <c r="M62" s="1548"/>
      <c r="R62" s="1548"/>
      <c r="U62" s="469"/>
      <c r="AA62" s="1544"/>
      <c r="AB62" s="1544"/>
      <c r="AC62" s="1544"/>
      <c r="AD62" s="1544"/>
      <c r="AE62" s="1544"/>
    </row>
    <row r="63" spans="1:31" s="2553" customFormat="1" ht="11.25" customHeight="1">
      <c r="A63" s="895"/>
      <c r="C63" s="1548"/>
      <c r="D63" s="1550"/>
      <c r="E63" s="471" t="str">
        <f>FHD_NUM_P_27</f>
        <v>2.11.1</v>
      </c>
      <c r="F63" s="1561" t="str">
        <f>FHD_P_27</f>
        <v>Расходы на текущий ремонт</v>
      </c>
      <c r="G63" s="1788" t="s">
        <v>535</v>
      </c>
      <c r="H63" s="482"/>
      <c r="I63" s="482"/>
      <c r="J63" s="208" t="str">
        <f>FHD_NOTE_P_27</f>
        <v>Указываются расходы на текущий ремонт, отнесенные к общехозяйственным расходам.</v>
      </c>
      <c r="K63" s="1548" t="str">
        <f t="shared" si="0"/>
        <v/>
      </c>
      <c r="L63" s="1548"/>
      <c r="M63" s="1548"/>
      <c r="R63" s="1548"/>
      <c r="U63" s="469"/>
      <c r="AA63" s="1544"/>
      <c r="AB63" s="1544"/>
      <c r="AC63" s="1544"/>
      <c r="AD63" s="1544"/>
      <c r="AE63" s="1544"/>
    </row>
    <row r="64" spans="1:31" s="2553" customFormat="1" ht="11.25" customHeight="1">
      <c r="A64" s="895"/>
      <c r="C64" s="1548"/>
      <c r="D64" s="1550"/>
      <c r="E64" s="471" t="str">
        <f>FHD_NUM_P_28</f>
        <v>2.11.2</v>
      </c>
      <c r="F64" s="1561" t="str">
        <f>FHD_P_28</f>
        <v>Расходы на капитальный ремонт</v>
      </c>
      <c r="G64" s="1788" t="s">
        <v>535</v>
      </c>
      <c r="H64" s="482"/>
      <c r="I64" s="482"/>
      <c r="J64" s="208" t="str">
        <f>FHD_NOTE_P_28</f>
        <v>Указываются расходы на капитальный ремонт, отнесенные к общехозяйственным расходам.</v>
      </c>
      <c r="K64" s="1548" t="str">
        <f t="shared" si="0"/>
        <v/>
      </c>
      <c r="L64" s="1548"/>
      <c r="M64" s="1548"/>
      <c r="R64" s="1548"/>
      <c r="U64" s="469"/>
      <c r="AA64" s="1544"/>
      <c r="AB64" s="1544"/>
      <c r="AC64" s="1544"/>
      <c r="AD64" s="1544"/>
      <c r="AE64" s="1544"/>
    </row>
    <row r="65" spans="1:31" s="2553" customFormat="1" ht="11.25" customHeight="1">
      <c r="A65" s="895"/>
      <c r="C65" s="1548"/>
      <c r="D65" s="1550"/>
      <c r="E65" s="471" t="str">
        <f>FHD_NUM_P_29</f>
        <v>2.12</v>
      </c>
      <c r="F65" s="1434" t="str">
        <f>FHD_P_29</f>
        <v>Расходы на капитальный и текущий ремонт основных средств</v>
      </c>
      <c r="G65" s="1788" t="s">
        <v>535</v>
      </c>
      <c r="H65" s="482"/>
      <c r="I65" s="482"/>
      <c r="J65" s="20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8" t="str">
        <f t="shared" si="0"/>
        <v>p</v>
      </c>
      <c r="L65" s="1548"/>
      <c r="M65" s="1548"/>
      <c r="R65" s="1548"/>
      <c r="U65" s="469"/>
      <c r="AA65" s="1544"/>
      <c r="AB65" s="1544"/>
      <c r="AC65" s="1544"/>
      <c r="AD65" s="1544"/>
      <c r="AE65" s="1544"/>
    </row>
    <row r="66" spans="1:31" s="2553" customFormat="1" ht="11.25" customHeight="1">
      <c r="A66" s="895"/>
      <c r="C66" s="1548"/>
      <c r="D66" s="1550"/>
      <c r="E66" s="471" t="str">
        <f>FHD_NUM_P_30</f>
        <v>2.12.1</v>
      </c>
      <c r="F66" s="156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8" t="s">
        <v>296</v>
      </c>
      <c r="H66" s="1560" t="s">
        <v>558</v>
      </c>
      <c r="I66" s="1560" t="s">
        <v>558</v>
      </c>
      <c r="J66" s="208" t="str">
        <f>FHD_NOTE_P_30</f>
        <v/>
      </c>
      <c r="K66" s="1548" t="str">
        <f t="shared" si="0"/>
        <v/>
      </c>
      <c r="L66" s="1548">
        <f>IFERROR(MATCH("есть",B_FHD_FLAG_INDEX_1,0),0)</f>
        <v>0</v>
      </c>
      <c r="M66" s="1548"/>
      <c r="R66" s="1548"/>
      <c r="U66" s="469"/>
      <c r="AA66" s="1544"/>
      <c r="AB66" s="1544"/>
      <c r="AC66" s="1544"/>
      <c r="AD66" s="1544"/>
      <c r="AE66" s="1544"/>
    </row>
    <row r="67" spans="1:31" s="2553" customFormat="1" ht="22.5" hidden="1" customHeight="1">
      <c r="A67" s="4152" t="s">
        <v>559</v>
      </c>
      <c r="C67" s="1548"/>
      <c r="D67" s="1550"/>
      <c r="E67" s="471" t="str">
        <f>FHD_NUM_P_31</f>
        <v/>
      </c>
      <c r="F67" s="1434" t="str">
        <f>FHD_P_31</f>
        <v/>
      </c>
      <c r="G67" s="1788" t="s">
        <v>535</v>
      </c>
      <c r="H67" s="482"/>
      <c r="I67" s="482"/>
      <c r="J67" s="208" t="str">
        <f>FHD_NOTE_P_31</f>
        <v/>
      </c>
      <c r="K67" s="1548" t="str">
        <f t="shared" si="0"/>
        <v/>
      </c>
      <c r="L67" s="1548"/>
      <c r="M67" s="1548"/>
      <c r="R67" s="1548"/>
      <c r="U67" s="469"/>
      <c r="AA67" s="1544"/>
      <c r="AB67" s="1544"/>
      <c r="AC67" s="1544"/>
      <c r="AD67" s="1544"/>
      <c r="AE67" s="1544"/>
    </row>
    <row r="68" spans="1:31" s="2553" customFormat="1" ht="45" hidden="1" customHeight="1">
      <c r="A68" s="4152"/>
      <c r="C68" s="1548"/>
      <c r="D68" s="1550"/>
      <c r="E68" s="471" t="str">
        <f>FHD_NUM_P_32</f>
        <v/>
      </c>
      <c r="F68" s="1561" t="str">
        <f>FHD_P_32</f>
        <v/>
      </c>
      <c r="G68" s="1788" t="s">
        <v>296</v>
      </c>
      <c r="H68" s="1560" t="s">
        <v>558</v>
      </c>
      <c r="I68" s="1560" t="s">
        <v>558</v>
      </c>
      <c r="J68" s="208" t="str">
        <f>FHD_NOTE_P_32</f>
        <v/>
      </c>
      <c r="K68" s="1548" t="str">
        <f t="shared" si="0"/>
        <v/>
      </c>
      <c r="L68" s="1548">
        <f>IFERROR(MATCH("есть",B_FHD_FLAG_INDEX_2,0),0)</f>
        <v>0</v>
      </c>
      <c r="M68" s="1548"/>
      <c r="R68" s="1548"/>
      <c r="U68" s="469"/>
      <c r="AA68" s="1544"/>
      <c r="AB68" s="1544"/>
      <c r="AC68" s="1544"/>
      <c r="AD68" s="1544"/>
      <c r="AE68" s="1544"/>
    </row>
    <row r="69" spans="1:31" s="2553" customFormat="1" ht="11.25" customHeight="1">
      <c r="A69" s="895"/>
      <c r="C69" s="1548"/>
      <c r="D69" s="1550"/>
      <c r="E69" s="471" t="str">
        <f>FHD_NUM_P_33</f>
        <v>2.13</v>
      </c>
      <c r="F69" s="143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89" t="s">
        <v>535</v>
      </c>
      <c r="H69" s="504">
        <f>SUM(H70:H71)</f>
        <v>0</v>
      </c>
      <c r="I69" s="504">
        <f>SUM(I70:I71)</f>
        <v>0</v>
      </c>
      <c r="J69" s="20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48" t="str">
        <f t="shared" si="0"/>
        <v>p</v>
      </c>
      <c r="L69" s="1548"/>
      <c r="M69" s="1548"/>
      <c r="R69" s="1548"/>
      <c r="U69" s="469"/>
      <c r="AA69" s="1544"/>
      <c r="AB69" s="1544"/>
      <c r="AC69" s="1544"/>
      <c r="AD69" s="1544"/>
      <c r="AE69" s="1544"/>
    </row>
    <row r="70" spans="1:31" s="3810" customFormat="1" ht="0.75" customHeight="1">
      <c r="A70" s="1067"/>
      <c r="D70" s="473"/>
      <c r="E70" s="920" t="str">
        <f>E69&amp;".0"</f>
        <v>2.13.0</v>
      </c>
      <c r="F70" s="899"/>
      <c r="G70" s="920"/>
      <c r="H70" s="900"/>
      <c r="I70" s="900"/>
      <c r="J70" s="901"/>
      <c r="K70" s="1548" t="str">
        <f t="shared" si="0"/>
        <v/>
      </c>
    </row>
    <row r="71" spans="1:31" s="2553" customFormat="1" ht="14.25" customHeight="1">
      <c r="A71" s="895"/>
      <c r="C71" s="1548"/>
      <c r="D71" s="1545"/>
      <c r="E71" s="495"/>
      <c r="F71" s="496" t="s">
        <v>560</v>
      </c>
      <c r="G71" s="497"/>
      <c r="H71" s="498"/>
      <c r="I71" s="498"/>
      <c r="J71" s="220"/>
      <c r="K71" s="1548"/>
      <c r="L71" s="1548"/>
      <c r="M71" s="1548"/>
      <c r="R71" s="1548"/>
      <c r="U71" s="469"/>
      <c r="AA71" s="1544"/>
      <c r="AB71" s="1544"/>
      <c r="AC71" s="1544"/>
      <c r="AD71" s="1544"/>
      <c r="AE71" s="1544"/>
    </row>
    <row r="72" spans="1:31" s="2553" customFormat="1" ht="18.75" customHeight="1">
      <c r="A72" s="897" t="s">
        <v>561</v>
      </c>
      <c r="C72" s="1548"/>
      <c r="D72" s="1550"/>
      <c r="E72" s="471" t="str">
        <f>FHD_NUM_P_34</f>
        <v>3</v>
      </c>
      <c r="F72" s="1790" t="str">
        <f>FHD_P_34</f>
        <v>Валовая прибыль (убытки) от реализации товаров и оказания услуг по регулируемому виду деятельности</v>
      </c>
      <c r="G72" s="1788" t="s">
        <v>535</v>
      </c>
      <c r="H72" s="482"/>
      <c r="I72" s="482"/>
      <c r="J72" s="208" t="str">
        <f>FHD_NOTE_P_34</f>
        <v/>
      </c>
      <c r="K72" s="468"/>
      <c r="L72" s="1548"/>
      <c r="M72" s="1548"/>
      <c r="R72" s="1548"/>
      <c r="U72" s="469"/>
      <c r="AA72" s="1544"/>
      <c r="AB72" s="1544"/>
      <c r="AC72" s="1544"/>
      <c r="AD72" s="1544"/>
      <c r="AE72" s="1544"/>
    </row>
    <row r="73" spans="1:31" s="2553" customFormat="1" ht="18.75" customHeight="1">
      <c r="A73" s="895"/>
      <c r="C73" s="1548"/>
      <c r="D73" s="500"/>
      <c r="E73" s="471" t="str">
        <f>FHD_NUM_P_35</f>
        <v>4</v>
      </c>
      <c r="F73" s="1790" t="str">
        <f>FHD_P_35</f>
        <v>Чистая прибыль, полученная от регулируемого вида деятельности, в том числе:</v>
      </c>
      <c r="G73" s="1788" t="s">
        <v>535</v>
      </c>
      <c r="H73" s="482"/>
      <c r="I73" s="482"/>
      <c r="J73" s="208" t="str">
        <f>FHD_NOTE_P_35</f>
        <v>Указывается общая сумма чистой прибыли, полученной от регулируемого вида деятельности.</v>
      </c>
      <c r="K73" s="468"/>
      <c r="L73" s="1548"/>
      <c r="M73" s="1548"/>
      <c r="R73" s="1548"/>
      <c r="U73" s="469"/>
      <c r="AA73" s="1544"/>
      <c r="AB73" s="1544"/>
      <c r="AC73" s="1544"/>
      <c r="AD73" s="1544"/>
      <c r="AE73" s="1544"/>
    </row>
    <row r="74" spans="1:31" s="2553" customFormat="1" ht="18.75" customHeight="1">
      <c r="A74" s="895"/>
      <c r="C74" s="1548"/>
      <c r="D74" s="1550"/>
      <c r="E74" s="471" t="str">
        <f>FHD_NUM_P_36</f>
        <v>4.1</v>
      </c>
      <c r="F74" s="143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8" t="s">
        <v>535</v>
      </c>
      <c r="H74" s="482"/>
      <c r="I74" s="482"/>
      <c r="J74" s="208" t="str">
        <f>FHD_NOTE_P_36</f>
        <v/>
      </c>
      <c r="K74" s="468"/>
      <c r="L74" s="1548"/>
      <c r="M74" s="1548"/>
      <c r="R74" s="1548"/>
      <c r="U74" s="469"/>
      <c r="AA74" s="1544"/>
      <c r="AB74" s="1544"/>
      <c r="AC74" s="1544"/>
      <c r="AD74" s="1544"/>
      <c r="AE74" s="1544"/>
    </row>
    <row r="75" spans="1:31" s="2553" customFormat="1" ht="18.75" customHeight="1">
      <c r="A75" s="895"/>
      <c r="C75" s="1548"/>
      <c r="D75" s="1550"/>
      <c r="E75" s="471" t="str">
        <f>FHD_NUM_P_37</f>
        <v>5</v>
      </c>
      <c r="F75" s="1790" t="str">
        <f>FHD_P_37</f>
        <v>Изменение стоимости основных фондов, в том числе:</v>
      </c>
      <c r="G75" s="1788" t="s">
        <v>535</v>
      </c>
      <c r="H75" s="482"/>
      <c r="I75" s="482"/>
      <c r="J75" s="208" t="str">
        <f>FHD_NOTE_P_37</f>
        <v>Указывается общее изменение стоимости основных фондов.</v>
      </c>
      <c r="K75" s="468"/>
      <c r="L75" s="1548"/>
      <c r="M75" s="1548"/>
      <c r="R75" s="1548"/>
      <c r="U75" s="469"/>
      <c r="AA75" s="1544"/>
      <c r="AB75" s="1544"/>
      <c r="AC75" s="1544"/>
      <c r="AD75" s="1544"/>
      <c r="AE75" s="1544"/>
    </row>
    <row r="76" spans="1:31" s="2553" customFormat="1" ht="18.75" customHeight="1">
      <c r="A76" s="895"/>
      <c r="C76" s="1548"/>
      <c r="D76" s="1550"/>
      <c r="E76" s="471" t="str">
        <f>FHD_NUM_P_38</f>
        <v>5.1</v>
      </c>
      <c r="F76" s="1434" t="str">
        <f>FHD_P_38</f>
        <v>Изменение стоимости основных фондов за счет:</v>
      </c>
      <c r="G76" s="1788" t="s">
        <v>535</v>
      </c>
      <c r="H76" s="482"/>
      <c r="I76" s="482"/>
      <c r="J76" s="208" t="str">
        <f>FHD_NOTE_P_38</f>
        <v>Указываются общее изменение стоимости основных фондов за счет их ввода в эксплуатацию и вывода из эксплуатации.</v>
      </c>
      <c r="K76" s="468"/>
      <c r="L76" s="1548"/>
      <c r="M76" s="1548"/>
      <c r="R76" s="1548"/>
      <c r="U76" s="469"/>
      <c r="AA76" s="1544"/>
      <c r="AB76" s="1544"/>
      <c r="AC76" s="1544"/>
      <c r="AD76" s="1544"/>
      <c r="AE76" s="1544"/>
    </row>
    <row r="77" spans="1:31" s="2553" customFormat="1" ht="18.75" customHeight="1">
      <c r="A77" s="895"/>
      <c r="C77" s="1548"/>
      <c r="D77" s="1550"/>
      <c r="E77" s="471" t="str">
        <f>FHD_NUM_P_39</f>
        <v>5.1.1</v>
      </c>
      <c r="F77" s="1561" t="str">
        <f>FHD_P_39</f>
        <v>Изменения стоимости основных фондов за счет их ввода в эксплуатацию</v>
      </c>
      <c r="G77" s="1788" t="s">
        <v>535</v>
      </c>
      <c r="H77" s="482"/>
      <c r="I77" s="482"/>
      <c r="J77" s="208" t="str">
        <f>FHD_NOTE_P_39</f>
        <v>Указываются изменение стоимости основных фондов за счет их ввода в эксплуатацию.</v>
      </c>
      <c r="K77" s="468"/>
      <c r="L77" s="1548"/>
      <c r="M77" s="1548"/>
      <c r="R77" s="1548"/>
      <c r="U77" s="469"/>
      <c r="AA77" s="1544"/>
      <c r="AB77" s="1544"/>
      <c r="AC77" s="1544"/>
      <c r="AD77" s="1544"/>
      <c r="AE77" s="1544"/>
    </row>
    <row r="78" spans="1:31" s="2553" customFormat="1" ht="18.75" customHeight="1">
      <c r="A78" s="895"/>
      <c r="C78" s="1548"/>
      <c r="D78" s="1550"/>
      <c r="E78" s="471" t="str">
        <f>FHD_NUM_P_40</f>
        <v>5.1.2</v>
      </c>
      <c r="F78" s="1561" t="str">
        <f>FHD_P_40</f>
        <v>Изменения стоимости основных фондов за счет их вывода в эксплуатацию</v>
      </c>
      <c r="G78" s="1788" t="s">
        <v>535</v>
      </c>
      <c r="H78" s="482"/>
      <c r="I78" s="482"/>
      <c r="J78" s="208" t="str">
        <f>FHD_NOTE_P_40</f>
        <v>Указываются изменение стоимости основных фондов за счет их вывода из эксплуатации.</v>
      </c>
      <c r="K78" s="468"/>
      <c r="L78" s="1548"/>
      <c r="M78" s="1548"/>
      <c r="R78" s="1548"/>
      <c r="U78" s="469"/>
      <c r="AA78" s="1544"/>
      <c r="AB78" s="1544"/>
      <c r="AC78" s="1544"/>
      <c r="AD78" s="1544"/>
      <c r="AE78" s="1544"/>
    </row>
    <row r="79" spans="1:31" s="2553" customFormat="1" ht="18.75" customHeight="1">
      <c r="A79" s="895"/>
      <c r="C79" s="1548"/>
      <c r="D79" s="1550"/>
      <c r="E79" s="471" t="str">
        <f>FHD_NUM_P_41</f>
        <v>5.2</v>
      </c>
      <c r="F79" s="1434" t="str">
        <f>FHD_P_41</f>
        <v>Изменение стоимости основных фондов за счет их переоценки</v>
      </c>
      <c r="G79" s="1789" t="s">
        <v>535</v>
      </c>
      <c r="H79" s="482"/>
      <c r="I79" s="482"/>
      <c r="J79" s="208" t="str">
        <f>FHD_NOTE_P_41</f>
        <v/>
      </c>
      <c r="K79" s="468"/>
      <c r="L79" s="1548"/>
      <c r="M79" s="1548"/>
      <c r="R79" s="1548"/>
      <c r="U79" s="469"/>
      <c r="AA79" s="1544"/>
      <c r="AB79" s="1544"/>
      <c r="AC79" s="1544"/>
      <c r="AD79" s="1544"/>
      <c r="AE79" s="1544"/>
    </row>
    <row r="80" spans="1:31" s="2553" customFormat="1" ht="18.75" hidden="1" customHeight="1">
      <c r="A80" s="897" t="s">
        <v>562</v>
      </c>
      <c r="C80" s="1548"/>
      <c r="D80" s="1550"/>
      <c r="E80" s="471" t="str">
        <f>FHD_NUM_P_42</f>
        <v/>
      </c>
      <c r="F80" s="1790" t="str">
        <f>FHD_P_42</f>
        <v/>
      </c>
      <c r="G80" s="1788" t="s">
        <v>535</v>
      </c>
      <c r="H80" s="885"/>
      <c r="I80" s="482"/>
      <c r="J80" s="208" t="str">
        <f>FHD_NOTE_P_42</f>
        <v/>
      </c>
      <c r="K80" s="468"/>
      <c r="L80" s="1548"/>
      <c r="M80" s="1548"/>
      <c r="R80" s="1548"/>
      <c r="U80" s="469"/>
      <c r="AA80" s="1544"/>
      <c r="AB80" s="1544"/>
      <c r="AC80" s="1544"/>
      <c r="AD80" s="1544"/>
      <c r="AE80" s="1544"/>
    </row>
    <row r="81" spans="1:31" s="2553" customFormat="1" ht="18.75" customHeight="1">
      <c r="A81" s="895"/>
      <c r="C81" s="1548"/>
      <c r="D81" s="1550"/>
      <c r="E81" s="471" t="str">
        <f>FHD_NUM_P_43</f>
        <v>6</v>
      </c>
      <c r="F81" s="1790" t="str">
        <f>FHD_P_43</f>
        <v>Годовая бухгалтерская (финансовая) отчетность, включая бухгалтерский баланс и приложения к нему</v>
      </c>
      <c r="G81" s="1788" t="s">
        <v>296</v>
      </c>
      <c r="H81" s="962"/>
      <c r="I81" s="735"/>
      <c r="J81" s="208"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8"/>
      <c r="L81" s="1548"/>
      <c r="M81" s="1548"/>
      <c r="R81" s="1548"/>
      <c r="U81" s="469"/>
      <c r="AA81" s="1544"/>
      <c r="AB81" s="1544"/>
      <c r="AC81" s="1544"/>
      <c r="AD81" s="1544"/>
      <c r="AE81" s="1544"/>
    </row>
    <row r="82" spans="1:31" s="3814" customFormat="1" ht="18.75" hidden="1" customHeight="1">
      <c r="A82" s="4152" t="s">
        <v>563</v>
      </c>
      <c r="C82" s="654"/>
      <c r="D82" s="652"/>
      <c r="E82" s="471" t="str">
        <f>FHD_NUM_P_44</f>
        <v/>
      </c>
      <c r="F82" s="1790" t="str">
        <f>FHD_P_44</f>
        <v/>
      </c>
      <c r="G82" s="1791" t="s">
        <v>564</v>
      </c>
      <c r="H82" s="886"/>
      <c r="I82" s="502"/>
      <c r="J82" s="208" t="str">
        <f>FHD_NOTE_P_44</f>
        <v/>
      </c>
      <c r="K82" s="653"/>
      <c r="L82" s="654"/>
      <c r="M82" s="654"/>
      <c r="R82" s="654"/>
      <c r="U82" s="655"/>
      <c r="AA82" s="656"/>
      <c r="AB82" s="656"/>
      <c r="AC82" s="656"/>
      <c r="AD82" s="656"/>
      <c r="AE82" s="656"/>
    </row>
    <row r="83" spans="1:31" s="3814" customFormat="1" ht="18.75" hidden="1" customHeight="1">
      <c r="A83" s="4152"/>
      <c r="C83" s="654"/>
      <c r="D83" s="652"/>
      <c r="E83" s="471" t="str">
        <f>FHD_NUM_P_45</f>
        <v/>
      </c>
      <c r="F83" s="1790" t="str">
        <f>FHD_P_45</f>
        <v/>
      </c>
      <c r="G83" s="1791" t="s">
        <v>564</v>
      </c>
      <c r="H83" s="886"/>
      <c r="I83" s="502"/>
      <c r="J83" s="208" t="str">
        <f>FHD_NOTE_P_45</f>
        <v/>
      </c>
      <c r="K83" s="653"/>
      <c r="L83" s="654"/>
      <c r="M83" s="654"/>
      <c r="R83" s="654"/>
      <c r="U83" s="655"/>
      <c r="AA83" s="656"/>
      <c r="AB83" s="656"/>
      <c r="AC83" s="656"/>
      <c r="AD83" s="656"/>
      <c r="AE83" s="656"/>
    </row>
    <row r="84" spans="1:31" s="3814" customFormat="1" ht="18.75" hidden="1" customHeight="1">
      <c r="A84" s="4152"/>
      <c r="C84" s="654"/>
      <c r="D84" s="657"/>
      <c r="E84" s="471" t="str">
        <f>FHD_NUM_P_46</f>
        <v/>
      </c>
      <c r="F84" s="1790" t="str">
        <f>FHD_P_46</f>
        <v/>
      </c>
      <c r="G84" s="1791" t="s">
        <v>564</v>
      </c>
      <c r="H84" s="886"/>
      <c r="I84" s="502"/>
      <c r="J84" s="208" t="str">
        <f>FHD_NOTE_P_46</f>
        <v/>
      </c>
      <c r="K84" s="653"/>
      <c r="L84" s="654"/>
      <c r="M84" s="654"/>
      <c r="R84" s="654"/>
      <c r="U84" s="655"/>
      <c r="AA84" s="656"/>
      <c r="AB84" s="656"/>
      <c r="AC84" s="656"/>
      <c r="AD84" s="656"/>
      <c r="AE84" s="656"/>
    </row>
    <row r="85" spans="1:31" s="3814" customFormat="1" ht="18.75" hidden="1" customHeight="1">
      <c r="A85" s="4152"/>
      <c r="C85" s="654"/>
      <c r="D85" s="652"/>
      <c r="E85" s="471" t="str">
        <f>FHD_NUM_P_47</f>
        <v/>
      </c>
      <c r="F85" s="1790" t="str">
        <f>FHD_P_47</f>
        <v/>
      </c>
      <c r="G85" s="1791" t="s">
        <v>564</v>
      </c>
      <c r="H85" s="886"/>
      <c r="I85" s="502"/>
      <c r="J85" s="208" t="str">
        <f>FHD_NOTE_P_47</f>
        <v/>
      </c>
      <c r="K85" s="653"/>
      <c r="L85" s="654"/>
      <c r="M85" s="654"/>
      <c r="R85" s="654"/>
      <c r="U85" s="655"/>
      <c r="AA85" s="656"/>
      <c r="AB85" s="656"/>
      <c r="AC85" s="656"/>
      <c r="AD85" s="656"/>
      <c r="AE85" s="656"/>
    </row>
    <row r="86" spans="1:31" s="3815" customFormat="1" ht="18.75" hidden="1" customHeight="1">
      <c r="A86" s="4152"/>
      <c r="B86" s="823"/>
      <c r="C86" s="654"/>
      <c r="D86" s="652"/>
      <c r="E86" s="471" t="str">
        <f>FHD_NUM_P_48</f>
        <v/>
      </c>
      <c r="F86" s="1790" t="str">
        <f>FHD_P_48</f>
        <v/>
      </c>
      <c r="G86" s="1791" t="s">
        <v>564</v>
      </c>
      <c r="H86" s="886"/>
      <c r="I86" s="502"/>
      <c r="J86" s="208" t="str">
        <f>FHD_NOTE_P_48</f>
        <v/>
      </c>
      <c r="K86" s="653"/>
      <c r="L86" s="654"/>
      <c r="M86" s="654"/>
      <c r="N86" s="823"/>
      <c r="O86" s="823"/>
      <c r="P86" s="823"/>
      <c r="Q86" s="823"/>
      <c r="R86" s="654"/>
      <c r="S86" s="823"/>
      <c r="T86" s="823"/>
      <c r="U86" s="655"/>
      <c r="V86" s="823"/>
      <c r="W86" s="823"/>
      <c r="X86" s="823"/>
      <c r="Y86" s="823"/>
      <c r="Z86" s="823"/>
      <c r="AA86" s="656"/>
      <c r="AB86" s="656"/>
      <c r="AC86" s="656"/>
      <c r="AD86" s="656"/>
      <c r="AE86" s="656"/>
    </row>
    <row r="87" spans="1:31" s="3815" customFormat="1" ht="18.75" hidden="1" customHeight="1">
      <c r="A87" s="4152"/>
      <c r="B87" s="823"/>
      <c r="C87" s="654"/>
      <c r="D87" s="652"/>
      <c r="E87" s="471" t="str">
        <f>FHD_NUM_P_49</f>
        <v/>
      </c>
      <c r="F87" s="1790" t="str">
        <f>FHD_P_49</f>
        <v/>
      </c>
      <c r="G87" s="1791" t="s">
        <v>564</v>
      </c>
      <c r="H87" s="887">
        <f>SUM(H88:H89)</f>
        <v>0</v>
      </c>
      <c r="I87" s="667">
        <f>SUM(I88:I89)</f>
        <v>0</v>
      </c>
      <c r="J87" s="208" t="str">
        <f>FHD_NOTE_P_49</f>
        <v/>
      </c>
      <c r="K87" s="653"/>
      <c r="L87" s="654"/>
      <c r="M87" s="654"/>
      <c r="N87" s="823"/>
      <c r="O87" s="823"/>
      <c r="P87" s="823"/>
      <c r="Q87" s="823"/>
      <c r="R87" s="654"/>
      <c r="S87" s="823"/>
      <c r="T87" s="823"/>
      <c r="U87" s="655"/>
      <c r="V87" s="823"/>
      <c r="W87" s="823"/>
      <c r="X87" s="823"/>
      <c r="Y87" s="823"/>
      <c r="Z87" s="823"/>
      <c r="AA87" s="656"/>
      <c r="AB87" s="656"/>
      <c r="AC87" s="656"/>
      <c r="AD87" s="656"/>
      <c r="AE87" s="656"/>
    </row>
    <row r="88" spans="1:31" s="3815" customFormat="1" ht="18.75" hidden="1" customHeight="1">
      <c r="A88" s="4152"/>
      <c r="B88" s="823"/>
      <c r="C88" s="654"/>
      <c r="D88" s="652"/>
      <c r="E88" s="471" t="str">
        <f>FHD_NUM_P_50</f>
        <v/>
      </c>
      <c r="F88" s="1790" t="str">
        <f>FHD_P_50</f>
        <v/>
      </c>
      <c r="G88" s="1791" t="s">
        <v>564</v>
      </c>
      <c r="H88" s="886"/>
      <c r="I88" s="502"/>
      <c r="J88" s="208" t="str">
        <f>FHD_NOTE_P_50</f>
        <v/>
      </c>
      <c r="K88" s="653"/>
      <c r="L88" s="654"/>
      <c r="M88" s="654"/>
      <c r="N88" s="823"/>
      <c r="O88" s="823"/>
      <c r="P88" s="823"/>
      <c r="Q88" s="823"/>
      <c r="R88" s="654"/>
      <c r="S88" s="823"/>
      <c r="T88" s="823"/>
      <c r="U88" s="655"/>
      <c r="V88" s="823"/>
      <c r="W88" s="823"/>
      <c r="X88" s="823"/>
      <c r="Y88" s="823"/>
      <c r="Z88" s="823"/>
      <c r="AA88" s="656"/>
      <c r="AB88" s="656"/>
      <c r="AC88" s="656"/>
      <c r="AD88" s="656"/>
      <c r="AE88" s="656"/>
    </row>
    <row r="89" spans="1:31" s="3815" customFormat="1" ht="18.75" hidden="1" customHeight="1">
      <c r="A89" s="4152"/>
      <c r="B89" s="823"/>
      <c r="C89" s="654"/>
      <c r="D89" s="652"/>
      <c r="E89" s="471" t="str">
        <f>FHD_NUM_P_51</f>
        <v/>
      </c>
      <c r="F89" s="1790" t="str">
        <f>FHD_P_51</f>
        <v/>
      </c>
      <c r="G89" s="1791" t="s">
        <v>564</v>
      </c>
      <c r="H89" s="886"/>
      <c r="I89" s="502"/>
      <c r="J89" s="208" t="str">
        <f>FHD_NOTE_P_51</f>
        <v/>
      </c>
      <c r="K89" s="653"/>
      <c r="L89" s="654"/>
      <c r="M89" s="654"/>
      <c r="N89" s="823"/>
      <c r="O89" s="823"/>
      <c r="P89" s="823"/>
      <c r="Q89" s="823"/>
      <c r="R89" s="654"/>
      <c r="S89" s="823"/>
      <c r="T89" s="823"/>
      <c r="U89" s="655"/>
      <c r="V89" s="823"/>
      <c r="W89" s="823"/>
      <c r="X89" s="823"/>
      <c r="Y89" s="823"/>
      <c r="Z89" s="823"/>
      <c r="AA89" s="656"/>
      <c r="AB89" s="656"/>
      <c r="AC89" s="656"/>
      <c r="AD89" s="656"/>
      <c r="AE89" s="656"/>
    </row>
    <row r="90" spans="1:31" s="3815" customFormat="1" ht="18.75" hidden="1" customHeight="1">
      <c r="A90" s="4152"/>
      <c r="B90" s="823"/>
      <c r="C90" s="654"/>
      <c r="D90" s="652"/>
      <c r="E90" s="471" t="str">
        <f>FHD_NUM_P_52</f>
        <v/>
      </c>
      <c r="F90" s="1790" t="str">
        <f>FHD_P_52</f>
        <v/>
      </c>
      <c r="G90" s="1791" t="s">
        <v>541</v>
      </c>
      <c r="H90" s="885"/>
      <c r="I90" s="482"/>
      <c r="J90" s="208" t="str">
        <f>FHD_NOTE_P_52</f>
        <v/>
      </c>
      <c r="K90" s="653"/>
      <c r="L90" s="654"/>
      <c r="M90" s="654"/>
      <c r="N90" s="823"/>
      <c r="O90" s="823"/>
      <c r="P90" s="823"/>
      <c r="Q90" s="823"/>
      <c r="R90" s="654"/>
      <c r="S90" s="823"/>
      <c r="T90" s="823"/>
      <c r="U90" s="655"/>
      <c r="V90" s="823"/>
      <c r="W90" s="823"/>
      <c r="X90" s="823"/>
      <c r="Y90" s="823"/>
      <c r="Z90" s="823"/>
      <c r="AA90" s="656"/>
      <c r="AB90" s="656"/>
      <c r="AC90" s="656"/>
      <c r="AD90" s="656"/>
      <c r="AE90" s="656"/>
    </row>
    <row r="91" spans="1:31" s="3814" customFormat="1" ht="18.75" hidden="1" customHeight="1">
      <c r="A91" s="4152" t="s">
        <v>565</v>
      </c>
      <c r="C91" s="654"/>
      <c r="D91" s="652"/>
      <c r="E91" s="471" t="str">
        <f>FHD_NUM_P_53</f>
        <v/>
      </c>
      <c r="F91" s="1790" t="str">
        <f>FHD_P_53</f>
        <v/>
      </c>
      <c r="G91" s="1791" t="s">
        <v>564</v>
      </c>
      <c r="H91" s="886"/>
      <c r="I91" s="502"/>
      <c r="J91" s="208" t="str">
        <f>FHD_NOTE_P_53</f>
        <v/>
      </c>
      <c r="K91" s="653"/>
      <c r="L91" s="654"/>
      <c r="M91" s="654"/>
      <c r="R91" s="654"/>
      <c r="U91" s="655"/>
      <c r="AA91" s="656"/>
      <c r="AB91" s="656"/>
      <c r="AC91" s="656"/>
      <c r="AD91" s="656"/>
      <c r="AE91" s="656"/>
    </row>
    <row r="92" spans="1:31" s="3814" customFormat="1" ht="18.75" hidden="1" customHeight="1">
      <c r="A92" s="4152"/>
      <c r="C92" s="654"/>
      <c r="D92" s="652"/>
      <c r="E92" s="471" t="str">
        <f>FHD_NUM_P_54</f>
        <v/>
      </c>
      <c r="F92" s="1790" t="str">
        <f>FHD_P_54</f>
        <v/>
      </c>
      <c r="G92" s="1791" t="s">
        <v>564</v>
      </c>
      <c r="H92" s="886"/>
      <c r="I92" s="502"/>
      <c r="J92" s="208" t="str">
        <f>FHD_NOTE_P_54</f>
        <v/>
      </c>
      <c r="K92" s="653"/>
      <c r="L92" s="654"/>
      <c r="M92" s="654"/>
      <c r="R92" s="654"/>
      <c r="U92" s="655"/>
      <c r="AA92" s="656"/>
      <c r="AB92" s="656"/>
      <c r="AC92" s="656"/>
      <c r="AD92" s="656"/>
      <c r="AE92" s="656"/>
    </row>
    <row r="93" spans="1:31" s="3814" customFormat="1" ht="18.75" hidden="1" customHeight="1">
      <c r="A93" s="4152"/>
      <c r="C93" s="654"/>
      <c r="D93" s="657"/>
      <c r="E93" s="471" t="str">
        <f>FHD_NUM_P_55</f>
        <v/>
      </c>
      <c r="F93" s="1790" t="str">
        <f>FHD_P_55</f>
        <v/>
      </c>
      <c r="G93" s="1794"/>
      <c r="H93" s="886"/>
      <c r="I93" s="502"/>
      <c r="J93" s="208" t="str">
        <f>FHD_NOTE_P_55</f>
        <v/>
      </c>
      <c r="K93" s="653"/>
      <c r="L93" s="654"/>
      <c r="M93" s="654"/>
      <c r="R93" s="654"/>
      <c r="U93" s="655"/>
      <c r="AA93" s="656"/>
      <c r="AB93" s="656"/>
      <c r="AC93" s="656"/>
      <c r="AD93" s="656"/>
      <c r="AE93" s="656"/>
    </row>
    <row r="94" spans="1:31" s="3814" customFormat="1" ht="18.75" hidden="1" customHeight="1">
      <c r="A94" s="4152"/>
      <c r="C94" s="654"/>
      <c r="D94" s="652"/>
      <c r="E94" s="471" t="str">
        <f>FHD_NUM_P_56</f>
        <v/>
      </c>
      <c r="F94" s="1790" t="str">
        <f>FHD_P_56</f>
        <v/>
      </c>
      <c r="G94" s="1791" t="s">
        <v>566</v>
      </c>
      <c r="H94" s="886"/>
      <c r="I94" s="502"/>
      <c r="J94" s="208" t="str">
        <f>FHD_NOTE_P_56</f>
        <v/>
      </c>
      <c r="K94" s="653"/>
      <c r="L94" s="654"/>
      <c r="M94" s="654"/>
      <c r="R94" s="654"/>
      <c r="U94" s="655"/>
      <c r="AA94" s="656"/>
      <c r="AB94" s="656"/>
      <c r="AC94" s="656"/>
      <c r="AD94" s="656"/>
      <c r="AE94" s="656"/>
    </row>
    <row r="95" spans="1:31" s="3815" customFormat="1" ht="18.75" hidden="1" customHeight="1">
      <c r="A95" s="4152"/>
      <c r="B95" s="823"/>
      <c r="C95" s="654"/>
      <c r="D95" s="652"/>
      <c r="E95" s="471" t="str">
        <f>FHD_NUM_P_57</f>
        <v/>
      </c>
      <c r="F95" s="1790" t="str">
        <f>FHD_P_57</f>
        <v/>
      </c>
      <c r="G95" s="1791" t="s">
        <v>541</v>
      </c>
      <c r="H95" s="885"/>
      <c r="I95" s="482"/>
      <c r="J95" s="208" t="str">
        <f>FHD_NOTE_P_57</f>
        <v/>
      </c>
      <c r="K95" s="653"/>
      <c r="L95" s="654"/>
      <c r="M95" s="654"/>
      <c r="N95" s="823"/>
      <c r="O95" s="823"/>
      <c r="P95" s="823"/>
      <c r="Q95" s="823"/>
      <c r="R95" s="654"/>
      <c r="S95" s="823"/>
      <c r="T95" s="823"/>
      <c r="U95" s="655"/>
      <c r="V95" s="823"/>
      <c r="W95" s="823"/>
      <c r="X95" s="823"/>
      <c r="Y95" s="823"/>
      <c r="Z95" s="823"/>
      <c r="AA95" s="656"/>
      <c r="AB95" s="656"/>
      <c r="AC95" s="656"/>
      <c r="AD95" s="656"/>
      <c r="AE95" s="656"/>
    </row>
    <row r="96" spans="1:31" ht="18.75" hidden="1" customHeight="1">
      <c r="A96" s="4152" t="s">
        <v>567</v>
      </c>
      <c r="D96" s="1550"/>
      <c r="E96" s="471" t="str">
        <f>FHD_NUM_P_58</f>
        <v/>
      </c>
      <c r="F96" s="1790" t="str">
        <f>FHD_P_58</f>
        <v/>
      </c>
      <c r="G96" s="1791" t="s">
        <v>564</v>
      </c>
      <c r="H96" s="886"/>
      <c r="I96" s="502"/>
      <c r="J96" s="208" t="str">
        <f>FHD_NOTE_P_58</f>
        <v/>
      </c>
      <c r="K96" s="468"/>
    </row>
    <row r="97" spans="1:31" ht="18.75" hidden="1" customHeight="1">
      <c r="A97" s="4152"/>
      <c r="D97" s="1550"/>
      <c r="E97" s="471" t="str">
        <f>FHD_NUM_P_59</f>
        <v/>
      </c>
      <c r="F97" s="1790" t="str">
        <f>FHD_P_59</f>
        <v/>
      </c>
      <c r="G97" s="1791" t="s">
        <v>564</v>
      </c>
      <c r="H97" s="886"/>
      <c r="I97" s="502"/>
      <c r="J97" s="208" t="str">
        <f>FHD_NOTE_P_59</f>
        <v/>
      </c>
      <c r="K97" s="468"/>
    </row>
    <row r="98" spans="1:31" ht="18.75" hidden="1" customHeight="1">
      <c r="A98" s="4152"/>
      <c r="D98" s="1550"/>
      <c r="E98" s="471" t="str">
        <f>FHD_NUM_P_60</f>
        <v/>
      </c>
      <c r="F98" s="1790" t="str">
        <f>FHD_P_60</f>
        <v/>
      </c>
      <c r="G98" s="1791" t="s">
        <v>564</v>
      </c>
      <c r="H98" s="886"/>
      <c r="I98" s="502"/>
      <c r="J98" s="208" t="str">
        <f>FHD_NOTE_P_60</f>
        <v/>
      </c>
      <c r="K98" s="468"/>
    </row>
    <row r="99" spans="1:31" s="2553" customFormat="1" ht="18.75" customHeight="1">
      <c r="A99" s="4152" t="s">
        <v>568</v>
      </c>
      <c r="C99" s="1548"/>
      <c r="D99" s="1550"/>
      <c r="E99" s="471" t="str">
        <f>FHD_NUM_P_61</f>
        <v>7</v>
      </c>
      <c r="F99" s="179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88" t="s">
        <v>539</v>
      </c>
      <c r="H99" s="888"/>
      <c r="I99" s="660"/>
      <c r="J99" s="208"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8"/>
      <c r="L99" s="1548"/>
      <c r="M99" s="1548"/>
      <c r="R99" s="1548"/>
      <c r="U99" s="469"/>
      <c r="AA99" s="1544"/>
      <c r="AB99" s="1544"/>
      <c r="AC99" s="1544"/>
      <c r="AD99" s="1544"/>
      <c r="AE99" s="1544"/>
    </row>
    <row r="100" spans="1:31" s="3810" customFormat="1" ht="0.75" customHeight="1">
      <c r="A100" s="4152"/>
      <c r="D100" s="473"/>
      <c r="E100" s="920" t="str">
        <f>E99&amp;".0"</f>
        <v>7.0</v>
      </c>
      <c r="F100" s="902"/>
      <c r="G100" s="903"/>
      <c r="H100" s="900"/>
      <c r="I100" s="900"/>
      <c r="J100" s="904"/>
    </row>
    <row r="101" spans="1:31" ht="15" customHeight="1">
      <c r="A101" s="4152"/>
      <c r="D101" s="1545"/>
      <c r="E101" s="880"/>
      <c r="F101" s="881" t="s">
        <v>569</v>
      </c>
      <c r="G101" s="497"/>
      <c r="H101" s="498"/>
      <c r="I101" s="498"/>
      <c r="J101" s="911" t="s">
        <v>570</v>
      </c>
      <c r="K101" s="468"/>
    </row>
    <row r="102" spans="1:31" s="2553" customFormat="1" ht="18.75" customHeight="1">
      <c r="A102" s="4152"/>
      <c r="C102" s="1548"/>
      <c r="D102" s="1550"/>
      <c r="E102" s="471" t="str">
        <f>FHD_NUM_P_62</f>
        <v>8</v>
      </c>
      <c r="F102" s="1790" t="str">
        <f>FHD_P_62</f>
        <v>Тепловая нагрузка по договорам, заключенным в рамках осуществления регулируемых видов деятельности</v>
      </c>
      <c r="G102" s="1787" t="s">
        <v>539</v>
      </c>
      <c r="H102" s="482"/>
      <c r="I102" s="482"/>
      <c r="J102" s="208"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8"/>
      <c r="L102" s="1548"/>
      <c r="M102" s="1548"/>
      <c r="R102" s="1548"/>
      <c r="U102" s="469"/>
      <c r="AA102" s="1544"/>
      <c r="AB102" s="1544"/>
      <c r="AC102" s="1544"/>
      <c r="AD102" s="1544"/>
      <c r="AE102" s="1544"/>
    </row>
    <row r="103" spans="1:31" s="2553" customFormat="1" ht="18.75" customHeight="1">
      <c r="A103" s="4152"/>
      <c r="C103" s="1548"/>
      <c r="D103" s="1550"/>
      <c r="E103" s="471" t="str">
        <f>FHD_NUM_P_63</f>
        <v>9</v>
      </c>
      <c r="F103" s="1790" t="str">
        <f>FHD_P_63</f>
        <v>Объем вырабатываемой регулируемой организацией тепловой энергии в рамках осуществления регулируемых видов деятельности</v>
      </c>
      <c r="G103" s="1787" t="s">
        <v>566</v>
      </c>
      <c r="H103" s="502"/>
      <c r="I103" s="502"/>
      <c r="J103" s="20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8"/>
      <c r="L103" s="1548"/>
      <c r="M103" s="1548"/>
      <c r="R103" s="1548"/>
      <c r="U103" s="469"/>
      <c r="AA103" s="1544"/>
      <c r="AB103" s="1544"/>
      <c r="AC103" s="1544"/>
      <c r="AD103" s="1544"/>
      <c r="AE103" s="1544"/>
    </row>
    <row r="104" spans="1:31" s="2553" customFormat="1" ht="18.75" customHeight="1">
      <c r="A104" s="4152"/>
      <c r="C104" s="1548" t="s">
        <v>571</v>
      </c>
      <c r="D104" s="1550"/>
      <c r="E104" s="471" t="str">
        <f>FHD_NUM_P_64</f>
        <v>9.1</v>
      </c>
      <c r="F104" s="1790" t="str">
        <f>FHD_P_64</f>
        <v>Объем приобретаемой регулируемой организацией тепловой энергии в рамках осуществления регулируемых видов деятельности</v>
      </c>
      <c r="G104" s="1787" t="s">
        <v>566</v>
      </c>
      <c r="H104" s="470"/>
      <c r="I104" s="470"/>
      <c r="J104" s="208" t="str">
        <f>FHD_NOTE_P_64</f>
        <v>Информация указывается только едиными теплоснабжающими организациями.</v>
      </c>
      <c r="K104" s="468"/>
      <c r="L104" s="1548"/>
      <c r="M104" s="1548"/>
      <c r="R104" s="1548"/>
      <c r="U104" s="469"/>
      <c r="AA104" s="1544"/>
      <c r="AB104" s="1544"/>
      <c r="AC104" s="1544"/>
      <c r="AD104" s="1544"/>
      <c r="AE104" s="1544"/>
    </row>
    <row r="105" spans="1:31" s="2553" customFormat="1" ht="18.75" customHeight="1">
      <c r="A105" s="4152"/>
      <c r="C105" s="1548"/>
      <c r="D105" s="1550"/>
      <c r="E105" s="471" t="str">
        <f>FHD_NUM_P_65</f>
        <v>10</v>
      </c>
      <c r="F105" s="179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87" t="s">
        <v>566</v>
      </c>
      <c r="H105" s="502"/>
      <c r="I105" s="502"/>
      <c r="J105" s="208"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8"/>
      <c r="L105" s="1548"/>
      <c r="M105" s="1548"/>
      <c r="R105" s="1548"/>
      <c r="U105" s="469"/>
      <c r="AA105" s="1544"/>
      <c r="AB105" s="1544"/>
      <c r="AC105" s="1544"/>
      <c r="AD105" s="1544"/>
      <c r="AE105" s="1544"/>
    </row>
    <row r="106" spans="1:31" s="2553" customFormat="1" ht="18.75" customHeight="1">
      <c r="A106" s="4152"/>
      <c r="C106" s="1548"/>
      <c r="D106" s="1550"/>
      <c r="E106" s="471" t="str">
        <f>FHD_NUM_P_66</f>
        <v>10.1</v>
      </c>
      <c r="F106" s="1434" t="str">
        <f>FHD_P_66</f>
        <v xml:space="preserve">По приборам учёта </v>
      </c>
      <c r="G106" s="1787" t="s">
        <v>566</v>
      </c>
      <c r="H106" s="502"/>
      <c r="I106" s="502"/>
      <c r="J106" s="208" t="str">
        <f>FHD_NOTE_P_66</f>
        <v/>
      </c>
      <c r="K106" s="468"/>
      <c r="L106" s="1548"/>
      <c r="M106" s="1548"/>
      <c r="R106" s="1548"/>
      <c r="U106" s="469"/>
      <c r="AA106" s="1544"/>
      <c r="AB106" s="1544"/>
      <c r="AC106" s="1544"/>
      <c r="AD106" s="1544"/>
      <c r="AE106" s="1544"/>
    </row>
    <row r="107" spans="1:31" s="2553" customFormat="1" ht="18.75" customHeight="1">
      <c r="A107" s="4152"/>
      <c r="C107" s="1548"/>
      <c r="D107" s="1550"/>
      <c r="E107" s="471" t="str">
        <f>FHD_NUM_P_67</f>
        <v>10.1.1</v>
      </c>
      <c r="F107" s="156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87" t="s">
        <v>566</v>
      </c>
      <c r="H107" s="502"/>
      <c r="I107" s="502"/>
      <c r="J107" s="208" t="str">
        <f>FHD_NOTE_P_67</f>
        <v/>
      </c>
      <c r="K107" s="468"/>
      <c r="L107" s="1548"/>
      <c r="M107" s="1548"/>
      <c r="R107" s="1548"/>
      <c r="U107" s="469"/>
      <c r="AA107" s="1544"/>
      <c r="AB107" s="1544"/>
      <c r="AC107" s="1544"/>
      <c r="AD107" s="1544"/>
      <c r="AE107" s="1544"/>
    </row>
    <row r="108" spans="1:31" s="2553" customFormat="1" ht="18.75" customHeight="1">
      <c r="A108" s="4152"/>
      <c r="C108" s="1548"/>
      <c r="D108" s="1550"/>
      <c r="E108" s="471" t="str">
        <f>FHD_NUM_P_68</f>
        <v>10.2</v>
      </c>
      <c r="F108" s="1434" t="str">
        <f>FHD_P_68</f>
        <v>Расчётным путём</v>
      </c>
      <c r="G108" s="1787" t="s">
        <v>566</v>
      </c>
      <c r="H108" s="502"/>
      <c r="I108" s="502"/>
      <c r="J108" s="208" t="str">
        <f>FHD_NOTE_P_68</f>
        <v/>
      </c>
      <c r="K108" s="468"/>
      <c r="L108" s="1548"/>
      <c r="M108" s="1548"/>
      <c r="R108" s="1548"/>
      <c r="U108" s="469"/>
      <c r="AA108" s="1544"/>
      <c r="AB108" s="1544"/>
      <c r="AC108" s="1544"/>
      <c r="AD108" s="1544"/>
      <c r="AE108" s="1544"/>
    </row>
    <row r="109" spans="1:31" s="2553" customFormat="1" ht="18.75" customHeight="1">
      <c r="A109" s="4152"/>
      <c r="C109" s="1548"/>
      <c r="D109" s="1550"/>
      <c r="E109" s="471" t="str">
        <f>FHD_NUM_P_69</f>
        <v>10.3</v>
      </c>
      <c r="F109" s="1434" t="str">
        <f>FHD_P_69</f>
        <v>По нормативам потребления коммунальных услуг и нормативам потребления коммунальных ресурсов</v>
      </c>
      <c r="G109" s="1787" t="s">
        <v>566</v>
      </c>
      <c r="H109" s="502"/>
      <c r="I109" s="502"/>
      <c r="J109" s="208" t="str">
        <f>FHD_NOTE_P_69</f>
        <v/>
      </c>
      <c r="K109" s="468"/>
      <c r="L109" s="1548"/>
      <c r="M109" s="1548"/>
      <c r="R109" s="1548"/>
      <c r="U109" s="469"/>
      <c r="AA109" s="1544"/>
      <c r="AB109" s="1544"/>
      <c r="AC109" s="1544"/>
      <c r="AD109" s="1544"/>
      <c r="AE109" s="1544"/>
    </row>
    <row r="110" spans="1:31" s="2553" customFormat="1" ht="22.5" customHeight="1">
      <c r="A110" s="4152"/>
      <c r="C110" s="1548"/>
      <c r="D110" s="1550"/>
      <c r="E110" s="471" t="str">
        <f>FHD_NUM_P_70</f>
        <v>11</v>
      </c>
      <c r="F110" s="179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87" t="s">
        <v>572</v>
      </c>
      <c r="H110" s="482"/>
      <c r="I110" s="482"/>
      <c r="J110" s="208" t="str">
        <f>FHD_NOTE_P_70</f>
        <v/>
      </c>
      <c r="K110" s="468"/>
      <c r="L110" s="1548"/>
      <c r="M110" s="1548"/>
      <c r="R110" s="1548"/>
      <c r="U110" s="469"/>
      <c r="AA110" s="1544"/>
      <c r="AB110" s="1544"/>
      <c r="AC110" s="1544"/>
      <c r="AD110" s="1544"/>
      <c r="AE110" s="1544"/>
    </row>
    <row r="111" spans="1:31" s="2553" customFormat="1" ht="22.5" customHeight="1">
      <c r="A111" s="4152"/>
      <c r="C111" s="1548"/>
      <c r="D111" s="1550"/>
      <c r="E111" s="471" t="str">
        <f>FHD_NUM_P_71</f>
        <v>12</v>
      </c>
      <c r="F111" s="1790" t="str">
        <f>FHD_P_71</f>
        <v>Фактический объем потерь при передаче тепловой энергии</v>
      </c>
      <c r="G111" s="1787" t="s">
        <v>572</v>
      </c>
      <c r="H111" s="482"/>
      <c r="I111" s="482"/>
      <c r="J111" s="208" t="str">
        <f>FHD_NOTE_P_71</f>
        <v/>
      </c>
      <c r="K111" s="468"/>
      <c r="L111" s="1548"/>
      <c r="M111" s="1548"/>
      <c r="R111" s="1548"/>
      <c r="U111" s="469"/>
      <c r="AA111" s="1544"/>
      <c r="AB111" s="1544"/>
      <c r="AC111" s="1544"/>
      <c r="AD111" s="1544"/>
      <c r="AE111" s="1544"/>
    </row>
    <row r="112" spans="1:31" ht="18.75" customHeight="1">
      <c r="D112" s="1550"/>
      <c r="E112" s="471" t="str">
        <f>FHD_NUM_P_72</f>
        <v>13</v>
      </c>
      <c r="F112" s="1790" t="str">
        <f>FHD_P_72</f>
        <v>Среднесписочная численность основного производственного персонала</v>
      </c>
      <c r="G112" s="1786" t="s">
        <v>573</v>
      </c>
      <c r="H112" s="502"/>
      <c r="I112" s="502"/>
      <c r="J112" s="208" t="str">
        <f>FHD_NOTE_P_72</f>
        <v/>
      </c>
      <c r="K112" s="468"/>
    </row>
    <row r="113" spans="1:31" ht="18.75" customHeight="1">
      <c r="A113" s="897" t="s">
        <v>574</v>
      </c>
      <c r="D113" s="1550"/>
      <c r="E113" s="471" t="str">
        <f>FHD_NUM_P_73</f>
        <v>14</v>
      </c>
      <c r="F113" s="1790" t="str">
        <f>FHD_P_73</f>
        <v>Среднесписочная численность административно-управленческого персонала</v>
      </c>
      <c r="G113" s="879" t="s">
        <v>573</v>
      </c>
      <c r="H113" s="877"/>
      <c r="I113" s="877"/>
      <c r="J113" s="208" t="str">
        <f>FHD_NOTE_P_73</f>
        <v/>
      </c>
      <c r="K113" s="468"/>
    </row>
    <row r="114" spans="1:31" ht="33.75" hidden="1" customHeight="1">
      <c r="A114" s="897" t="s">
        <v>575</v>
      </c>
      <c r="D114" s="1550"/>
      <c r="E114" s="471" t="str">
        <f>FHD_NUM_P_74</f>
        <v/>
      </c>
      <c r="F114" s="1790" t="str">
        <f>FHD_P_74</f>
        <v/>
      </c>
      <c r="G114" s="1786" t="s">
        <v>576</v>
      </c>
      <c r="H114" s="502"/>
      <c r="I114" s="502"/>
      <c r="J114" s="208" t="str">
        <f>FHD_NOTE_P_74</f>
        <v/>
      </c>
      <c r="K114" s="468"/>
    </row>
    <row r="115" spans="1:31" s="3815" customFormat="1" ht="18.75" hidden="1" customHeight="1">
      <c r="A115" s="4152" t="s">
        <v>577</v>
      </c>
      <c r="B115" s="823"/>
      <c r="C115" s="654"/>
      <c r="D115" s="652"/>
      <c r="E115" s="471" t="str">
        <f>FHD_NUM_P_75</f>
        <v/>
      </c>
      <c r="F115" s="1790" t="str">
        <f>FHD_P_75</f>
        <v/>
      </c>
      <c r="G115" s="1786" t="s">
        <v>541</v>
      </c>
      <c r="H115" s="482"/>
      <c r="I115" s="482"/>
      <c r="J115" s="208" t="str">
        <f>FHD_NOTE_P_75</f>
        <v/>
      </c>
      <c r="K115" s="653"/>
      <c r="L115" s="654"/>
      <c r="M115" s="654"/>
      <c r="N115" s="823"/>
      <c r="O115" s="823"/>
      <c r="P115" s="823"/>
      <c r="Q115" s="823"/>
      <c r="R115" s="654"/>
      <c r="S115" s="823"/>
      <c r="T115" s="823"/>
      <c r="U115" s="655"/>
      <c r="V115" s="823"/>
      <c r="W115" s="823"/>
      <c r="X115" s="823"/>
      <c r="Y115" s="823"/>
      <c r="Z115" s="823"/>
      <c r="AA115" s="656"/>
      <c r="AB115" s="656"/>
      <c r="AC115" s="656"/>
      <c r="AD115" s="656"/>
      <c r="AE115" s="656"/>
    </row>
    <row r="116" spans="1:31" s="3815" customFormat="1" ht="18.75" hidden="1" customHeight="1">
      <c r="A116" s="4152"/>
      <c r="B116" s="823"/>
      <c r="C116" s="654"/>
      <c r="D116" s="652"/>
      <c r="E116" s="471" t="str">
        <f>FHD_NUM_P_76</f>
        <v/>
      </c>
      <c r="F116" s="1790" t="str">
        <f>FHD_P_76</f>
        <v/>
      </c>
      <c r="G116" s="1786" t="s">
        <v>541</v>
      </c>
      <c r="H116" s="482"/>
      <c r="I116" s="482"/>
      <c r="J116" s="208" t="str">
        <f>FHD_NOTE_P_76</f>
        <v/>
      </c>
      <c r="K116" s="653"/>
      <c r="L116" s="654"/>
      <c r="M116" s="654"/>
      <c r="N116" s="823"/>
      <c r="O116" s="823"/>
      <c r="P116" s="823"/>
      <c r="Q116" s="823"/>
      <c r="R116" s="654"/>
      <c r="S116" s="823"/>
      <c r="T116" s="823"/>
      <c r="U116" s="655"/>
      <c r="V116" s="823"/>
      <c r="W116" s="823"/>
      <c r="X116" s="823"/>
      <c r="Y116" s="823"/>
      <c r="Z116" s="823"/>
      <c r="AA116" s="656"/>
      <c r="AB116" s="656"/>
      <c r="AC116" s="656"/>
      <c r="AD116" s="656"/>
      <c r="AE116" s="656"/>
    </row>
    <row r="117" spans="1:31" s="3815" customFormat="1" ht="18.75" hidden="1" customHeight="1">
      <c r="A117" s="4152"/>
      <c r="B117" s="823"/>
      <c r="C117" s="654"/>
      <c r="D117" s="652"/>
      <c r="E117" s="471" t="str">
        <f>FHD_NUM_P_77</f>
        <v/>
      </c>
      <c r="F117" s="1790" t="str">
        <f>FHD_P_77</f>
        <v/>
      </c>
      <c r="G117" s="1786" t="s">
        <v>541</v>
      </c>
      <c r="H117" s="482"/>
      <c r="I117" s="482"/>
      <c r="J117" s="208" t="str">
        <f>FHD_NOTE_P_77</f>
        <v/>
      </c>
      <c r="K117" s="653"/>
      <c r="L117" s="654"/>
      <c r="M117" s="654"/>
      <c r="N117" s="823"/>
      <c r="O117" s="823"/>
      <c r="P117" s="823"/>
      <c r="Q117" s="823"/>
      <c r="R117" s="654"/>
      <c r="S117" s="823"/>
      <c r="T117" s="823"/>
      <c r="U117" s="655"/>
      <c r="V117" s="823"/>
      <c r="W117" s="823"/>
      <c r="X117" s="823"/>
      <c r="Y117" s="823"/>
      <c r="Z117" s="823"/>
      <c r="AA117" s="656"/>
      <c r="AB117" s="656"/>
      <c r="AC117" s="656"/>
      <c r="AD117" s="656"/>
      <c r="AE117" s="656"/>
    </row>
    <row r="118" spans="1:31" s="3810" customFormat="1" ht="0.75" hidden="1" customHeight="1">
      <c r="A118" s="4152"/>
      <c r="D118" s="473"/>
      <c r="E118" s="920" t="str">
        <f>E117&amp;".0"</f>
        <v>.0</v>
      </c>
      <c r="F118" s="905"/>
      <c r="G118" s="1562"/>
      <c r="H118" s="900"/>
      <c r="I118" s="900"/>
      <c r="J118" s="904"/>
    </row>
    <row r="119" spans="1:31" s="3815" customFormat="1" ht="15" hidden="1" customHeight="1">
      <c r="A119" s="4152"/>
      <c r="B119" s="823"/>
      <c r="C119" s="654"/>
      <c r="D119" s="664"/>
      <c r="E119" s="882"/>
      <c r="F119" s="883" t="s">
        <v>578</v>
      </c>
      <c r="G119" s="665"/>
      <c r="H119" s="666"/>
      <c r="I119" s="666"/>
      <c r="J119" s="910" t="s">
        <v>579</v>
      </c>
      <c r="K119" s="653"/>
      <c r="L119" s="654"/>
      <c r="M119" s="654"/>
      <c r="N119" s="823"/>
      <c r="O119" s="823"/>
      <c r="P119" s="823"/>
      <c r="Q119" s="823"/>
      <c r="R119" s="654"/>
      <c r="S119" s="823"/>
      <c r="T119" s="823"/>
      <c r="U119" s="655"/>
      <c r="V119" s="823"/>
      <c r="W119" s="823"/>
      <c r="X119" s="823"/>
      <c r="Y119" s="823"/>
      <c r="Z119" s="823"/>
      <c r="AA119" s="656"/>
      <c r="AB119" s="656"/>
      <c r="AC119" s="656"/>
      <c r="AD119" s="656"/>
      <c r="AE119" s="656"/>
    </row>
    <row r="120" spans="1:31" ht="22.5" customHeight="1">
      <c r="A120" s="4152" t="s">
        <v>580</v>
      </c>
      <c r="D120" s="1550"/>
      <c r="E120" s="471" t="str">
        <f>FHD_NUM_P_78</f>
        <v>15</v>
      </c>
      <c r="F120" s="179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87" t="s">
        <v>543</v>
      </c>
      <c r="H120" s="502"/>
      <c r="I120" s="502"/>
      <c r="J120" s="208" t="str">
        <f>FHD_NOTE_P_78</f>
        <v/>
      </c>
      <c r="K120" s="468"/>
    </row>
    <row r="121" spans="1:31" s="3810" customFormat="1" ht="0.75" customHeight="1">
      <c r="A121" s="4152"/>
      <c r="D121" s="473"/>
      <c r="E121" s="920" t="str">
        <f>E120&amp;".0"</f>
        <v>15.0</v>
      </c>
      <c r="F121" s="905"/>
      <c r="G121" s="1562"/>
      <c r="H121" s="900"/>
      <c r="I121" s="900"/>
      <c r="J121" s="904"/>
    </row>
    <row r="122" spans="1:31" ht="15" customHeight="1">
      <c r="A122" s="4152"/>
      <c r="D122" s="1545"/>
      <c r="E122" s="495"/>
      <c r="F122" s="1068" t="s">
        <v>569</v>
      </c>
      <c r="G122" s="497"/>
      <c r="H122" s="498"/>
      <c r="I122" s="498"/>
      <c r="J122" s="911" t="s">
        <v>581</v>
      </c>
      <c r="K122" s="468"/>
    </row>
    <row r="123" spans="1:31" ht="22.5" customHeight="1">
      <c r="A123" s="4152"/>
      <c r="D123" s="1550"/>
      <c r="E123" s="471" t="str">
        <f>FHD_NUM_P_79</f>
        <v>16</v>
      </c>
      <c r="F123" s="179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88" t="s">
        <v>545</v>
      </c>
      <c r="H123" s="502"/>
      <c r="I123" s="502"/>
      <c r="J123" s="20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8"/>
    </row>
    <row r="124" spans="1:31" s="3810" customFormat="1" ht="0.75" customHeight="1">
      <c r="A124" s="4152"/>
      <c r="D124" s="473"/>
      <c r="E124" s="920" t="str">
        <f>E123&amp;".0"</f>
        <v>16.0</v>
      </c>
      <c r="F124" s="906"/>
      <c r="G124" s="1562"/>
      <c r="H124" s="900"/>
      <c r="I124" s="900"/>
      <c r="J124" s="904"/>
    </row>
    <row r="125" spans="1:31" ht="15" customHeight="1">
      <c r="A125" s="4152"/>
      <c r="D125" s="1545"/>
      <c r="E125" s="495"/>
      <c r="F125" s="1068" t="s">
        <v>569</v>
      </c>
      <c r="G125" s="497"/>
      <c r="H125" s="498"/>
      <c r="I125" s="498"/>
      <c r="J125" s="911" t="s">
        <v>582</v>
      </c>
      <c r="K125" s="468"/>
    </row>
    <row r="126" spans="1:31" ht="22.5" customHeight="1">
      <c r="A126" s="4152"/>
      <c r="D126" s="1550"/>
      <c r="E126" s="471" t="str">
        <f>FHD_NUM_P_80</f>
        <v>17</v>
      </c>
      <c r="F126" s="179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88" t="s">
        <v>583</v>
      </c>
      <c r="H126" s="482"/>
      <c r="I126" s="482"/>
      <c r="J126" s="208" t="str">
        <f>FHD_NOTE_P_80</f>
        <v>Регулируемыми организациями указывается информация с по договорам, заключенным в рамках осуществления регулируемой деятельности.</v>
      </c>
      <c r="K126" s="468"/>
    </row>
    <row r="127" spans="1:31" ht="18.75" customHeight="1">
      <c r="A127" s="4152"/>
      <c r="D127" s="1550"/>
      <c r="E127" s="471" t="str">
        <f>FHD_NUM_P_81</f>
        <v>18</v>
      </c>
      <c r="F127" s="179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88" t="s">
        <v>584</v>
      </c>
      <c r="H127" s="482"/>
      <c r="I127" s="482"/>
      <c r="J127" s="208" t="str">
        <f>FHD_NOTE_P_81</f>
        <v>Регулируемыми организациями указывается информация с по договорам, заключенным в рамках осуществления регулируемой деятельности.</v>
      </c>
      <c r="K127" s="468"/>
    </row>
    <row r="128" spans="1:31" ht="18.75" customHeight="1">
      <c r="A128" s="4152"/>
      <c r="C128" s="1548" t="s">
        <v>571</v>
      </c>
      <c r="D128" s="1550"/>
      <c r="E128" s="471" t="str">
        <f>FHD_NUM_P_82</f>
        <v>19</v>
      </c>
      <c r="F128" s="179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88" t="s">
        <v>296</v>
      </c>
      <c r="H128" s="335"/>
      <c r="I128" s="335"/>
      <c r="J128" s="208" t="str">
        <f>FHD_NOTE_P_82</f>
        <v>Указывается ссылка на документ, предварительно загруженный в хранилище файлов ФГИС ЕИАС.</v>
      </c>
      <c r="K128" s="468"/>
    </row>
    <row r="129" spans="1:31" ht="18.75" customHeight="1">
      <c r="A129" s="4152"/>
      <c r="C129" s="1548" t="s">
        <v>571</v>
      </c>
      <c r="D129" s="1550"/>
      <c r="E129" s="471" t="str">
        <f>FHD_NUM_P_83</f>
        <v>19.1</v>
      </c>
      <c r="F129" s="1434" t="str">
        <f>FHD_P_83</f>
        <v>Информация о показателях физического износа объектов теплоснабжения</v>
      </c>
      <c r="G129" s="1788" t="s">
        <v>296</v>
      </c>
      <c r="H129" s="335"/>
      <c r="I129" s="335"/>
      <c r="J129" s="208" t="str">
        <f>FHD_NOTE_P_83</f>
        <v>Указывается ссылка на документ, предварительно загруженный в хранилище файлов ФГИС ЕИАС.</v>
      </c>
      <c r="K129" s="468"/>
    </row>
    <row r="130" spans="1:31" ht="18.75" customHeight="1">
      <c r="A130" s="4152"/>
      <c r="C130" s="1548" t="s">
        <v>571</v>
      </c>
      <c r="D130" s="1550"/>
      <c r="E130" s="471" t="str">
        <f>FHD_NUM_P_84</f>
        <v>19.2</v>
      </c>
      <c r="F130" s="1434" t="str">
        <f>FHD_P_84</f>
        <v>Информация о показателях энергетической эффективности объектов теплоснабжения</v>
      </c>
      <c r="G130" s="1788" t="s">
        <v>296</v>
      </c>
      <c r="H130" s="335"/>
      <c r="I130" s="335"/>
      <c r="J130" s="208" t="str">
        <f>FHD_NOTE_P_84</f>
        <v>Указывается ссылка на документ, предварительно загруженный в хранилище файлов ФГИС ЕИАС.</v>
      </c>
      <c r="K130" s="468"/>
    </row>
    <row r="131" spans="1:31" ht="11.25" customHeight="1">
      <c r="D131" s="1550"/>
    </row>
    <row r="132" spans="1:31" ht="12.75" customHeight="1">
      <c r="D132" s="1550"/>
      <c r="E132" s="263"/>
      <c r="F132" s="297"/>
      <c r="G132" s="297"/>
      <c r="H132" s="297"/>
      <c r="I132" s="1558"/>
      <c r="J132" s="506"/>
    </row>
    <row r="133" spans="1:31" s="3813" customFormat="1" ht="11.25" customHeight="1">
      <c r="A133" s="895"/>
      <c r="B133" s="1548"/>
      <c r="C133" s="1548"/>
      <c r="D133" s="276"/>
      <c r="F133" s="1552"/>
      <c r="G133" s="1543"/>
      <c r="H133" s="1543"/>
      <c r="I133" s="1543"/>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3813"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3813"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3813" customFormat="1" ht="11.25" customHeight="1">
      <c r="A136" s="895"/>
      <c r="B136" s="1548"/>
      <c r="C136" s="1548"/>
      <c r="D136" s="276"/>
      <c r="H136" s="491" t="str">
        <f>IF(H30-H31&lt;&gt;H72,"WARNING","")</f>
        <v/>
      </c>
      <c r="I136" s="491" t="str">
        <f>IF(I30-I31&lt;&gt;I72,"WARNING","")</f>
        <v/>
      </c>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3813"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3813"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3813"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3813"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3813"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3813"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3813"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3813"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3813"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3813"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3813"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3813"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3813"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3813"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3813"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3813"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3813"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3813"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3813"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3813"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3813"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3813"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3813"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3813"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3813"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3813"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3813"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3813"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3813"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3813"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3813"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3813"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3813"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3813"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3813"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3813"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3813"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3813"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3813"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3813"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3813"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3813"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3813"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3813"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3813"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3813"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3813"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3813"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3813"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3813"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3813"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3813"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3813"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3813"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3813"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3813"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3813"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3813"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3813"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3813"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3813"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3813"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3813"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3813"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3813"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3813"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3813"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3813"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5" spans="1:31" s="3813" customFormat="1" ht="11.25" customHeight="1">
      <c r="A205" s="895"/>
      <c r="B205" s="1548"/>
      <c r="C205" s="1548"/>
      <c r="D205" s="276"/>
      <c r="K205" s="1060"/>
      <c r="L205" s="1548"/>
      <c r="M205" s="1548"/>
      <c r="N205" s="1060"/>
      <c r="O205" s="1060"/>
      <c r="P205" s="1060"/>
      <c r="Q205" s="1060"/>
      <c r="R205" s="1548"/>
      <c r="S205" s="1060"/>
      <c r="T205" s="1060"/>
      <c r="U205" s="469"/>
      <c r="V205" s="1060"/>
      <c r="W205" s="1060"/>
      <c r="X205" s="1060"/>
      <c r="Y205" s="1060"/>
      <c r="Z205" s="1060"/>
      <c r="AA205" s="1544"/>
      <c r="AB205" s="491"/>
      <c r="AC205" s="491"/>
      <c r="AD205" s="491"/>
      <c r="AE205" s="491"/>
    </row>
    <row r="206" spans="1:31" s="3813" customFormat="1" ht="11.25" customHeight="1">
      <c r="A206" s="895"/>
      <c r="B206" s="1548"/>
      <c r="C206" s="1548"/>
      <c r="D206" s="276"/>
      <c r="K206" s="1060"/>
      <c r="L206" s="1548"/>
      <c r="M206" s="1548"/>
      <c r="N206" s="1060"/>
      <c r="O206" s="1060"/>
      <c r="P206" s="1060"/>
      <c r="Q206" s="1060"/>
      <c r="R206" s="1548"/>
      <c r="S206" s="1060"/>
      <c r="T206" s="1060"/>
      <c r="U206" s="469"/>
      <c r="V206" s="1060"/>
      <c r="W206" s="1060"/>
      <c r="X206" s="1060"/>
      <c r="Y206" s="1060"/>
      <c r="Z206" s="1060"/>
      <c r="AA206" s="1544"/>
      <c r="AB206" s="491"/>
      <c r="AC206" s="491"/>
      <c r="AD206" s="491"/>
      <c r="AE206" s="491"/>
    </row>
    <row r="207" spans="1:31" s="3813" customFormat="1" ht="11.25" customHeight="1">
      <c r="A207" s="895"/>
      <c r="B207" s="1548"/>
      <c r="C207" s="1548"/>
      <c r="D207" s="276"/>
      <c r="K207" s="1060"/>
      <c r="L207" s="1548"/>
      <c r="M207" s="1548"/>
      <c r="N207" s="1060"/>
      <c r="O207" s="1060"/>
      <c r="P207" s="1060"/>
      <c r="Q207" s="1060"/>
      <c r="R207" s="1548"/>
      <c r="S207" s="1060"/>
      <c r="T207" s="1060"/>
      <c r="U207" s="469"/>
      <c r="V207" s="1060"/>
      <c r="W207" s="1060"/>
      <c r="X207" s="1060"/>
      <c r="Y207" s="1060"/>
      <c r="Z207" s="1060"/>
      <c r="AA207" s="1544"/>
      <c r="AB207" s="491"/>
      <c r="AC207" s="491"/>
      <c r="AD207" s="491"/>
      <c r="AE207" s="491"/>
    </row>
    <row r="208" spans="1:31" s="3813" customFormat="1" ht="11.25" customHeight="1">
      <c r="A208" s="895"/>
      <c r="B208" s="1548"/>
      <c r="C208" s="1548"/>
      <c r="D208" s="276"/>
      <c r="K208" s="1060"/>
      <c r="L208" s="1548"/>
      <c r="M208" s="1548"/>
      <c r="N208" s="1060"/>
      <c r="O208" s="1060"/>
      <c r="P208" s="1060"/>
      <c r="Q208" s="1060"/>
      <c r="R208" s="1548"/>
      <c r="S208" s="1060"/>
      <c r="T208" s="1060"/>
      <c r="U208" s="469"/>
      <c r="V208" s="1060"/>
      <c r="W208" s="1060"/>
      <c r="X208" s="1060"/>
      <c r="Y208" s="1060"/>
      <c r="Z208" s="1060"/>
      <c r="AA208" s="1544"/>
      <c r="AB208" s="491"/>
      <c r="AC208" s="491"/>
      <c r="AD208" s="491"/>
      <c r="AE208" s="491"/>
    </row>
    <row r="209" spans="1:31" s="3813" customFormat="1" ht="11.25" customHeight="1">
      <c r="A209" s="895"/>
      <c r="B209" s="1548"/>
      <c r="C209" s="1548"/>
      <c r="D209" s="276"/>
      <c r="K209" s="1060"/>
      <c r="L209" s="1548"/>
      <c r="M209" s="1548"/>
      <c r="N209" s="1060"/>
      <c r="O209" s="1060"/>
      <c r="P209" s="1060"/>
      <c r="Q209" s="1060"/>
      <c r="R209" s="1548"/>
      <c r="S209" s="1060"/>
      <c r="T209" s="1060"/>
      <c r="U209" s="469"/>
      <c r="V209" s="1060"/>
      <c r="W209" s="1060"/>
      <c r="X209" s="1060"/>
      <c r="Y209" s="1060"/>
      <c r="Z209" s="1060"/>
      <c r="AA209" s="1544"/>
      <c r="AB209" s="491"/>
      <c r="AC209" s="491"/>
      <c r="AD209" s="491"/>
      <c r="AE209" s="491"/>
    </row>
    <row r="210" spans="1:31" s="3813" customFormat="1" ht="11.25" customHeight="1">
      <c r="A210" s="895"/>
      <c r="B210" s="1548"/>
      <c r="C210" s="1548"/>
      <c r="D210" s="276"/>
      <c r="K210" s="1060"/>
      <c r="L210" s="1548"/>
      <c r="M210" s="1548"/>
      <c r="N210" s="1060"/>
      <c r="O210" s="1060"/>
      <c r="P210" s="1060"/>
      <c r="Q210" s="1060"/>
      <c r="R210" s="1548"/>
      <c r="S210" s="1060"/>
      <c r="T210" s="1060"/>
      <c r="U210" s="469"/>
      <c r="V210" s="1060"/>
      <c r="W210" s="1060"/>
      <c r="X210" s="1060"/>
      <c r="Y210" s="1060"/>
      <c r="Z210" s="1060"/>
      <c r="AA210" s="1544"/>
      <c r="AB210" s="491"/>
      <c r="AC210" s="491"/>
      <c r="AD210" s="491"/>
      <c r="AE210" s="491"/>
    </row>
    <row r="211" spans="1:31" s="3813" customFormat="1" ht="11.25" customHeight="1">
      <c r="A211" s="895"/>
      <c r="B211" s="1548"/>
      <c r="C211" s="1548"/>
      <c r="D211" s="276"/>
      <c r="K211" s="1060"/>
      <c r="L211" s="1548"/>
      <c r="M211" s="1548"/>
      <c r="N211" s="1060"/>
      <c r="O211" s="1060"/>
      <c r="P211" s="1060"/>
      <c r="Q211" s="1060"/>
      <c r="R211" s="1548"/>
      <c r="S211" s="1060"/>
      <c r="T211" s="1060"/>
      <c r="U211" s="469"/>
      <c r="V211" s="1060"/>
      <c r="W211" s="1060"/>
      <c r="X211" s="1060"/>
      <c r="Y211" s="1060"/>
      <c r="Z211" s="1060"/>
      <c r="AA211" s="1544"/>
      <c r="AB211" s="491"/>
      <c r="AC211" s="491"/>
      <c r="AD211" s="491"/>
      <c r="AE211" s="491"/>
    </row>
    <row r="212" spans="1:31" s="3813" customFormat="1" ht="11.25" customHeight="1">
      <c r="A212" s="895"/>
      <c r="B212" s="1548"/>
      <c r="C212" s="1548"/>
      <c r="D212" s="276"/>
      <c r="K212" s="1060"/>
      <c r="L212" s="1548"/>
      <c r="M212" s="1548"/>
      <c r="N212" s="1060"/>
      <c r="O212" s="1060"/>
      <c r="P212" s="1060"/>
      <c r="Q212" s="1060"/>
      <c r="R212" s="1548"/>
      <c r="S212" s="1060"/>
      <c r="T212" s="1060"/>
      <c r="U212" s="469"/>
      <c r="V212" s="1060"/>
      <c r="W212" s="1060"/>
      <c r="X212" s="1060"/>
      <c r="Y212" s="1060"/>
      <c r="Z212" s="1060"/>
      <c r="AA212" s="1544"/>
      <c r="AB212" s="491"/>
      <c r="AC212" s="491"/>
      <c r="AD212" s="491"/>
      <c r="AE212" s="491"/>
    </row>
    <row r="213" spans="1:31" s="3813" customFormat="1" ht="11.25" customHeight="1">
      <c r="A213" s="895"/>
      <c r="B213" s="1548"/>
      <c r="C213" s="1548"/>
      <c r="D213" s="276"/>
      <c r="K213" s="1060"/>
      <c r="L213" s="1548"/>
      <c r="M213" s="1548"/>
      <c r="N213" s="1060"/>
      <c r="O213" s="1060"/>
      <c r="P213" s="1060"/>
      <c r="Q213" s="1060"/>
      <c r="R213" s="1548"/>
      <c r="S213" s="1060"/>
      <c r="T213" s="1060"/>
      <c r="U213" s="469"/>
      <c r="V213" s="1060"/>
      <c r="W213" s="1060"/>
      <c r="X213" s="1060"/>
      <c r="Y213" s="1060"/>
      <c r="Z213" s="1060"/>
      <c r="AA213" s="1544"/>
      <c r="AB213" s="491"/>
      <c r="AC213" s="491"/>
      <c r="AD213" s="491"/>
      <c r="AE213" s="491"/>
    </row>
    <row r="214" spans="1:31" s="3813" customFormat="1" ht="11.25" customHeight="1">
      <c r="A214" s="895"/>
      <c r="B214" s="1548"/>
      <c r="C214" s="1548"/>
      <c r="D214" s="276"/>
      <c r="K214" s="1060"/>
      <c r="L214" s="1548"/>
      <c r="M214" s="1548"/>
      <c r="N214" s="1060"/>
      <c r="O214" s="1060"/>
      <c r="P214" s="1060"/>
      <c r="Q214" s="1060"/>
      <c r="R214" s="1548"/>
      <c r="S214" s="1060"/>
      <c r="T214" s="1060"/>
      <c r="U214" s="469"/>
      <c r="V214" s="1060"/>
      <c r="W214" s="1060"/>
      <c r="X214" s="1060"/>
      <c r="Y214" s="1060"/>
      <c r="Z214" s="1060"/>
      <c r="AA214" s="1544"/>
      <c r="AB214" s="491"/>
      <c r="AC214" s="491"/>
      <c r="AD214" s="491"/>
      <c r="AE214" s="491"/>
    </row>
    <row r="215" spans="1:31" s="3813" customFormat="1" ht="11.25" customHeight="1">
      <c r="A215" s="895"/>
      <c r="B215" s="1548"/>
      <c r="C215" s="1548"/>
      <c r="D215" s="276"/>
      <c r="K215" s="1060"/>
      <c r="L215" s="1548"/>
      <c r="M215" s="1548"/>
      <c r="N215" s="1060"/>
      <c r="O215" s="1060"/>
      <c r="P215" s="1060"/>
      <c r="Q215" s="1060"/>
      <c r="R215" s="1548"/>
      <c r="S215" s="1060"/>
      <c r="T215" s="1060"/>
      <c r="U215" s="469"/>
      <c r="V215" s="1060"/>
      <c r="W215" s="1060"/>
      <c r="X215" s="1060"/>
      <c r="Y215" s="1060"/>
      <c r="Z215" s="1060"/>
      <c r="AA215" s="1544"/>
      <c r="AB215" s="491"/>
      <c r="AC215" s="491"/>
      <c r="AD215" s="491"/>
      <c r="AE215" s="491"/>
    </row>
    <row r="216" spans="1:31" s="3813" customFormat="1" ht="11.25" customHeight="1">
      <c r="A216" s="895"/>
      <c r="B216" s="1548"/>
      <c r="C216" s="1548"/>
      <c r="D216" s="276"/>
      <c r="K216" s="1060"/>
      <c r="L216" s="1548"/>
      <c r="M216" s="1548"/>
      <c r="N216" s="1060"/>
      <c r="O216" s="1060"/>
      <c r="P216" s="1060"/>
      <c r="Q216" s="1060"/>
      <c r="R216" s="1548"/>
      <c r="S216" s="1060"/>
      <c r="T216" s="1060"/>
      <c r="U216" s="469"/>
      <c r="V216" s="1060"/>
      <c r="W216" s="1060"/>
      <c r="X216" s="1060"/>
      <c r="Y216" s="1060"/>
      <c r="Z216" s="1060"/>
      <c r="AA216" s="1544"/>
      <c r="AB216" s="491"/>
      <c r="AC216" s="491"/>
      <c r="AD216" s="491"/>
      <c r="AE216" s="491"/>
    </row>
    <row r="217" spans="1:31" s="3813" customFormat="1" ht="11.25" customHeight="1">
      <c r="A217" s="895"/>
      <c r="B217" s="1548"/>
      <c r="C217" s="1548"/>
      <c r="D217" s="276"/>
      <c r="K217" s="1060"/>
      <c r="L217" s="1548"/>
      <c r="M217" s="1548"/>
      <c r="N217" s="1060"/>
      <c r="O217" s="1060"/>
      <c r="P217" s="1060"/>
      <c r="Q217" s="1060"/>
      <c r="R217" s="1548"/>
      <c r="S217" s="1060"/>
      <c r="T217" s="1060"/>
      <c r="U217" s="469"/>
      <c r="V217" s="1060"/>
      <c r="W217" s="1060"/>
      <c r="X217" s="1060"/>
      <c r="Y217" s="1060"/>
      <c r="Z217" s="1060"/>
      <c r="AA217" s="1544"/>
      <c r="AB217" s="491"/>
      <c r="AC217" s="491"/>
      <c r="AD217" s="491"/>
      <c r="AE217" s="491"/>
    </row>
    <row r="218" spans="1:31" s="3813" customFormat="1" ht="11.25" customHeight="1">
      <c r="A218" s="895"/>
      <c r="B218" s="1548"/>
      <c r="C218" s="1548"/>
      <c r="D218" s="276"/>
      <c r="K218" s="1060"/>
      <c r="L218" s="1548"/>
      <c r="M218" s="1548"/>
      <c r="N218" s="1060"/>
      <c r="O218" s="1060"/>
      <c r="P218" s="1060"/>
      <c r="Q218" s="1060"/>
      <c r="R218" s="1548"/>
      <c r="S218" s="1060"/>
      <c r="T218" s="1060"/>
      <c r="U218" s="469"/>
      <c r="V218" s="1060"/>
      <c r="W218" s="1060"/>
      <c r="X218" s="1060"/>
      <c r="Y218" s="1060"/>
      <c r="Z218" s="1060"/>
      <c r="AA218" s="1544"/>
      <c r="AB218" s="491"/>
      <c r="AC218" s="491"/>
      <c r="AD218" s="491"/>
      <c r="AE218" s="491"/>
    </row>
    <row r="219" spans="1:31" s="3813" customFormat="1" ht="11.25" customHeight="1">
      <c r="A219" s="895"/>
      <c r="B219" s="1548"/>
      <c r="C219" s="1548"/>
      <c r="D219" s="276"/>
      <c r="K219" s="1060"/>
      <c r="L219" s="1548"/>
      <c r="M219" s="1548"/>
      <c r="N219" s="1060"/>
      <c r="O219" s="1060"/>
      <c r="P219" s="1060"/>
      <c r="Q219" s="1060"/>
      <c r="R219" s="1548"/>
      <c r="S219" s="1060"/>
      <c r="T219" s="1060"/>
      <c r="U219" s="469"/>
      <c r="V219" s="1060"/>
      <c r="W219" s="1060"/>
      <c r="X219" s="1060"/>
      <c r="Y219" s="1060"/>
      <c r="Z219" s="1060"/>
      <c r="AA219" s="1544"/>
      <c r="AB219" s="491"/>
      <c r="AC219" s="491"/>
      <c r="AD219" s="491"/>
      <c r="AE219" s="491"/>
    </row>
    <row r="220" spans="1:31" s="3813" customFormat="1" ht="11.25" customHeight="1">
      <c r="A220" s="895"/>
      <c r="B220" s="1548"/>
      <c r="C220" s="1548"/>
      <c r="D220" s="276"/>
      <c r="K220" s="1060"/>
      <c r="L220" s="1548"/>
      <c r="M220" s="1548"/>
      <c r="N220" s="1060"/>
      <c r="O220" s="1060"/>
      <c r="P220" s="1060"/>
      <c r="Q220" s="1060"/>
      <c r="R220" s="1548"/>
      <c r="S220" s="1060"/>
      <c r="T220" s="1060"/>
      <c r="U220" s="469"/>
      <c r="V220" s="1060"/>
      <c r="W220" s="1060"/>
      <c r="X220" s="1060"/>
      <c r="Y220" s="1060"/>
      <c r="Z220" s="1060"/>
      <c r="AA220" s="1544"/>
      <c r="AB220" s="491"/>
      <c r="AC220" s="491"/>
      <c r="AD220" s="491"/>
      <c r="AE220" s="491"/>
    </row>
    <row r="221" spans="1:31" s="3813" customFormat="1" ht="11.25" customHeight="1">
      <c r="A221" s="895"/>
      <c r="B221" s="1548"/>
      <c r="C221" s="1548"/>
      <c r="D221" s="276"/>
      <c r="K221" s="1060"/>
      <c r="L221" s="1548"/>
      <c r="M221" s="1548"/>
      <c r="N221" s="1060"/>
      <c r="O221" s="1060"/>
      <c r="P221" s="1060"/>
      <c r="Q221" s="1060"/>
      <c r="R221" s="1548"/>
      <c r="S221" s="1060"/>
      <c r="T221" s="1060"/>
      <c r="U221" s="469"/>
      <c r="V221" s="1060"/>
      <c r="W221" s="1060"/>
      <c r="X221" s="1060"/>
      <c r="Y221" s="1060"/>
      <c r="Z221" s="1060"/>
      <c r="AA221" s="1544"/>
      <c r="AB221" s="491"/>
      <c r="AC221" s="491"/>
      <c r="AD221" s="491"/>
      <c r="AE221" s="491"/>
    </row>
    <row r="222" spans="1:31" s="3813" customFormat="1" ht="11.25" customHeight="1">
      <c r="A222" s="895"/>
      <c r="B222" s="1548"/>
      <c r="C222" s="1548"/>
      <c r="D222" s="276"/>
      <c r="K222" s="1060"/>
      <c r="L222" s="1548"/>
      <c r="M222" s="1548"/>
      <c r="N222" s="1060"/>
      <c r="O222" s="1060"/>
      <c r="P222" s="1060"/>
      <c r="Q222" s="1060"/>
      <c r="R222" s="1548"/>
      <c r="S222" s="1060"/>
      <c r="T222" s="1060"/>
      <c r="U222" s="469"/>
      <c r="V222" s="1060"/>
      <c r="W222" s="1060"/>
      <c r="X222" s="1060"/>
      <c r="Y222" s="1060"/>
      <c r="Z222" s="1060"/>
      <c r="AA222" s="1544"/>
      <c r="AB222" s="491"/>
      <c r="AC222" s="491"/>
      <c r="AD222" s="491"/>
      <c r="AE222" s="491"/>
    </row>
    <row r="223" spans="1:31" s="3813" customFormat="1" ht="11.25" customHeight="1">
      <c r="A223" s="895"/>
      <c r="B223" s="1548"/>
      <c r="C223" s="1548"/>
      <c r="D223" s="276"/>
      <c r="K223" s="1060"/>
      <c r="L223" s="1548"/>
      <c r="M223" s="1548"/>
      <c r="N223" s="1060"/>
      <c r="O223" s="1060"/>
      <c r="P223" s="1060"/>
      <c r="Q223" s="1060"/>
      <c r="R223" s="1548"/>
      <c r="S223" s="1060"/>
      <c r="T223" s="1060"/>
      <c r="U223" s="469"/>
      <c r="V223" s="1060"/>
      <c r="W223" s="1060"/>
      <c r="X223" s="1060"/>
      <c r="Y223" s="1060"/>
      <c r="Z223" s="1060"/>
      <c r="AA223" s="1544"/>
      <c r="AB223" s="491"/>
      <c r="AC223" s="491"/>
      <c r="AD223" s="491"/>
      <c r="AE223" s="491"/>
    </row>
    <row r="224" spans="1:31" s="3813" customFormat="1" ht="11.25" customHeight="1">
      <c r="A224" s="895"/>
      <c r="B224" s="1548"/>
      <c r="C224" s="1548"/>
      <c r="D224" s="276"/>
      <c r="K224" s="1060"/>
      <c r="L224" s="1548"/>
      <c r="M224" s="1548"/>
      <c r="N224" s="1060"/>
      <c r="O224" s="1060"/>
      <c r="P224" s="1060"/>
      <c r="Q224" s="1060"/>
      <c r="R224" s="1548"/>
      <c r="S224" s="1060"/>
      <c r="T224" s="1060"/>
      <c r="U224" s="469"/>
      <c r="V224" s="1060"/>
      <c r="W224" s="1060"/>
      <c r="X224" s="1060"/>
      <c r="Y224" s="1060"/>
      <c r="Z224" s="1060"/>
      <c r="AA224" s="1544"/>
      <c r="AB224" s="491"/>
      <c r="AC224" s="491"/>
      <c r="AD224" s="491"/>
      <c r="AE224" s="491"/>
    </row>
    <row r="225" spans="1:31" s="3813" customFormat="1" ht="11.25" customHeight="1">
      <c r="A225" s="895"/>
      <c r="B225" s="1548"/>
      <c r="C225" s="1548"/>
      <c r="D225" s="276"/>
      <c r="K225" s="1060"/>
      <c r="L225" s="1548"/>
      <c r="M225" s="1548"/>
      <c r="N225" s="1060"/>
      <c r="O225" s="1060"/>
      <c r="P225" s="1060"/>
      <c r="Q225" s="1060"/>
      <c r="R225" s="1548"/>
      <c r="S225" s="1060"/>
      <c r="T225" s="1060"/>
      <c r="U225" s="469"/>
      <c r="V225" s="1060"/>
      <c r="W225" s="1060"/>
      <c r="X225" s="1060"/>
      <c r="Y225" s="1060"/>
      <c r="Z225" s="1060"/>
      <c r="AA225" s="1544"/>
      <c r="AB225" s="491"/>
      <c r="AC225" s="491"/>
      <c r="AD225" s="491"/>
      <c r="AE225" s="491"/>
    </row>
    <row r="226" spans="1:31" s="3813" customFormat="1" ht="11.25" customHeight="1">
      <c r="A226" s="895"/>
      <c r="B226" s="1548"/>
      <c r="C226" s="1548"/>
      <c r="D226" s="276"/>
      <c r="K226" s="1060"/>
      <c r="L226" s="1548"/>
      <c r="M226" s="1548"/>
      <c r="N226" s="1060"/>
      <c r="O226" s="1060"/>
      <c r="P226" s="1060"/>
      <c r="Q226" s="1060"/>
      <c r="R226" s="1548"/>
      <c r="S226" s="1060"/>
      <c r="T226" s="1060"/>
      <c r="U226" s="469"/>
      <c r="V226" s="1060"/>
      <c r="W226" s="1060"/>
      <c r="X226" s="1060"/>
      <c r="Y226" s="1060"/>
      <c r="Z226" s="1060"/>
      <c r="AA226" s="1544"/>
      <c r="AB226" s="491"/>
      <c r="AC226" s="491"/>
      <c r="AD226" s="491"/>
      <c r="AE226" s="491"/>
    </row>
    <row r="227" spans="1:31" s="3813" customFormat="1" ht="11.25" customHeight="1">
      <c r="A227" s="895"/>
      <c r="B227" s="1548"/>
      <c r="C227" s="1548"/>
      <c r="D227" s="276"/>
      <c r="K227" s="1060"/>
      <c r="L227" s="1548"/>
      <c r="M227" s="1548"/>
      <c r="N227" s="1060"/>
      <c r="O227" s="1060"/>
      <c r="P227" s="1060"/>
      <c r="Q227" s="1060"/>
      <c r="R227" s="1548"/>
      <c r="S227" s="1060"/>
      <c r="T227" s="1060"/>
      <c r="U227" s="469"/>
      <c r="V227" s="1060"/>
      <c r="W227" s="1060"/>
      <c r="X227" s="1060"/>
      <c r="Y227" s="1060"/>
      <c r="Z227" s="1060"/>
      <c r="AA227" s="1544"/>
      <c r="AB227" s="491"/>
      <c r="AC227" s="491"/>
      <c r="AD227" s="491"/>
      <c r="AE227" s="491"/>
    </row>
    <row r="228" spans="1:31" s="3813" customFormat="1" ht="11.25" customHeight="1">
      <c r="A228" s="895"/>
      <c r="B228" s="1548"/>
      <c r="C228" s="1548"/>
      <c r="D228" s="276"/>
      <c r="K228" s="1060"/>
      <c r="L228" s="1548"/>
      <c r="M228" s="1548"/>
      <c r="N228" s="1060"/>
      <c r="O228" s="1060"/>
      <c r="P228" s="1060"/>
      <c r="Q228" s="1060"/>
      <c r="R228" s="1548"/>
      <c r="S228" s="1060"/>
      <c r="T228" s="1060"/>
      <c r="U228" s="469"/>
      <c r="V228" s="1060"/>
      <c r="W228" s="1060"/>
      <c r="X228" s="1060"/>
      <c r="Y228" s="1060"/>
      <c r="Z228" s="1060"/>
      <c r="AA228" s="1544"/>
      <c r="AB228" s="491"/>
      <c r="AC228" s="491"/>
      <c r="AD228" s="491"/>
      <c r="AE228" s="491"/>
    </row>
    <row r="229" spans="1:31" s="3813" customFormat="1" ht="11.25" customHeight="1">
      <c r="A229" s="895"/>
      <c r="B229" s="1548"/>
      <c r="C229" s="1548"/>
      <c r="D229" s="276"/>
      <c r="K229" s="1060"/>
      <c r="L229" s="1548"/>
      <c r="M229" s="1548"/>
      <c r="N229" s="1060"/>
      <c r="O229" s="1060"/>
      <c r="P229" s="1060"/>
      <c r="Q229" s="1060"/>
      <c r="R229" s="1548"/>
      <c r="S229" s="1060"/>
      <c r="T229" s="1060"/>
      <c r="U229" s="469"/>
      <c r="V229" s="1060"/>
      <c r="W229" s="1060"/>
      <c r="X229" s="1060"/>
      <c r="Y229" s="1060"/>
      <c r="Z229" s="1060"/>
      <c r="AA229" s="1544"/>
      <c r="AB229" s="491"/>
      <c r="AC229" s="491"/>
      <c r="AD229" s="491"/>
      <c r="AE229" s="491"/>
    </row>
    <row r="230" spans="1:31" s="3813" customFormat="1" ht="11.25" customHeight="1">
      <c r="A230" s="895"/>
      <c r="B230" s="1548"/>
      <c r="C230" s="1548"/>
      <c r="D230" s="276"/>
      <c r="K230" s="1060"/>
      <c r="L230" s="1548"/>
      <c r="M230" s="1548"/>
      <c r="N230" s="1060"/>
      <c r="O230" s="1060"/>
      <c r="P230" s="1060"/>
      <c r="Q230" s="1060"/>
      <c r="R230" s="1548"/>
      <c r="S230" s="1060"/>
      <c r="T230" s="1060"/>
      <c r="U230" s="469"/>
      <c r="V230" s="1060"/>
      <c r="W230" s="1060"/>
      <c r="X230" s="1060"/>
      <c r="Y230" s="1060"/>
      <c r="Z230" s="1060"/>
      <c r="AA230" s="1544"/>
      <c r="AB230" s="491"/>
      <c r="AC230" s="491"/>
      <c r="AD230" s="491"/>
      <c r="AE230" s="491"/>
    </row>
    <row r="231" spans="1:31" s="3813" customFormat="1" ht="11.25" customHeight="1">
      <c r="A231" s="895"/>
      <c r="B231" s="1548"/>
      <c r="C231" s="1548"/>
      <c r="D231" s="276"/>
      <c r="K231" s="1060"/>
      <c r="L231" s="1548"/>
      <c r="M231" s="1548"/>
      <c r="N231" s="1060"/>
      <c r="O231" s="1060"/>
      <c r="P231" s="1060"/>
      <c r="Q231" s="1060"/>
      <c r="R231" s="1548"/>
      <c r="S231" s="1060"/>
      <c r="T231" s="1060"/>
      <c r="U231" s="469"/>
      <c r="V231" s="1060"/>
      <c r="W231" s="1060"/>
      <c r="X231" s="1060"/>
      <c r="Y231" s="1060"/>
      <c r="Z231" s="1060"/>
      <c r="AA231" s="1544"/>
      <c r="AB231" s="491"/>
      <c r="AC231" s="491"/>
      <c r="AD231" s="491"/>
      <c r="AE231" s="491"/>
    </row>
    <row r="232" spans="1:31" s="3813" customFormat="1" ht="11.25" customHeight="1">
      <c r="A232" s="895"/>
      <c r="B232" s="1548"/>
      <c r="C232" s="1548"/>
      <c r="D232" s="276"/>
      <c r="K232" s="1060"/>
      <c r="L232" s="1548"/>
      <c r="M232" s="1548"/>
      <c r="N232" s="1060"/>
      <c r="O232" s="1060"/>
      <c r="P232" s="1060"/>
      <c r="Q232" s="1060"/>
      <c r="R232" s="1548"/>
      <c r="S232" s="1060"/>
      <c r="T232" s="1060"/>
      <c r="U232" s="469"/>
      <c r="V232" s="1060"/>
      <c r="W232" s="1060"/>
      <c r="X232" s="1060"/>
      <c r="Y232" s="1060"/>
      <c r="Z232" s="1060"/>
      <c r="AA232" s="1544"/>
      <c r="AB232" s="491"/>
      <c r="AC232" s="491"/>
      <c r="AD232" s="491"/>
      <c r="AE232" s="491"/>
    </row>
    <row r="233" spans="1:31" s="3813" customFormat="1" ht="11.25" customHeight="1">
      <c r="A233" s="895"/>
      <c r="B233" s="1548"/>
      <c r="C233" s="1548"/>
      <c r="D233" s="276"/>
      <c r="K233" s="1060"/>
      <c r="L233" s="1548"/>
      <c r="M233" s="1548"/>
      <c r="N233" s="1060"/>
      <c r="O233" s="1060"/>
      <c r="P233" s="1060"/>
      <c r="Q233" s="1060"/>
      <c r="R233" s="1548"/>
      <c r="S233" s="1060"/>
      <c r="T233" s="1060"/>
      <c r="U233" s="469"/>
      <c r="V233" s="1060"/>
      <c r="W233" s="1060"/>
      <c r="X233" s="1060"/>
      <c r="Y233" s="1060"/>
      <c r="Z233" s="1060"/>
      <c r="AA233" s="1544"/>
      <c r="AB233" s="491"/>
      <c r="AC233" s="491"/>
      <c r="AD233" s="491"/>
      <c r="AE233" s="491"/>
    </row>
    <row r="234" spans="1:31" s="3813" customFormat="1" ht="11.25" customHeight="1">
      <c r="A234" s="895"/>
      <c r="B234" s="1548"/>
      <c r="C234" s="1548"/>
      <c r="D234" s="276"/>
      <c r="K234" s="1060"/>
      <c r="L234" s="1548"/>
      <c r="M234" s="1548"/>
      <c r="N234" s="1060"/>
      <c r="O234" s="1060"/>
      <c r="P234" s="1060"/>
      <c r="Q234" s="1060"/>
      <c r="R234" s="1548"/>
      <c r="S234" s="1060"/>
      <c r="T234" s="1060"/>
      <c r="U234" s="469"/>
      <c r="V234" s="1060"/>
      <c r="W234" s="1060"/>
      <c r="X234" s="1060"/>
      <c r="Y234" s="1060"/>
      <c r="Z234" s="1060"/>
      <c r="AA234" s="1544"/>
      <c r="AB234" s="491"/>
      <c r="AC234" s="491"/>
      <c r="AD234" s="491"/>
      <c r="AE234" s="491"/>
    </row>
    <row r="235" spans="1:31" s="3813" customFormat="1" ht="11.25" customHeight="1">
      <c r="A235" s="895"/>
      <c r="B235" s="1548"/>
      <c r="C235" s="1548"/>
      <c r="D235" s="276"/>
      <c r="K235" s="1060"/>
      <c r="L235" s="1548"/>
      <c r="M235" s="1548"/>
      <c r="N235" s="1060"/>
      <c r="O235" s="1060"/>
      <c r="P235" s="1060"/>
      <c r="Q235" s="1060"/>
      <c r="R235" s="1548"/>
      <c r="S235" s="1060"/>
      <c r="T235" s="1060"/>
      <c r="U235" s="469"/>
      <c r="V235" s="1060"/>
      <c r="W235" s="1060"/>
      <c r="X235" s="1060"/>
      <c r="Y235" s="1060"/>
      <c r="Z235" s="1060"/>
      <c r="AA235" s="1544"/>
      <c r="AB235" s="491"/>
      <c r="AC235" s="491"/>
      <c r="AD235" s="491"/>
      <c r="AE235" s="491"/>
    </row>
    <row r="236" spans="1:31" s="3813" customFormat="1" ht="11.25" customHeight="1">
      <c r="A236" s="895"/>
      <c r="B236" s="1548"/>
      <c r="C236" s="1548"/>
      <c r="D236" s="276"/>
      <c r="K236" s="1060"/>
      <c r="L236" s="1548"/>
      <c r="M236" s="1548"/>
      <c r="N236" s="1060"/>
      <c r="O236" s="1060"/>
      <c r="P236" s="1060"/>
      <c r="Q236" s="1060"/>
      <c r="R236" s="1548"/>
      <c r="S236" s="1060"/>
      <c r="T236" s="1060"/>
      <c r="U236" s="469"/>
      <c r="V236" s="1060"/>
      <c r="W236" s="1060"/>
      <c r="X236" s="1060"/>
      <c r="Y236" s="1060"/>
      <c r="Z236" s="1060"/>
      <c r="AA236" s="1544"/>
      <c r="AB236" s="491"/>
      <c r="AC236" s="491"/>
      <c r="AD236" s="491"/>
      <c r="AE236" s="491"/>
    </row>
    <row r="237" spans="1:31" s="3813" customFormat="1" ht="11.25" customHeight="1">
      <c r="A237" s="895"/>
      <c r="B237" s="1548"/>
      <c r="C237" s="1548"/>
      <c r="D237" s="276"/>
      <c r="K237" s="1060"/>
      <c r="L237" s="1548"/>
      <c r="M237" s="1548"/>
      <c r="N237" s="1060"/>
      <c r="O237" s="1060"/>
      <c r="P237" s="1060"/>
      <c r="Q237" s="1060"/>
      <c r="R237" s="1548"/>
      <c r="S237" s="1060"/>
      <c r="T237" s="1060"/>
      <c r="U237" s="469"/>
      <c r="V237" s="1060"/>
      <c r="W237" s="1060"/>
      <c r="X237" s="1060"/>
      <c r="Y237" s="1060"/>
      <c r="Z237" s="1060"/>
      <c r="AA237" s="1544"/>
      <c r="AB237" s="491"/>
      <c r="AC237" s="491"/>
      <c r="AD237" s="491"/>
      <c r="AE237" s="491"/>
    </row>
    <row r="238" spans="1:31" s="3813" customFormat="1" ht="11.25" customHeight="1">
      <c r="A238" s="895"/>
      <c r="B238" s="1548"/>
      <c r="C238" s="1548"/>
      <c r="D238" s="276"/>
      <c r="K238" s="1060"/>
      <c r="L238" s="1548"/>
      <c r="M238" s="1548"/>
      <c r="N238" s="1060"/>
      <c r="O238" s="1060"/>
      <c r="P238" s="1060"/>
      <c r="Q238" s="1060"/>
      <c r="R238" s="1548"/>
      <c r="S238" s="1060"/>
      <c r="T238" s="1060"/>
      <c r="U238" s="469"/>
      <c r="V238" s="1060"/>
      <c r="W238" s="1060"/>
      <c r="X238" s="1060"/>
      <c r="Y238" s="1060"/>
      <c r="Z238" s="1060"/>
      <c r="AA238" s="1544"/>
      <c r="AB238" s="491"/>
      <c r="AC238" s="491"/>
      <c r="AD238" s="491"/>
      <c r="AE238" s="491"/>
    </row>
    <row r="239" spans="1:31" s="3813" customFormat="1" ht="11.25" customHeight="1">
      <c r="A239" s="895"/>
      <c r="B239" s="1548"/>
      <c r="C239" s="1548"/>
      <c r="D239" s="276"/>
      <c r="K239" s="1060"/>
      <c r="L239" s="1548"/>
      <c r="M239" s="1548"/>
      <c r="N239" s="1060"/>
      <c r="O239" s="1060"/>
      <c r="P239" s="1060"/>
      <c r="Q239" s="1060"/>
      <c r="R239" s="1548"/>
      <c r="S239" s="1060"/>
      <c r="T239" s="1060"/>
      <c r="U239" s="469"/>
      <c r="V239" s="1060"/>
      <c r="W239" s="1060"/>
      <c r="X239" s="1060"/>
      <c r="Y239" s="1060"/>
      <c r="Z239" s="1060"/>
      <c r="AA239" s="1544"/>
      <c r="AB239" s="491"/>
      <c r="AC239" s="491"/>
      <c r="AD239" s="491"/>
      <c r="AE239" s="491"/>
    </row>
    <row r="240" spans="1:31" s="3813" customFormat="1" ht="11.25" customHeight="1">
      <c r="A240" s="895"/>
      <c r="B240" s="1548"/>
      <c r="C240" s="1548"/>
      <c r="D240" s="276"/>
      <c r="K240" s="1060"/>
      <c r="L240" s="1548"/>
      <c r="M240" s="1548"/>
      <c r="N240" s="1060"/>
      <c r="O240" s="1060"/>
      <c r="P240" s="1060"/>
      <c r="Q240" s="1060"/>
      <c r="R240" s="1548"/>
      <c r="S240" s="1060"/>
      <c r="T240" s="1060"/>
      <c r="U240" s="469"/>
      <c r="V240" s="1060"/>
      <c r="W240" s="1060"/>
      <c r="X240" s="1060"/>
      <c r="Y240" s="1060"/>
      <c r="Z240" s="1060"/>
      <c r="AA240" s="1544"/>
      <c r="AB240" s="491"/>
      <c r="AC240" s="491"/>
      <c r="AD240" s="491"/>
      <c r="AE240" s="491"/>
    </row>
    <row r="241" spans="1:31" s="3813" customFormat="1" ht="11.25" customHeight="1">
      <c r="A241" s="895"/>
      <c r="B241" s="1548"/>
      <c r="C241" s="1548"/>
      <c r="D241" s="276"/>
      <c r="K241" s="1060"/>
      <c r="L241" s="1548"/>
      <c r="M241" s="1548"/>
      <c r="N241" s="1060"/>
      <c r="O241" s="1060"/>
      <c r="P241" s="1060"/>
      <c r="Q241" s="1060"/>
      <c r="R241" s="1548"/>
      <c r="S241" s="1060"/>
      <c r="T241" s="1060"/>
      <c r="U241" s="469"/>
      <c r="V241" s="1060"/>
      <c r="W241" s="1060"/>
      <c r="X241" s="1060"/>
      <c r="Y241" s="1060"/>
      <c r="Z241" s="1060"/>
      <c r="AA241" s="1544"/>
      <c r="AB241" s="491"/>
      <c r="AC241" s="491"/>
      <c r="AD241" s="491"/>
      <c r="AE241" s="491"/>
    </row>
    <row r="242" spans="1:31" s="3813" customFormat="1" ht="11.25" customHeight="1">
      <c r="A242" s="895"/>
      <c r="B242" s="1548"/>
      <c r="C242" s="1548"/>
      <c r="D242" s="276"/>
      <c r="K242" s="1060"/>
      <c r="L242" s="1548"/>
      <c r="M242" s="1548"/>
      <c r="N242" s="1060"/>
      <c r="O242" s="1060"/>
      <c r="P242" s="1060"/>
      <c r="Q242" s="1060"/>
      <c r="R242" s="1548"/>
      <c r="S242" s="1060"/>
      <c r="T242" s="1060"/>
      <c r="U242" s="469"/>
      <c r="V242" s="1060"/>
      <c r="W242" s="1060"/>
      <c r="X242" s="1060"/>
      <c r="Y242" s="1060"/>
      <c r="Z242" s="1060"/>
      <c r="AA242" s="1544"/>
      <c r="AB242" s="491"/>
      <c r="AC242" s="491"/>
      <c r="AD242" s="491"/>
      <c r="AE242" s="491"/>
    </row>
    <row r="243" spans="1:31" s="3813" customFormat="1" ht="11.25" customHeight="1">
      <c r="A243" s="895"/>
      <c r="B243" s="1548"/>
      <c r="C243" s="1548"/>
      <c r="D243" s="276"/>
      <c r="K243" s="1060"/>
      <c r="L243" s="1548"/>
      <c r="M243" s="1548"/>
      <c r="N243" s="1060"/>
      <c r="O243" s="1060"/>
      <c r="P243" s="1060"/>
      <c r="Q243" s="1060"/>
      <c r="R243" s="1548"/>
      <c r="S243" s="1060"/>
      <c r="T243" s="1060"/>
      <c r="U243" s="469"/>
      <c r="V243" s="1060"/>
      <c r="W243" s="1060"/>
      <c r="X243" s="1060"/>
      <c r="Y243" s="1060"/>
      <c r="Z243" s="1060"/>
      <c r="AA243" s="1544"/>
      <c r="AB243" s="491"/>
      <c r="AC243" s="491"/>
      <c r="AD243" s="491"/>
      <c r="AE243" s="491"/>
    </row>
    <row r="244" spans="1:31" s="3813" customFormat="1" ht="11.25" customHeight="1">
      <c r="A244" s="895"/>
      <c r="B244" s="1548"/>
      <c r="C244" s="1548"/>
      <c r="D244" s="276"/>
      <c r="K244" s="1060"/>
      <c r="L244" s="1548"/>
      <c r="M244" s="1548"/>
      <c r="N244" s="1060"/>
      <c r="O244" s="1060"/>
      <c r="P244" s="1060"/>
      <c r="Q244" s="1060"/>
      <c r="R244" s="1548"/>
      <c r="S244" s="1060"/>
      <c r="T244" s="1060"/>
      <c r="U244" s="469"/>
      <c r="V244" s="1060"/>
      <c r="W244" s="1060"/>
      <c r="X244" s="1060"/>
      <c r="Y244" s="1060"/>
      <c r="Z244" s="1060"/>
      <c r="AA244" s="1544"/>
      <c r="AB244" s="491"/>
      <c r="AC244" s="491"/>
      <c r="AD244" s="491"/>
      <c r="AE244" s="491"/>
    </row>
    <row r="245" spans="1:31" s="3813" customFormat="1" ht="11.25" customHeight="1">
      <c r="A245" s="895"/>
      <c r="B245" s="1548"/>
      <c r="C245" s="1548"/>
      <c r="D245" s="276"/>
      <c r="K245" s="1060"/>
      <c r="L245" s="1548"/>
      <c r="M245" s="1548"/>
      <c r="N245" s="1060"/>
      <c r="O245" s="1060"/>
      <c r="P245" s="1060"/>
      <c r="Q245" s="1060"/>
      <c r="R245" s="1548"/>
      <c r="S245" s="1060"/>
      <c r="T245" s="1060"/>
      <c r="U245" s="469"/>
      <c r="V245" s="1060"/>
      <c r="W245" s="1060"/>
      <c r="X245" s="1060"/>
      <c r="Y245" s="1060"/>
      <c r="Z245" s="1060"/>
      <c r="AA245" s="1544"/>
      <c r="AB245" s="491"/>
      <c r="AC245" s="491"/>
      <c r="AD245" s="491"/>
      <c r="AE245" s="491"/>
    </row>
    <row r="246" spans="1:31" s="3813" customFormat="1" ht="11.25" customHeight="1">
      <c r="A246" s="895"/>
      <c r="B246" s="1548"/>
      <c r="C246" s="1548"/>
      <c r="D246" s="276"/>
      <c r="K246" s="1060"/>
      <c r="L246" s="1548"/>
      <c r="M246" s="1548"/>
      <c r="N246" s="1060"/>
      <c r="O246" s="1060"/>
      <c r="P246" s="1060"/>
      <c r="Q246" s="1060"/>
      <c r="R246" s="1548"/>
      <c r="S246" s="1060"/>
      <c r="T246" s="1060"/>
      <c r="U246" s="469"/>
      <c r="V246" s="1060"/>
      <c r="W246" s="1060"/>
      <c r="X246" s="1060"/>
      <c r="Y246" s="1060"/>
      <c r="Z246" s="1060"/>
      <c r="AA246" s="1544"/>
      <c r="AB246" s="491"/>
      <c r="AC246" s="491"/>
      <c r="AD246" s="491"/>
      <c r="AE246" s="491"/>
    </row>
    <row r="247" spans="1:31" s="3813" customFormat="1" ht="11.25" customHeight="1">
      <c r="A247" s="895"/>
      <c r="B247" s="1548"/>
      <c r="C247" s="1548"/>
      <c r="D247" s="276"/>
      <c r="K247" s="1060"/>
      <c r="L247" s="1548"/>
      <c r="M247" s="1548"/>
      <c r="N247" s="1060"/>
      <c r="O247" s="1060"/>
      <c r="P247" s="1060"/>
      <c r="Q247" s="1060"/>
      <c r="R247" s="1548"/>
      <c r="S247" s="1060"/>
      <c r="T247" s="1060"/>
      <c r="U247" s="469"/>
      <c r="V247" s="1060"/>
      <c r="W247" s="1060"/>
      <c r="X247" s="1060"/>
      <c r="Y247" s="1060"/>
      <c r="Z247" s="1060"/>
      <c r="AA247" s="1544"/>
      <c r="AB247" s="491"/>
      <c r="AC247" s="491"/>
      <c r="AD247" s="491"/>
      <c r="AE247" s="491"/>
    </row>
    <row r="248" spans="1:31" s="3813" customFormat="1" ht="11.25" customHeight="1">
      <c r="A248" s="895"/>
      <c r="B248" s="1548"/>
      <c r="C248" s="1548"/>
      <c r="D248" s="276"/>
      <c r="K248" s="1060"/>
      <c r="L248" s="1548"/>
      <c r="M248" s="1548"/>
      <c r="N248" s="1060"/>
      <c r="O248" s="1060"/>
      <c r="P248" s="1060"/>
      <c r="Q248" s="1060"/>
      <c r="R248" s="1548"/>
      <c r="S248" s="1060"/>
      <c r="T248" s="1060"/>
      <c r="U248" s="469"/>
      <c r="V248" s="1060"/>
      <c r="W248" s="1060"/>
      <c r="X248" s="1060"/>
      <c r="Y248" s="1060"/>
      <c r="Z248" s="1060"/>
      <c r="AA248" s="1544"/>
      <c r="AB248" s="491"/>
      <c r="AC248" s="491"/>
      <c r="AD248" s="491"/>
      <c r="AE248" s="491"/>
    </row>
    <row r="249" spans="1:31" s="3813" customFormat="1" ht="11.25" customHeight="1">
      <c r="A249" s="895"/>
      <c r="B249" s="1548"/>
      <c r="C249" s="1548"/>
      <c r="D249" s="276"/>
      <c r="K249" s="1060"/>
      <c r="L249" s="1548"/>
      <c r="M249" s="1548"/>
      <c r="N249" s="1060"/>
      <c r="O249" s="1060"/>
      <c r="P249" s="1060"/>
      <c r="Q249" s="1060"/>
      <c r="R249" s="1548"/>
      <c r="S249" s="1060"/>
      <c r="T249" s="1060"/>
      <c r="U249" s="469"/>
      <c r="V249" s="1060"/>
      <c r="W249" s="1060"/>
      <c r="X249" s="1060"/>
      <c r="Y249" s="1060"/>
      <c r="Z249" s="1060"/>
      <c r="AA249" s="1544"/>
      <c r="AB249" s="491"/>
      <c r="AC249" s="491"/>
      <c r="AD249" s="491"/>
      <c r="AE249" s="491"/>
    </row>
    <row r="250" spans="1:31" s="3813" customFormat="1" ht="11.25" customHeight="1">
      <c r="A250" s="895"/>
      <c r="B250" s="1548"/>
      <c r="C250" s="1548"/>
      <c r="D250" s="276"/>
      <c r="K250" s="1060"/>
      <c r="L250" s="1548"/>
      <c r="M250" s="1548"/>
      <c r="N250" s="1060"/>
      <c r="O250" s="1060"/>
      <c r="P250" s="1060"/>
      <c r="Q250" s="1060"/>
      <c r="R250" s="1548"/>
      <c r="S250" s="1060"/>
      <c r="T250" s="1060"/>
      <c r="U250" s="469"/>
      <c r="V250" s="1060"/>
      <c r="W250" s="1060"/>
      <c r="X250" s="1060"/>
      <c r="Y250" s="1060"/>
      <c r="Z250" s="1060"/>
      <c r="AA250" s="1544"/>
      <c r="AB250" s="491"/>
      <c r="AC250" s="491"/>
      <c r="AD250" s="491"/>
      <c r="AE250" s="491"/>
    </row>
    <row r="251" spans="1:31" s="3813" customFormat="1" ht="11.25" customHeight="1">
      <c r="A251" s="895"/>
      <c r="B251" s="1548"/>
      <c r="C251" s="1548"/>
      <c r="D251" s="276"/>
      <c r="K251" s="1060"/>
      <c r="L251" s="1548"/>
      <c r="M251" s="1548"/>
      <c r="N251" s="1060"/>
      <c r="O251" s="1060"/>
      <c r="P251" s="1060"/>
      <c r="Q251" s="1060"/>
      <c r="R251" s="1548"/>
      <c r="S251" s="1060"/>
      <c r="T251" s="1060"/>
      <c r="U251" s="469"/>
      <c r="V251" s="1060"/>
      <c r="W251" s="1060"/>
      <c r="X251" s="1060"/>
      <c r="Y251" s="1060"/>
      <c r="Z251" s="1060"/>
      <c r="AA251" s="1544"/>
      <c r="AB251" s="491"/>
      <c r="AC251" s="491"/>
      <c r="AD251" s="491"/>
      <c r="AE251" s="491"/>
    </row>
    <row r="252" spans="1:31" s="3813" customFormat="1" ht="11.25" customHeight="1">
      <c r="A252" s="895"/>
      <c r="B252" s="1548"/>
      <c r="C252" s="1548"/>
      <c r="D252" s="276"/>
      <c r="K252" s="1060"/>
      <c r="L252" s="1548"/>
      <c r="M252" s="1548"/>
      <c r="N252" s="1060"/>
      <c r="O252" s="1060"/>
      <c r="P252" s="1060"/>
      <c r="Q252" s="1060"/>
      <c r="R252" s="1548"/>
      <c r="S252" s="1060"/>
      <c r="T252" s="1060"/>
      <c r="U252" s="469"/>
      <c r="V252" s="1060"/>
      <c r="W252" s="1060"/>
      <c r="X252" s="1060"/>
      <c r="Y252" s="1060"/>
      <c r="Z252" s="1060"/>
      <c r="AA252" s="1544"/>
      <c r="AB252" s="491"/>
      <c r="AC252" s="491"/>
      <c r="AD252" s="491"/>
      <c r="AE252" s="491"/>
    </row>
    <row r="253" spans="1:31" s="3813" customFormat="1" ht="11.25" customHeight="1">
      <c r="A253" s="895"/>
      <c r="B253" s="1548"/>
      <c r="C253" s="1548"/>
      <c r="D253" s="276"/>
      <c r="K253" s="1060"/>
      <c r="L253" s="1548"/>
      <c r="M253" s="1548"/>
      <c r="N253" s="1060"/>
      <c r="O253" s="1060"/>
      <c r="P253" s="1060"/>
      <c r="Q253" s="1060"/>
      <c r="R253" s="1548"/>
      <c r="S253" s="1060"/>
      <c r="T253" s="1060"/>
      <c r="U253" s="469"/>
      <c r="V253" s="1060"/>
      <c r="W253" s="1060"/>
      <c r="X253" s="1060"/>
      <c r="Y253" s="1060"/>
      <c r="Z253" s="1060"/>
      <c r="AA253" s="1544"/>
      <c r="AB253" s="491"/>
      <c r="AC253" s="491"/>
      <c r="AD253" s="491"/>
      <c r="AE253" s="491"/>
    </row>
    <row r="254" spans="1:31" s="3813" customFormat="1" ht="11.25" customHeight="1">
      <c r="A254" s="895"/>
      <c r="B254" s="1548"/>
      <c r="C254" s="1548"/>
      <c r="D254" s="276"/>
      <c r="K254" s="1060"/>
      <c r="L254" s="1548"/>
      <c r="M254" s="1548"/>
      <c r="N254" s="1060"/>
      <c r="O254" s="1060"/>
      <c r="P254" s="1060"/>
      <c r="Q254" s="1060"/>
      <c r="R254" s="1548"/>
      <c r="S254" s="1060"/>
      <c r="T254" s="1060"/>
      <c r="U254" s="469"/>
      <c r="V254" s="1060"/>
      <c r="W254" s="1060"/>
      <c r="X254" s="1060"/>
      <c r="Y254" s="1060"/>
      <c r="Z254" s="1060"/>
      <c r="AA254" s="1544"/>
      <c r="AB254" s="491"/>
      <c r="AC254" s="491"/>
      <c r="AD254" s="491"/>
      <c r="AE254" s="491"/>
    </row>
    <row r="255" spans="1:31" s="3813" customFormat="1" ht="11.25" customHeight="1">
      <c r="A255" s="895"/>
      <c r="B255" s="1548"/>
      <c r="C255" s="1548"/>
      <c r="D255" s="276"/>
      <c r="K255" s="1060"/>
      <c r="L255" s="1548"/>
      <c r="M255" s="1548"/>
      <c r="N255" s="1060"/>
      <c r="O255" s="1060"/>
      <c r="P255" s="1060"/>
      <c r="Q255" s="1060"/>
      <c r="R255" s="1548"/>
      <c r="S255" s="1060"/>
      <c r="T255" s="1060"/>
      <c r="U255" s="469"/>
      <c r="V255" s="1060"/>
      <c r="W255" s="1060"/>
      <c r="X255" s="1060"/>
      <c r="Y255" s="1060"/>
      <c r="Z255" s="1060"/>
      <c r="AA255" s="1544"/>
      <c r="AB255" s="491"/>
      <c r="AC255" s="491"/>
      <c r="AD255" s="491"/>
      <c r="AE255" s="491"/>
    </row>
    <row r="256" spans="1:31" s="3813" customFormat="1" ht="11.25" customHeight="1">
      <c r="A256" s="895"/>
      <c r="B256" s="1548"/>
      <c r="C256" s="1548"/>
      <c r="D256" s="276"/>
      <c r="K256" s="1060"/>
      <c r="L256" s="1548"/>
      <c r="M256" s="1548"/>
      <c r="N256" s="1060"/>
      <c r="O256" s="1060"/>
      <c r="P256" s="1060"/>
      <c r="Q256" s="1060"/>
      <c r="R256" s="1548"/>
      <c r="S256" s="1060"/>
      <c r="T256" s="1060"/>
      <c r="U256" s="469"/>
      <c r="V256" s="1060"/>
      <c r="W256" s="1060"/>
      <c r="X256" s="1060"/>
      <c r="Y256" s="1060"/>
      <c r="Z256" s="1060"/>
      <c r="AA256" s="1544"/>
      <c r="AB256" s="491"/>
      <c r="AC256" s="491"/>
      <c r="AD256" s="491"/>
      <c r="AE256" s="491"/>
    </row>
    <row r="257" spans="1:31" s="3813" customFormat="1" ht="11.25" customHeight="1">
      <c r="A257" s="895"/>
      <c r="B257" s="1548"/>
      <c r="C257" s="1548"/>
      <c r="D257" s="276"/>
      <c r="K257" s="1060"/>
      <c r="L257" s="1548"/>
      <c r="M257" s="1548"/>
      <c r="N257" s="1060"/>
      <c r="O257" s="1060"/>
      <c r="P257" s="1060"/>
      <c r="Q257" s="1060"/>
      <c r="R257" s="1548"/>
      <c r="S257" s="1060"/>
      <c r="T257" s="1060"/>
      <c r="U257" s="469"/>
      <c r="V257" s="1060"/>
      <c r="W257" s="1060"/>
      <c r="X257" s="1060"/>
      <c r="Y257" s="1060"/>
      <c r="Z257" s="1060"/>
      <c r="AA257" s="1544"/>
      <c r="AB257" s="491"/>
      <c r="AC257" s="491"/>
      <c r="AD257" s="491"/>
      <c r="AE257" s="491"/>
    </row>
    <row r="258" spans="1:31" s="3813" customFormat="1" ht="11.25" customHeight="1">
      <c r="A258" s="895"/>
      <c r="B258" s="1548"/>
      <c r="C258" s="1548"/>
      <c r="D258" s="276"/>
      <c r="K258" s="1060"/>
      <c r="L258" s="1548"/>
      <c r="M258" s="1548"/>
      <c r="N258" s="1060"/>
      <c r="O258" s="1060"/>
      <c r="P258" s="1060"/>
      <c r="Q258" s="1060"/>
      <c r="R258" s="1548"/>
      <c r="S258" s="1060"/>
      <c r="T258" s="1060"/>
      <c r="U258" s="469"/>
      <c r="V258" s="1060"/>
      <c r="W258" s="1060"/>
      <c r="X258" s="1060"/>
      <c r="Y258" s="1060"/>
      <c r="Z258" s="1060"/>
      <c r="AA258" s="1544"/>
      <c r="AB258" s="491"/>
      <c r="AC258" s="491"/>
      <c r="AD258" s="491"/>
      <c r="AE258" s="491"/>
    </row>
    <row r="259" spans="1:31" s="3813" customFormat="1" ht="11.25" customHeight="1">
      <c r="A259" s="895"/>
      <c r="B259" s="1548"/>
      <c r="C259" s="1548"/>
      <c r="D259" s="276"/>
      <c r="K259" s="1060"/>
      <c r="L259" s="1548"/>
      <c r="M259" s="1548"/>
      <c r="N259" s="1060"/>
      <c r="O259" s="1060"/>
      <c r="P259" s="1060"/>
      <c r="Q259" s="1060"/>
      <c r="R259" s="1548"/>
      <c r="S259" s="1060"/>
      <c r="T259" s="1060"/>
      <c r="U259" s="469"/>
      <c r="V259" s="1060"/>
      <c r="W259" s="1060"/>
      <c r="X259" s="1060"/>
      <c r="Y259" s="1060"/>
      <c r="Z259" s="1060"/>
      <c r="AA259" s="1544"/>
      <c r="AB259" s="491"/>
      <c r="AC259" s="491"/>
      <c r="AD259" s="491"/>
      <c r="AE259" s="491"/>
    </row>
    <row r="260" spans="1:31" s="3813" customFormat="1" ht="11.25" customHeight="1">
      <c r="A260" s="895"/>
      <c r="B260" s="1548"/>
      <c r="C260" s="1548"/>
      <c r="D260" s="276"/>
      <c r="K260" s="1060"/>
      <c r="L260" s="1548"/>
      <c r="M260" s="1548"/>
      <c r="N260" s="1060"/>
      <c r="O260" s="1060"/>
      <c r="P260" s="1060"/>
      <c r="Q260" s="1060"/>
      <c r="R260" s="1548"/>
      <c r="S260" s="1060"/>
      <c r="T260" s="1060"/>
      <c r="U260" s="469"/>
      <c r="V260" s="1060"/>
      <c r="W260" s="1060"/>
      <c r="X260" s="1060"/>
      <c r="Y260" s="1060"/>
      <c r="Z260" s="1060"/>
      <c r="AA260" s="1544"/>
      <c r="AB260" s="491"/>
      <c r="AC260" s="491"/>
      <c r="AD260" s="491"/>
      <c r="AE260" s="491"/>
    </row>
    <row r="261" spans="1:31" s="3813" customFormat="1" ht="11.25" customHeight="1">
      <c r="A261" s="895"/>
      <c r="B261" s="1548"/>
      <c r="C261" s="1548"/>
      <c r="D261" s="276"/>
      <c r="K261" s="1060"/>
      <c r="L261" s="1548"/>
      <c r="M261" s="1548"/>
      <c r="N261" s="1060"/>
      <c r="O261" s="1060"/>
      <c r="P261" s="1060"/>
      <c r="Q261" s="1060"/>
      <c r="R261" s="1548"/>
      <c r="S261" s="1060"/>
      <c r="T261" s="1060"/>
      <c r="U261" s="469"/>
      <c r="V261" s="1060"/>
      <c r="W261" s="1060"/>
      <c r="X261" s="1060"/>
      <c r="Y261" s="1060"/>
      <c r="Z261" s="1060"/>
      <c r="AA261" s="1544"/>
      <c r="AB261" s="491"/>
      <c r="AC261" s="491"/>
      <c r="AD261" s="491"/>
      <c r="AE261" s="491"/>
    </row>
    <row r="262" spans="1:31" s="3813" customFormat="1" ht="11.25" customHeight="1">
      <c r="A262" s="895"/>
      <c r="B262" s="1548"/>
      <c r="C262" s="1548"/>
      <c r="D262" s="276"/>
      <c r="K262" s="1060"/>
      <c r="L262" s="1548"/>
      <c r="M262" s="1548"/>
      <c r="N262" s="1060"/>
      <c r="O262" s="1060"/>
      <c r="P262" s="1060"/>
      <c r="Q262" s="1060"/>
      <c r="R262" s="1548"/>
      <c r="S262" s="1060"/>
      <c r="T262" s="1060"/>
      <c r="U262" s="469"/>
      <c r="V262" s="1060"/>
      <c r="W262" s="1060"/>
      <c r="X262" s="1060"/>
      <c r="Y262" s="1060"/>
      <c r="Z262" s="1060"/>
      <c r="AA262" s="1544"/>
      <c r="AB262" s="491"/>
      <c r="AC262" s="491"/>
      <c r="AD262" s="491"/>
      <c r="AE262" s="491"/>
    </row>
    <row r="263" spans="1:31" s="3813" customFormat="1" ht="11.25" customHeight="1">
      <c r="A263" s="895"/>
      <c r="B263" s="1548"/>
      <c r="C263" s="1548"/>
      <c r="D263" s="276"/>
      <c r="K263" s="1060"/>
      <c r="L263" s="1548"/>
      <c r="M263" s="1548"/>
      <c r="N263" s="1060"/>
      <c r="O263" s="1060"/>
      <c r="P263" s="1060"/>
      <c r="Q263" s="1060"/>
      <c r="R263" s="1548"/>
      <c r="S263" s="1060"/>
      <c r="T263" s="1060"/>
      <c r="U263" s="469"/>
      <c r="V263" s="1060"/>
      <c r="W263" s="1060"/>
      <c r="X263" s="1060"/>
      <c r="Y263" s="1060"/>
      <c r="Z263" s="1060"/>
      <c r="AA263" s="1544"/>
      <c r="AB263" s="491"/>
      <c r="AC263" s="491"/>
      <c r="AD263" s="491"/>
      <c r="AE263" s="491"/>
    </row>
    <row r="264" spans="1:31" s="3813" customFormat="1" ht="11.25" customHeight="1">
      <c r="A264" s="895"/>
      <c r="B264" s="1548"/>
      <c r="C264" s="1548"/>
      <c r="D264" s="276"/>
      <c r="K264" s="1060"/>
      <c r="L264" s="1548"/>
      <c r="M264" s="1548"/>
      <c r="N264" s="1060"/>
      <c r="O264" s="1060"/>
      <c r="P264" s="1060"/>
      <c r="Q264" s="1060"/>
      <c r="R264" s="1548"/>
      <c r="S264" s="1060"/>
      <c r="T264" s="1060"/>
      <c r="U264" s="469"/>
      <c r="V264" s="1060"/>
      <c r="W264" s="1060"/>
      <c r="X264" s="1060"/>
      <c r="Y264" s="1060"/>
      <c r="Z264" s="1060"/>
      <c r="AA264" s="1544"/>
      <c r="AB264" s="491"/>
      <c r="AC264" s="491"/>
      <c r="AD264" s="491"/>
      <c r="AE264" s="491"/>
    </row>
    <row r="265" spans="1:31" s="3813" customFormat="1" ht="11.25" customHeight="1">
      <c r="A265" s="895"/>
      <c r="B265" s="1548"/>
      <c r="C265" s="1548"/>
      <c r="D265" s="276"/>
      <c r="K265" s="1060"/>
      <c r="L265" s="1548"/>
      <c r="M265" s="1548"/>
      <c r="N265" s="1060"/>
      <c r="O265" s="1060"/>
      <c r="P265" s="1060"/>
      <c r="Q265" s="1060"/>
      <c r="R265" s="1548"/>
      <c r="S265" s="1060"/>
      <c r="T265" s="1060"/>
      <c r="U265" s="469"/>
      <c r="V265" s="1060"/>
      <c r="W265" s="1060"/>
      <c r="X265" s="1060"/>
      <c r="Y265" s="1060"/>
      <c r="Z265" s="1060"/>
      <c r="AA265" s="1544"/>
      <c r="AB265" s="491"/>
      <c r="AC265" s="491"/>
      <c r="AD265" s="491"/>
      <c r="AE265" s="491"/>
    </row>
    <row r="266" spans="1:31" s="3813" customFormat="1" ht="11.25" customHeight="1">
      <c r="A266" s="895"/>
      <c r="B266" s="1548"/>
      <c r="C266" s="1548"/>
      <c r="D266" s="276"/>
      <c r="K266" s="1060"/>
      <c r="L266" s="1548"/>
      <c r="M266" s="1548"/>
      <c r="N266" s="1060"/>
      <c r="O266" s="1060"/>
      <c r="P266" s="1060"/>
      <c r="Q266" s="1060"/>
      <c r="R266" s="1548"/>
      <c r="S266" s="1060"/>
      <c r="T266" s="1060"/>
      <c r="U266" s="469"/>
      <c r="V266" s="1060"/>
      <c r="W266" s="1060"/>
      <c r="X266" s="1060"/>
      <c r="Y266" s="1060"/>
      <c r="Z266" s="1060"/>
      <c r="AA266" s="1544"/>
      <c r="AB266" s="491"/>
      <c r="AC266" s="491"/>
      <c r="AD266" s="491"/>
      <c r="AE266" s="491"/>
    </row>
    <row r="267" spans="1:31" s="3813" customFormat="1" ht="11.25" customHeight="1">
      <c r="A267" s="895"/>
      <c r="B267" s="1548"/>
      <c r="C267" s="1548"/>
      <c r="D267" s="276"/>
      <c r="K267" s="1060"/>
      <c r="L267" s="1548"/>
      <c r="M267" s="1548"/>
      <c r="N267" s="1060"/>
      <c r="O267" s="1060"/>
      <c r="P267" s="1060"/>
      <c r="Q267" s="1060"/>
      <c r="R267" s="1548"/>
      <c r="S267" s="1060"/>
      <c r="T267" s="1060"/>
      <c r="U267" s="469"/>
      <c r="V267" s="1060"/>
      <c r="W267" s="1060"/>
      <c r="X267" s="1060"/>
      <c r="Y267" s="1060"/>
      <c r="Z267" s="1060"/>
      <c r="AA267" s="1544"/>
      <c r="AB267" s="491"/>
      <c r="AC267" s="491"/>
      <c r="AD267" s="491"/>
      <c r="AE267" s="491"/>
    </row>
    <row r="268" spans="1:31" s="3813" customFormat="1" ht="11.25" customHeight="1">
      <c r="A268" s="895"/>
      <c r="B268" s="1548"/>
      <c r="C268" s="1548"/>
      <c r="D268" s="276"/>
      <c r="K268" s="1060"/>
      <c r="L268" s="1548"/>
      <c r="M268" s="1548"/>
      <c r="N268" s="1060"/>
      <c r="O268" s="1060"/>
      <c r="P268" s="1060"/>
      <c r="Q268" s="1060"/>
      <c r="R268" s="1548"/>
      <c r="S268" s="1060"/>
      <c r="T268" s="1060"/>
      <c r="U268" s="469"/>
      <c r="V268" s="1060"/>
      <c r="W268" s="1060"/>
      <c r="X268" s="1060"/>
      <c r="Y268" s="1060"/>
      <c r="Z268" s="1060"/>
      <c r="AA268" s="1544"/>
      <c r="AB268" s="491"/>
      <c r="AC268" s="491"/>
      <c r="AD268" s="491"/>
      <c r="AE268" s="491"/>
    </row>
    <row r="269" spans="1:31" s="3813" customFormat="1" ht="11.25" customHeight="1">
      <c r="A269" s="895"/>
      <c r="B269" s="1548"/>
      <c r="C269" s="1548"/>
      <c r="D269" s="276"/>
      <c r="K269" s="1060"/>
      <c r="L269" s="1548"/>
      <c r="M269" s="1548"/>
      <c r="N269" s="1060"/>
      <c r="O269" s="1060"/>
      <c r="P269" s="1060"/>
      <c r="Q269" s="1060"/>
      <c r="R269" s="1548"/>
      <c r="S269" s="1060"/>
      <c r="T269" s="1060"/>
      <c r="U269" s="469"/>
      <c r="V269" s="1060"/>
      <c r="W269" s="1060"/>
      <c r="X269" s="1060"/>
      <c r="Y269" s="1060"/>
      <c r="Z269" s="1060"/>
      <c r="AA269" s="1544"/>
      <c r="AB269" s="491"/>
      <c r="AC269" s="491"/>
      <c r="AD269" s="491"/>
      <c r="AE269" s="491"/>
    </row>
    <row r="270" spans="1:31" s="3813" customFormat="1" ht="11.25" customHeight="1">
      <c r="A270" s="895"/>
      <c r="B270" s="1548"/>
      <c r="C270" s="1548"/>
      <c r="D270" s="276"/>
      <c r="K270" s="1060"/>
      <c r="L270" s="1548"/>
      <c r="M270" s="1548"/>
      <c r="N270" s="1060"/>
      <c r="O270" s="1060"/>
      <c r="P270" s="1060"/>
      <c r="Q270" s="1060"/>
      <c r="R270" s="1548"/>
      <c r="S270" s="1060"/>
      <c r="T270" s="1060"/>
      <c r="U270" s="469"/>
      <c r="V270" s="1060"/>
      <c r="W270" s="1060"/>
      <c r="X270" s="1060"/>
      <c r="Y270" s="1060"/>
      <c r="Z270" s="1060"/>
      <c r="AA270" s="1544"/>
      <c r="AB270" s="491"/>
      <c r="AC270" s="491"/>
      <c r="AD270" s="491"/>
      <c r="AE270" s="491"/>
    </row>
    <row r="271" spans="1:31" s="3813" customFormat="1" ht="11.25" customHeight="1">
      <c r="A271" s="895"/>
      <c r="B271" s="1548"/>
      <c r="C271" s="1548"/>
      <c r="D271" s="276"/>
      <c r="K271" s="1060"/>
      <c r="L271" s="1548"/>
      <c r="M271" s="1548"/>
      <c r="N271" s="1060"/>
      <c r="O271" s="1060"/>
      <c r="P271" s="1060"/>
      <c r="Q271" s="1060"/>
      <c r="R271" s="1548"/>
      <c r="S271" s="1060"/>
      <c r="T271" s="1060"/>
      <c r="U271" s="469"/>
      <c r="V271" s="1060"/>
      <c r="W271" s="1060"/>
      <c r="X271" s="1060"/>
      <c r="Y271" s="1060"/>
      <c r="Z271" s="1060"/>
      <c r="AA271" s="1544"/>
      <c r="AB271" s="491"/>
      <c r="AC271" s="491"/>
      <c r="AD271" s="491"/>
      <c r="AE271" s="491"/>
    </row>
    <row r="272" spans="1:31" s="3813" customFormat="1" ht="11.25" customHeight="1">
      <c r="A272" s="895"/>
      <c r="B272" s="1548"/>
      <c r="C272" s="1548"/>
      <c r="D272" s="276"/>
      <c r="K272" s="1060"/>
      <c r="L272" s="1548"/>
      <c r="M272" s="1548"/>
      <c r="N272" s="1060"/>
      <c r="O272" s="1060"/>
      <c r="P272" s="1060"/>
      <c r="Q272" s="1060"/>
      <c r="R272" s="1548"/>
      <c r="S272" s="1060"/>
      <c r="T272" s="1060"/>
      <c r="U272" s="469"/>
      <c r="V272" s="1060"/>
      <c r="W272" s="1060"/>
      <c r="X272" s="1060"/>
      <c r="Y272" s="1060"/>
      <c r="Z272" s="1060"/>
      <c r="AA272" s="1544"/>
      <c r="AB272" s="491"/>
      <c r="AC272" s="491"/>
      <c r="AD272" s="491"/>
      <c r="AE272" s="491"/>
    </row>
    <row r="273" spans="1:31" s="3813" customFormat="1" ht="11.25" customHeight="1">
      <c r="A273" s="895"/>
      <c r="B273" s="1548"/>
      <c r="C273" s="1548"/>
      <c r="D273" s="276"/>
      <c r="K273" s="1060"/>
      <c r="L273" s="1548"/>
      <c r="M273" s="1548"/>
      <c r="N273" s="1060"/>
      <c r="O273" s="1060"/>
      <c r="P273" s="1060"/>
      <c r="Q273" s="1060"/>
      <c r="R273" s="1548"/>
      <c r="S273" s="1060"/>
      <c r="T273" s="1060"/>
      <c r="U273" s="469"/>
      <c r="V273" s="1060"/>
      <c r="W273" s="1060"/>
      <c r="X273" s="1060"/>
      <c r="Y273" s="1060"/>
      <c r="Z273" s="1060"/>
      <c r="AA273" s="1544"/>
      <c r="AB273" s="491"/>
      <c r="AC273" s="491"/>
      <c r="AD273" s="491"/>
      <c r="AE273" s="491"/>
    </row>
    <row r="274" spans="1:31" s="3813" customFormat="1" ht="11.25" customHeight="1">
      <c r="A274" s="895"/>
      <c r="B274" s="1548"/>
      <c r="C274" s="1548"/>
      <c r="D274" s="276"/>
      <c r="K274" s="1060"/>
      <c r="L274" s="1548"/>
      <c r="M274" s="1548"/>
      <c r="N274" s="1060"/>
      <c r="O274" s="1060"/>
      <c r="P274" s="1060"/>
      <c r="Q274" s="1060"/>
      <c r="R274" s="1548"/>
      <c r="S274" s="1060"/>
      <c r="T274" s="1060"/>
      <c r="U274" s="469"/>
      <c r="V274" s="1060"/>
      <c r="W274" s="1060"/>
      <c r="X274" s="1060"/>
      <c r="Y274" s="1060"/>
      <c r="Z274" s="1060"/>
      <c r="AA274" s="1544"/>
      <c r="AB274" s="491"/>
      <c r="AC274" s="491"/>
      <c r="AD274" s="491"/>
      <c r="AE274" s="491"/>
    </row>
    <row r="275" spans="1:31" s="3813" customFormat="1" ht="11.25" customHeight="1">
      <c r="A275" s="895"/>
      <c r="B275" s="1548"/>
      <c r="C275" s="1548"/>
      <c r="D275" s="276"/>
      <c r="K275" s="1060"/>
      <c r="L275" s="1548"/>
      <c r="M275" s="1548"/>
      <c r="N275" s="1060"/>
      <c r="O275" s="1060"/>
      <c r="P275" s="1060"/>
      <c r="Q275" s="1060"/>
      <c r="R275" s="1548"/>
      <c r="S275" s="1060"/>
      <c r="T275" s="1060"/>
      <c r="U275" s="469"/>
      <c r="V275" s="1060"/>
      <c r="W275" s="1060"/>
      <c r="X275" s="1060"/>
      <c r="Y275" s="1060"/>
      <c r="Z275" s="1060"/>
      <c r="AA275" s="1544"/>
      <c r="AB275" s="491"/>
      <c r="AC275" s="491"/>
      <c r="AD275" s="491"/>
      <c r="AE275" s="491"/>
    </row>
    <row r="276" spans="1:31" s="3813" customFormat="1" ht="11.25" customHeight="1">
      <c r="A276" s="895"/>
      <c r="B276" s="1548"/>
      <c r="C276" s="1548"/>
      <c r="D276" s="276"/>
      <c r="K276" s="1060"/>
      <c r="L276" s="1548"/>
      <c r="M276" s="1548"/>
      <c r="N276" s="1060"/>
      <c r="O276" s="1060"/>
      <c r="P276" s="1060"/>
      <c r="Q276" s="1060"/>
      <c r="R276" s="1548"/>
      <c r="S276" s="1060"/>
      <c r="T276" s="1060"/>
      <c r="U276" s="469"/>
      <c r="V276" s="1060"/>
      <c r="W276" s="1060"/>
      <c r="X276" s="1060"/>
      <c r="Y276" s="1060"/>
      <c r="Z276" s="1060"/>
      <c r="AA276" s="1544"/>
      <c r="AB276" s="491"/>
      <c r="AC276" s="491"/>
      <c r="AD276" s="491"/>
      <c r="AE276" s="491"/>
    </row>
    <row r="277" spans="1:31" s="3813" customFormat="1" ht="11.25" customHeight="1">
      <c r="A277" s="895"/>
      <c r="B277" s="1548"/>
      <c r="C277" s="1548"/>
      <c r="D277" s="276"/>
      <c r="K277" s="1060"/>
      <c r="L277" s="1548"/>
      <c r="M277" s="1548"/>
      <c r="N277" s="1060"/>
      <c r="O277" s="1060"/>
      <c r="P277" s="1060"/>
      <c r="Q277" s="1060"/>
      <c r="R277" s="1548"/>
      <c r="S277" s="1060"/>
      <c r="T277" s="1060"/>
      <c r="U277" s="469"/>
      <c r="V277" s="1060"/>
      <c r="W277" s="1060"/>
      <c r="X277" s="1060"/>
      <c r="Y277" s="1060"/>
      <c r="Z277" s="1060"/>
      <c r="AA277" s="1544"/>
      <c r="AB277" s="491"/>
      <c r="AC277" s="491"/>
      <c r="AD277" s="491"/>
      <c r="AE277" s="491"/>
    </row>
    <row r="278" spans="1:31" s="3813" customFormat="1" ht="11.25" customHeight="1">
      <c r="A278" s="895"/>
      <c r="B278" s="1548"/>
      <c r="C278" s="1548"/>
      <c r="D278" s="276"/>
      <c r="K278" s="1060"/>
      <c r="L278" s="1548"/>
      <c r="M278" s="1548"/>
      <c r="N278" s="1060"/>
      <c r="O278" s="1060"/>
      <c r="P278" s="1060"/>
      <c r="Q278" s="1060"/>
      <c r="R278" s="1548"/>
      <c r="S278" s="1060"/>
      <c r="T278" s="1060"/>
      <c r="U278" s="469"/>
      <c r="V278" s="1060"/>
      <c r="W278" s="1060"/>
      <c r="X278" s="1060"/>
      <c r="Y278" s="1060"/>
      <c r="Z278" s="1060"/>
      <c r="AA278" s="1544"/>
      <c r="AB278" s="491"/>
      <c r="AC278" s="491"/>
      <c r="AD278" s="491"/>
      <c r="AE278" s="491"/>
    </row>
    <row r="279" spans="1:31" s="3813" customFormat="1" ht="11.25" customHeight="1">
      <c r="A279" s="895"/>
      <c r="B279" s="1548"/>
      <c r="C279" s="1548"/>
      <c r="D279" s="276"/>
      <c r="K279" s="1060"/>
      <c r="L279" s="1548"/>
      <c r="M279" s="1548"/>
      <c r="N279" s="1060"/>
      <c r="O279" s="1060"/>
      <c r="P279" s="1060"/>
      <c r="Q279" s="1060"/>
      <c r="R279" s="1548"/>
      <c r="S279" s="1060"/>
      <c r="T279" s="1060"/>
      <c r="U279" s="469"/>
      <c r="V279" s="1060"/>
      <c r="W279" s="1060"/>
      <c r="X279" s="1060"/>
      <c r="Y279" s="1060"/>
      <c r="Z279" s="1060"/>
      <c r="AA279" s="1544"/>
      <c r="AB279" s="491"/>
      <c r="AC279" s="491"/>
      <c r="AD279" s="491"/>
      <c r="AE279" s="491"/>
    </row>
    <row r="280" spans="1:31" s="3813" customFormat="1" ht="11.25" customHeight="1">
      <c r="A280" s="895"/>
      <c r="B280" s="1548"/>
      <c r="C280" s="1548"/>
      <c r="D280" s="276"/>
      <c r="K280" s="1060"/>
      <c r="L280" s="1548"/>
      <c r="M280" s="1548"/>
      <c r="N280" s="1060"/>
      <c r="O280" s="1060"/>
      <c r="P280" s="1060"/>
      <c r="Q280" s="1060"/>
      <c r="R280" s="1548"/>
      <c r="S280" s="1060"/>
      <c r="T280" s="1060"/>
      <c r="U280" s="469"/>
      <c r="V280" s="1060"/>
      <c r="W280" s="1060"/>
      <c r="X280" s="1060"/>
      <c r="Y280" s="1060"/>
      <c r="Z280" s="1060"/>
      <c r="AA280" s="1544"/>
      <c r="AB280" s="491"/>
      <c r="AC280" s="491"/>
      <c r="AD280" s="491"/>
      <c r="AE280" s="491"/>
    </row>
    <row r="281" spans="1:31" s="3813" customFormat="1" ht="11.25" customHeight="1">
      <c r="A281" s="895"/>
      <c r="B281" s="1548"/>
      <c r="C281" s="1548"/>
      <c r="D281" s="276"/>
      <c r="K281" s="1060"/>
      <c r="L281" s="1548"/>
      <c r="M281" s="1548"/>
      <c r="N281" s="1060"/>
      <c r="O281" s="1060"/>
      <c r="P281" s="1060"/>
      <c r="Q281" s="1060"/>
      <c r="R281" s="1548"/>
      <c r="S281" s="1060"/>
      <c r="T281" s="1060"/>
      <c r="U281" s="469"/>
      <c r="V281" s="1060"/>
      <c r="W281" s="1060"/>
      <c r="X281" s="1060"/>
      <c r="Y281" s="1060"/>
      <c r="Z281" s="1060"/>
      <c r="AA281" s="1544"/>
      <c r="AB281" s="491"/>
      <c r="AC281" s="491"/>
      <c r="AD281" s="491"/>
      <c r="AE281" s="491"/>
    </row>
    <row r="282" spans="1:31" s="3813" customFormat="1" ht="11.25" customHeight="1">
      <c r="A282" s="895"/>
      <c r="B282" s="1548"/>
      <c r="C282" s="1548"/>
      <c r="D282" s="276"/>
      <c r="K282" s="1060"/>
      <c r="L282" s="1548"/>
      <c r="M282" s="1548"/>
      <c r="N282" s="1060"/>
      <c r="O282" s="1060"/>
      <c r="P282" s="1060"/>
      <c r="Q282" s="1060"/>
      <c r="R282" s="1548"/>
      <c r="S282" s="1060"/>
      <c r="T282" s="1060"/>
      <c r="U282" s="469"/>
      <c r="V282" s="1060"/>
      <c r="W282" s="1060"/>
      <c r="X282" s="1060"/>
      <c r="Y282" s="1060"/>
      <c r="Z282" s="1060"/>
      <c r="AA282" s="1544"/>
      <c r="AB282" s="491"/>
      <c r="AC282" s="491"/>
      <c r="AD282" s="491"/>
      <c r="AE282" s="491"/>
    </row>
    <row r="283" spans="1:31" s="3813" customFormat="1" ht="11.25" customHeight="1">
      <c r="A283" s="895"/>
      <c r="B283" s="1548"/>
      <c r="C283" s="1548"/>
      <c r="D283" s="276"/>
      <c r="K283" s="1060"/>
      <c r="L283" s="1548"/>
      <c r="M283" s="1548"/>
      <c r="N283" s="1060"/>
      <c r="O283" s="1060"/>
      <c r="P283" s="1060"/>
      <c r="Q283" s="1060"/>
      <c r="R283" s="1548"/>
      <c r="S283" s="1060"/>
      <c r="T283" s="1060"/>
      <c r="U283" s="469"/>
      <c r="V283" s="1060"/>
      <c r="W283" s="1060"/>
      <c r="X283" s="1060"/>
      <c r="Y283" s="1060"/>
      <c r="Z283" s="1060"/>
      <c r="AA283" s="1544"/>
      <c r="AB283" s="491"/>
      <c r="AC283" s="491"/>
      <c r="AD283" s="491"/>
      <c r="AE283" s="491"/>
    </row>
    <row r="284" spans="1:31" s="3813" customFormat="1" ht="11.25" customHeight="1">
      <c r="A284" s="895"/>
      <c r="B284" s="1548"/>
      <c r="C284" s="1548"/>
      <c r="D284" s="276"/>
      <c r="K284" s="1060"/>
      <c r="L284" s="1548"/>
      <c r="M284" s="1548"/>
      <c r="N284" s="1060"/>
      <c r="O284" s="1060"/>
      <c r="P284" s="1060"/>
      <c r="Q284" s="1060"/>
      <c r="R284" s="1548"/>
      <c r="S284" s="1060"/>
      <c r="T284" s="1060"/>
      <c r="U284" s="469"/>
      <c r="V284" s="1060"/>
      <c r="W284" s="1060"/>
      <c r="X284" s="1060"/>
      <c r="Y284" s="1060"/>
      <c r="Z284" s="1060"/>
      <c r="AA284" s="1544"/>
      <c r="AB284" s="491"/>
      <c r="AC284" s="491"/>
      <c r="AD284" s="491"/>
      <c r="AE284" s="491"/>
    </row>
    <row r="285" spans="1:31" s="3813" customFormat="1" ht="11.25" customHeight="1">
      <c r="A285" s="895"/>
      <c r="B285" s="1548"/>
      <c r="C285" s="1548"/>
      <c r="D285" s="276"/>
      <c r="K285" s="1060"/>
      <c r="L285" s="1548"/>
      <c r="M285" s="1548"/>
      <c r="N285" s="1060"/>
      <c r="O285" s="1060"/>
      <c r="P285" s="1060"/>
      <c r="Q285" s="1060"/>
      <c r="R285" s="1548"/>
      <c r="S285" s="1060"/>
      <c r="T285" s="1060"/>
      <c r="U285" s="469"/>
      <c r="V285" s="1060"/>
      <c r="W285" s="1060"/>
      <c r="X285" s="1060"/>
      <c r="Y285" s="1060"/>
      <c r="Z285" s="1060"/>
      <c r="AA285" s="1544"/>
      <c r="AB285" s="491"/>
      <c r="AC285" s="491"/>
      <c r="AD285" s="491"/>
      <c r="AE285" s="491"/>
    </row>
    <row r="286" spans="1:31" s="3813" customFormat="1" ht="11.25" customHeight="1">
      <c r="A286" s="895"/>
      <c r="B286" s="1548"/>
      <c r="C286" s="1548"/>
      <c r="D286" s="276"/>
      <c r="K286" s="1060"/>
      <c r="L286" s="1548"/>
      <c r="M286" s="1548"/>
      <c r="N286" s="1060"/>
      <c r="O286" s="1060"/>
      <c r="P286" s="1060"/>
      <c r="Q286" s="1060"/>
      <c r="R286" s="1548"/>
      <c r="S286" s="1060"/>
      <c r="T286" s="1060"/>
      <c r="U286" s="469"/>
      <c r="V286" s="1060"/>
      <c r="W286" s="1060"/>
      <c r="X286" s="1060"/>
      <c r="Y286" s="1060"/>
      <c r="Z286" s="1060"/>
      <c r="AA286" s="1544"/>
      <c r="AB286" s="491"/>
      <c r="AC286" s="491"/>
      <c r="AD286" s="491"/>
      <c r="AE286" s="491"/>
    </row>
    <row r="287" spans="1:31" s="3813" customFormat="1" ht="11.25" customHeight="1">
      <c r="A287" s="895"/>
      <c r="B287" s="1548"/>
      <c r="C287" s="1548"/>
      <c r="D287" s="276"/>
      <c r="K287" s="1060"/>
      <c r="L287" s="1548"/>
      <c r="M287" s="1548"/>
      <c r="N287" s="1060"/>
      <c r="O287" s="1060"/>
      <c r="P287" s="1060"/>
      <c r="Q287" s="1060"/>
      <c r="R287" s="1548"/>
      <c r="S287" s="1060"/>
      <c r="T287" s="1060"/>
      <c r="U287" s="469"/>
      <c r="V287" s="1060"/>
      <c r="W287" s="1060"/>
      <c r="X287" s="1060"/>
      <c r="Y287" s="1060"/>
      <c r="Z287" s="1060"/>
      <c r="AA287" s="1544"/>
      <c r="AB287" s="491"/>
      <c r="AC287" s="491"/>
      <c r="AD287" s="491"/>
      <c r="AE287" s="491"/>
    </row>
    <row r="288" spans="1:31" s="3813" customFormat="1" ht="11.25" customHeight="1">
      <c r="A288" s="895"/>
      <c r="B288" s="1548"/>
      <c r="C288" s="1548"/>
      <c r="D288" s="276"/>
      <c r="K288" s="1060"/>
      <c r="L288" s="1548"/>
      <c r="M288" s="1548"/>
      <c r="N288" s="1060"/>
      <c r="O288" s="1060"/>
      <c r="P288" s="1060"/>
      <c r="Q288" s="1060"/>
      <c r="R288" s="1548"/>
      <c r="S288" s="1060"/>
      <c r="T288" s="1060"/>
      <c r="U288" s="469"/>
      <c r="V288" s="1060"/>
      <c r="W288" s="1060"/>
      <c r="X288" s="1060"/>
      <c r="Y288" s="1060"/>
      <c r="Z288" s="1060"/>
      <c r="AA288" s="1544"/>
      <c r="AB288" s="491"/>
      <c r="AC288" s="491"/>
      <c r="AD288" s="491"/>
      <c r="AE288" s="491"/>
    </row>
    <row r="292" spans="1:31" ht="11.25" customHeight="1">
      <c r="A292" s="898"/>
      <c r="B292" s="1543"/>
      <c r="D292" s="1543"/>
      <c r="K292" s="1543"/>
      <c r="N292" s="1543"/>
      <c r="O292" s="1543"/>
      <c r="P292" s="1543"/>
      <c r="Q292" s="1543"/>
      <c r="S292" s="1543"/>
      <c r="T292" s="1543"/>
      <c r="U292" s="1543"/>
      <c r="V292" s="1543"/>
      <c r="W292" s="1543"/>
      <c r="X292" s="1543"/>
      <c r="Y292" s="1543"/>
      <c r="Z292" s="1543"/>
      <c r="AA292" s="1543"/>
      <c r="AB292" s="1543"/>
      <c r="AC292" s="1543"/>
      <c r="AD292" s="1543"/>
      <c r="AE292" s="1543"/>
    </row>
    <row r="293" spans="1:31" ht="11.25" customHeight="1">
      <c r="A293" s="898"/>
      <c r="B293" s="1543"/>
      <c r="D293" s="1543"/>
      <c r="K293" s="1543"/>
      <c r="N293" s="1543"/>
      <c r="O293" s="1543"/>
      <c r="P293" s="1543"/>
      <c r="Q293" s="1543"/>
      <c r="S293" s="1543"/>
      <c r="T293" s="1543"/>
      <c r="U293" s="1543"/>
      <c r="V293" s="1543"/>
      <c r="W293" s="1543"/>
      <c r="X293" s="1543"/>
      <c r="Y293" s="1543"/>
      <c r="Z293" s="1543"/>
      <c r="AA293" s="1543"/>
      <c r="AB293" s="1543"/>
      <c r="AC293" s="1543"/>
      <c r="AD293" s="1543"/>
      <c r="AE293" s="1543"/>
    </row>
    <row r="294" spans="1:31" ht="11.25" customHeight="1">
      <c r="A294" s="898"/>
      <c r="B294" s="1543"/>
      <c r="D294" s="1543"/>
      <c r="K294" s="1543"/>
      <c r="N294" s="1543"/>
      <c r="O294" s="1543"/>
      <c r="P294" s="1543"/>
      <c r="Q294" s="1543"/>
      <c r="S294" s="1543"/>
      <c r="T294" s="1543"/>
      <c r="U294" s="1543"/>
      <c r="V294" s="1543"/>
      <c r="W294" s="1543"/>
      <c r="X294" s="1543"/>
      <c r="Y294" s="1543"/>
      <c r="Z294" s="1543"/>
      <c r="AA294" s="1543"/>
      <c r="AB294" s="1543"/>
      <c r="AC294" s="1543"/>
      <c r="AD294" s="1543"/>
      <c r="AE294" s="1543"/>
    </row>
    <row r="295" spans="1:31" ht="11.25" customHeight="1">
      <c r="A295" s="898"/>
      <c r="B295" s="1543"/>
      <c r="D295" s="1543"/>
      <c r="K295" s="1543"/>
      <c r="N295" s="1543"/>
      <c r="O295" s="1543"/>
      <c r="P295" s="1543"/>
      <c r="Q295" s="1543"/>
      <c r="S295" s="1543"/>
      <c r="T295" s="1543"/>
      <c r="U295" s="1543"/>
      <c r="V295" s="1543"/>
      <c r="W295" s="1543"/>
      <c r="X295" s="1543"/>
      <c r="Y295" s="1543"/>
      <c r="Z295" s="1543"/>
      <c r="AA295" s="1543"/>
      <c r="AB295" s="1543"/>
      <c r="AC295" s="1543"/>
      <c r="AD295" s="1543"/>
      <c r="AE295" s="1543"/>
    </row>
    <row r="296" spans="1:31" ht="11.25" customHeight="1">
      <c r="A296" s="898"/>
      <c r="B296" s="1543"/>
      <c r="D296" s="1543"/>
      <c r="K296" s="1543"/>
      <c r="N296" s="1543"/>
      <c r="O296" s="1543"/>
      <c r="P296" s="1543"/>
      <c r="Q296" s="1543"/>
      <c r="S296" s="1543"/>
      <c r="T296" s="1543"/>
      <c r="U296" s="1543"/>
      <c r="V296" s="1543"/>
      <c r="W296" s="1543"/>
      <c r="X296" s="1543"/>
      <c r="Y296" s="1543"/>
      <c r="Z296" s="1543"/>
      <c r="AA296" s="1543"/>
      <c r="AB296" s="1543"/>
      <c r="AC296" s="1543"/>
      <c r="AD296" s="1543"/>
      <c r="AE296" s="1543"/>
    </row>
    <row r="297" spans="1:31" ht="11.25" customHeight="1">
      <c r="A297" s="898"/>
      <c r="B297" s="1543"/>
      <c r="D297" s="1543"/>
      <c r="K297" s="1543"/>
      <c r="N297" s="1543"/>
      <c r="O297" s="1543"/>
      <c r="P297" s="1543"/>
      <c r="Q297" s="1543"/>
      <c r="S297" s="1543"/>
      <c r="T297" s="1543"/>
      <c r="U297" s="1543"/>
      <c r="V297" s="1543"/>
      <c r="W297" s="1543"/>
      <c r="X297" s="1543"/>
      <c r="Y297" s="1543"/>
      <c r="Z297" s="1543"/>
      <c r="AA297" s="1543"/>
      <c r="AB297" s="1543"/>
      <c r="AC297" s="1543"/>
      <c r="AD297" s="1543"/>
      <c r="AE297" s="1543"/>
    </row>
    <row r="298" spans="1:31" ht="11.25" customHeight="1">
      <c r="A298" s="898"/>
      <c r="B298" s="1543"/>
      <c r="D298" s="1543"/>
      <c r="K298" s="1543"/>
      <c r="N298" s="1543"/>
      <c r="O298" s="1543"/>
      <c r="P298" s="1543"/>
      <c r="Q298" s="1543"/>
      <c r="S298" s="1543"/>
      <c r="T298" s="1543"/>
      <c r="U298" s="1543"/>
      <c r="V298" s="1543"/>
      <c r="W298" s="1543"/>
      <c r="X298" s="1543"/>
      <c r="Y298" s="1543"/>
      <c r="Z298" s="1543"/>
      <c r="AA298" s="1543"/>
      <c r="AB298" s="1543"/>
      <c r="AC298" s="1543"/>
      <c r="AD298" s="1543"/>
      <c r="AE298" s="1543"/>
    </row>
    <row r="299" spans="1:31" ht="11.25" customHeight="1">
      <c r="A299" s="898"/>
      <c r="B299" s="1543"/>
      <c r="D299" s="1543"/>
      <c r="K299" s="1543"/>
      <c r="N299" s="1543"/>
      <c r="O299" s="1543"/>
      <c r="P299" s="1543"/>
      <c r="Q299" s="1543"/>
      <c r="S299" s="1543"/>
      <c r="T299" s="1543"/>
      <c r="U299" s="1543"/>
      <c r="V299" s="1543"/>
      <c r="W299" s="1543"/>
      <c r="X299" s="1543"/>
      <c r="Y299" s="1543"/>
      <c r="Z299" s="1543"/>
      <c r="AA299" s="1543"/>
      <c r="AB299" s="1543"/>
      <c r="AC299" s="1543"/>
      <c r="AD299" s="1543"/>
      <c r="AE299" s="1543"/>
    </row>
    <row r="300" spans="1:31" ht="11.25" customHeight="1">
      <c r="A300" s="898"/>
      <c r="B300" s="1543"/>
      <c r="D300" s="1543"/>
      <c r="K300" s="1543"/>
      <c r="N300" s="1543"/>
      <c r="O300" s="1543"/>
      <c r="P300" s="1543"/>
      <c r="Q300" s="1543"/>
      <c r="S300" s="1543"/>
      <c r="T300" s="1543"/>
      <c r="U300" s="1543"/>
      <c r="V300" s="1543"/>
      <c r="W300" s="1543"/>
      <c r="X300" s="1543"/>
      <c r="Y300" s="1543"/>
      <c r="Z300" s="1543"/>
      <c r="AA300" s="1543"/>
      <c r="AB300" s="1543"/>
      <c r="AC300" s="1543"/>
      <c r="AD300" s="1543"/>
      <c r="AE300" s="1543"/>
    </row>
    <row r="301" spans="1:31" ht="11.25" customHeight="1">
      <c r="A301" s="898"/>
      <c r="B301" s="1543"/>
      <c r="D301" s="1543"/>
      <c r="K301" s="1543"/>
      <c r="N301" s="1543"/>
      <c r="O301" s="1543"/>
      <c r="P301" s="1543"/>
      <c r="Q301" s="1543"/>
      <c r="S301" s="1543"/>
      <c r="T301" s="1543"/>
      <c r="U301" s="1543"/>
      <c r="V301" s="1543"/>
      <c r="W301" s="1543"/>
      <c r="X301" s="1543"/>
      <c r="Y301" s="1543"/>
      <c r="Z301" s="1543"/>
      <c r="AA301" s="1543"/>
      <c r="AB301" s="1543"/>
      <c r="AC301" s="1543"/>
      <c r="AD301" s="1543"/>
      <c r="AE301" s="1543"/>
    </row>
    <row r="302" spans="1:31" ht="11.25" customHeight="1">
      <c r="A302" s="898"/>
      <c r="B302" s="1543"/>
      <c r="D302" s="1543"/>
      <c r="K302" s="1543"/>
      <c r="N302" s="1543"/>
      <c r="O302" s="1543"/>
      <c r="P302" s="1543"/>
      <c r="Q302" s="1543"/>
      <c r="S302" s="1543"/>
      <c r="T302" s="1543"/>
      <c r="U302" s="1543"/>
      <c r="V302" s="1543"/>
      <c r="W302" s="1543"/>
      <c r="X302" s="1543"/>
      <c r="Y302" s="1543"/>
      <c r="Z302" s="1543"/>
      <c r="AA302" s="1543"/>
      <c r="AB302" s="1543"/>
      <c r="AC302" s="1543"/>
      <c r="AD302" s="1543"/>
      <c r="AE302" s="1543"/>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3818" hidden="1" customWidth="1"/>
    <col min="2" max="2" width="17" style="1935" hidden="1" customWidth="1"/>
    <col min="3" max="3" width="3.7109375" style="1937" customWidth="1"/>
    <col min="4" max="4" width="1.85546875" style="1937" hidden="1" customWidth="1"/>
    <col min="5" max="6" width="7.7109375" style="1937" customWidth="1"/>
    <col min="7" max="7" width="29.7109375" style="1937" customWidth="1"/>
    <col min="8" max="8" width="3.7109375" style="1937" customWidth="1"/>
    <col min="9" max="9" width="5.42578125" style="1937" customWidth="1"/>
    <col min="10" max="10" width="24.5703125" style="1937" customWidth="1"/>
    <col min="11" max="11" width="24.42578125" style="1937" customWidth="1"/>
    <col min="12" max="12" width="3.7109375" style="1937" customWidth="1"/>
    <col min="13" max="13" width="6.28515625" style="1937" customWidth="1"/>
    <col min="14" max="14" width="25.85546875" style="1937" customWidth="1"/>
    <col min="15" max="18" width="18.7109375" style="1937" customWidth="1"/>
    <col min="19" max="19" width="93.42578125" style="1937" customWidth="1"/>
    <col min="20" max="20" width="10.5703125" style="1937" customWidth="1"/>
    <col min="21" max="21" width="10.5703125" style="3819" customWidth="1"/>
    <col min="22" max="22" width="11.7109375" style="3819" customWidth="1"/>
    <col min="23" max="23" width="10.5703125" style="3820" customWidth="1"/>
    <col min="24" max="27" width="10.5703125" style="1935" customWidth="1"/>
    <col min="28" max="83" width="9.140625" style="1937"/>
  </cols>
  <sheetData>
    <row r="1" spans="1:83" ht="11.25" hidden="1" customHeight="1"/>
    <row r="2" spans="1:83" ht="11.25" hidden="1" customHeight="1"/>
    <row r="3" spans="1:83" ht="11.25" hidden="1" customHeight="1"/>
    <row r="4" spans="1:83" ht="3" customHeight="1">
      <c r="C4" s="435"/>
      <c r="D4" s="435"/>
      <c r="E4" s="435"/>
      <c r="F4" s="435"/>
      <c r="G4" s="435"/>
      <c r="H4" s="435"/>
      <c r="I4" s="435"/>
      <c r="J4" s="435"/>
      <c r="K4" s="87"/>
      <c r="L4" s="87"/>
      <c r="M4" s="87"/>
    </row>
    <row r="5" spans="1:83" ht="28.5" customHeight="1">
      <c r="C5" s="435"/>
      <c r="D5" s="964"/>
      <c r="E5" s="4058" t="str">
        <f>FHD20_NAME_FORM</f>
        <v>Форма 11. Информация о расходах на капитальный и текущий ремонт основных средств</v>
      </c>
      <c r="F5" s="4058"/>
      <c r="G5" s="4058"/>
      <c r="H5" s="4058"/>
      <c r="I5" s="4058"/>
      <c r="J5" s="4058"/>
      <c r="K5" s="4058"/>
      <c r="L5" s="534"/>
      <c r="M5" s="534"/>
    </row>
    <row r="6" spans="1:83" s="1824" customFormat="1" ht="16.5" customHeight="1">
      <c r="A6" s="531"/>
      <c r="B6" s="676"/>
      <c r="C6" s="435"/>
      <c r="D6" s="965"/>
      <c r="E6" s="4004" t="str">
        <f>IF(org=0,"Не определено",org)</f>
        <v>ООО «РИР-Сахалин»</v>
      </c>
      <c r="F6" s="4004"/>
      <c r="G6" s="4004"/>
      <c r="H6" s="4004"/>
      <c r="I6" s="4004"/>
      <c r="J6" s="4004"/>
      <c r="K6" s="4004"/>
      <c r="L6" s="534"/>
      <c r="M6" s="534"/>
      <c r="U6" s="532"/>
      <c r="V6" s="532"/>
      <c r="W6" s="533"/>
      <c r="X6" s="676"/>
      <c r="Y6" s="676"/>
      <c r="Z6" s="676"/>
      <c r="AA6" s="676"/>
    </row>
    <row r="7" spans="1:83" ht="11.25" customHeight="1">
      <c r="C7" s="435"/>
      <c r="D7" s="435"/>
      <c r="E7" s="435"/>
      <c r="F7" s="435"/>
      <c r="G7" s="448"/>
      <c r="H7" s="448"/>
      <c r="I7" s="448"/>
      <c r="J7" s="448"/>
      <c r="K7" s="535"/>
      <c r="L7" s="535"/>
      <c r="M7" s="535"/>
      <c r="R7" s="669"/>
    </row>
    <row r="8" spans="1:83" s="1820" customFormat="1" ht="5.25" customHeight="1">
      <c r="A8" s="542"/>
      <c r="B8" s="491"/>
      <c r="C8" s="276"/>
      <c r="D8" s="276"/>
      <c r="E8" s="276"/>
      <c r="F8" s="276"/>
      <c r="G8" s="884"/>
      <c r="H8" s="884"/>
      <c r="I8" s="884"/>
      <c r="J8" s="884"/>
      <c r="K8" s="925"/>
      <c r="L8" s="925"/>
      <c r="M8" s="925"/>
      <c r="R8" s="926"/>
      <c r="U8" s="532"/>
      <c r="V8" s="532"/>
      <c r="W8" s="543"/>
      <c r="X8" s="491"/>
      <c r="Y8" s="491"/>
      <c r="Z8" s="491"/>
      <c r="AA8" s="491"/>
    </row>
    <row r="9" spans="1:83" ht="18.75" customHeight="1">
      <c r="D9" s="208"/>
      <c r="E9" s="3918" t="s">
        <v>290</v>
      </c>
      <c r="F9" s="3923"/>
      <c r="G9" s="3923"/>
      <c r="H9" s="3923"/>
      <c r="I9" s="3923"/>
      <c r="J9" s="3923"/>
      <c r="K9" s="3923"/>
      <c r="L9" s="3923"/>
      <c r="M9" s="3923"/>
      <c r="N9" s="3923"/>
      <c r="O9" s="3923"/>
      <c r="P9" s="3923"/>
      <c r="Q9" s="3923"/>
      <c r="R9" s="3917"/>
      <c r="S9" s="3946" t="s">
        <v>291</v>
      </c>
      <c r="T9" s="261"/>
    </row>
    <row r="10" spans="1:83" ht="33.75" customHeight="1">
      <c r="D10" s="476" t="s">
        <v>86</v>
      </c>
      <c r="E10" s="3946" t="s">
        <v>86</v>
      </c>
      <c r="F10" s="3946"/>
      <c r="G10" s="447" t="s">
        <v>292</v>
      </c>
      <c r="H10" s="3946" t="s">
        <v>86</v>
      </c>
      <c r="I10" s="3946"/>
      <c r="J10" s="447" t="s">
        <v>585</v>
      </c>
      <c r="K10" s="447" t="s">
        <v>586</v>
      </c>
      <c r="L10" s="3946" t="s">
        <v>86</v>
      </c>
      <c r="M10" s="3946"/>
      <c r="N10" s="447" t="s">
        <v>587</v>
      </c>
      <c r="O10" s="447" t="s">
        <v>588</v>
      </c>
      <c r="P10" s="447" t="s">
        <v>589</v>
      </c>
      <c r="Q10" s="447" t="s">
        <v>590</v>
      </c>
      <c r="R10" s="447" t="s">
        <v>591</v>
      </c>
      <c r="S10" s="3946"/>
      <c r="T10" s="261"/>
    </row>
    <row r="11" spans="1:83" s="1821" customFormat="1" ht="15" hidden="1" customHeight="1">
      <c r="A11" s="959"/>
      <c r="D11" s="932" t="s">
        <v>107</v>
      </c>
      <c r="E11" s="932"/>
      <c r="F11" s="932" t="s">
        <v>108</v>
      </c>
      <c r="G11" s="932" t="s">
        <v>88</v>
      </c>
      <c r="H11" s="932"/>
      <c r="I11" s="932" t="s">
        <v>89</v>
      </c>
      <c r="J11" s="932" t="s">
        <v>109</v>
      </c>
      <c r="K11" s="932" t="s">
        <v>90</v>
      </c>
      <c r="L11" s="932"/>
      <c r="M11" s="932" t="s">
        <v>91</v>
      </c>
      <c r="N11" s="932" t="s">
        <v>110</v>
      </c>
      <c r="O11" s="932" t="s">
        <v>146</v>
      </c>
      <c r="P11" s="932" t="s">
        <v>147</v>
      </c>
      <c r="Q11" s="932" t="s">
        <v>148</v>
      </c>
      <c r="R11" s="932" t="s">
        <v>149</v>
      </c>
      <c r="S11" s="932" t="s">
        <v>150</v>
      </c>
      <c r="U11" s="532"/>
      <c r="V11" s="532"/>
      <c r="W11" s="532"/>
    </row>
    <row r="12" spans="1:83" s="1826" customFormat="1" ht="0.75" customHeight="1">
      <c r="A12" s="536"/>
      <c r="B12" s="289"/>
      <c r="D12" s="473"/>
      <c r="E12" s="272"/>
      <c r="F12" s="272"/>
      <c r="Q12" s="537"/>
      <c r="R12" s="538"/>
      <c r="T12" s="539"/>
      <c r="U12" s="540"/>
      <c r="V12" s="540"/>
      <c r="W12" s="541"/>
      <c r="X12" s="289"/>
      <c r="Y12" s="289"/>
      <c r="Z12" s="289"/>
      <c r="AA12" s="289"/>
    </row>
    <row r="13" spans="1:83" s="1820" customFormat="1" ht="0.75" customHeight="1">
      <c r="A13" s="542"/>
      <c r="B13" s="491"/>
      <c r="D13" s="473" t="s">
        <v>368</v>
      </c>
      <c r="E13" s="485"/>
      <c r="F13" s="485"/>
      <c r="G13" s="485"/>
      <c r="H13" s="485"/>
      <c r="I13" s="485"/>
      <c r="J13" s="485"/>
      <c r="K13" s="485"/>
      <c r="L13" s="485"/>
      <c r="M13" s="485"/>
      <c r="N13" s="485"/>
      <c r="O13" s="485"/>
      <c r="P13" s="485"/>
      <c r="Q13" s="485"/>
      <c r="R13" s="485"/>
      <c r="T13" s="261"/>
      <c r="U13" s="532"/>
      <c r="V13" s="532"/>
      <c r="W13" s="543"/>
      <c r="X13" s="491"/>
      <c r="Y13" s="491"/>
      <c r="Z13" s="491"/>
      <c r="AA13" s="491"/>
    </row>
    <row r="14" spans="1:83" s="1843" customFormat="1" ht="15" hidden="1" customHeight="1">
      <c r="A14" s="544" t="s">
        <v>115</v>
      </c>
      <c r="B14" s="545"/>
      <c r="C14" s="545"/>
      <c r="D14" s="4159" t="s">
        <v>107</v>
      </c>
      <c r="E14" s="4156" t="s">
        <v>103</v>
      </c>
      <c r="F14" s="4157"/>
      <c r="G14" s="4158"/>
      <c r="H14" s="4162">
        <f>IF(A14="","",INDEX(DIFFERENTIATION_UNMERGE_VD,MATCH(A14,DIFFERENTIATION_ID_DIFF,0)))</f>
        <v>0</v>
      </c>
      <c r="I14" s="4162"/>
      <c r="J14" s="4162"/>
      <c r="K14" s="4162"/>
      <c r="L14" s="4162"/>
      <c r="M14" s="4162"/>
      <c r="N14" s="4162"/>
      <c r="O14" s="4162"/>
      <c r="P14" s="4162"/>
      <c r="Q14" s="4162"/>
      <c r="R14" s="4162"/>
      <c r="S14" s="638"/>
      <c r="T14" s="635"/>
      <c r="U14" s="546"/>
      <c r="V14" s="546"/>
      <c r="W14" s="547"/>
      <c r="X14" s="547"/>
      <c r="Y14" s="547"/>
      <c r="Z14" s="547"/>
      <c r="AA14" s="548"/>
      <c r="AB14" s="549"/>
      <c r="AC14" s="4154"/>
      <c r="AD14" s="550"/>
      <c r="AE14" s="551" t="s">
        <v>24</v>
      </c>
      <c r="AF14" s="551"/>
      <c r="AG14" s="552" t="s">
        <v>592</v>
      </c>
      <c r="AH14" s="553">
        <v>3</v>
      </c>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7"/>
      <c r="BW14" s="547"/>
      <c r="BX14" s="547"/>
      <c r="BY14" s="547"/>
      <c r="BZ14" s="547"/>
      <c r="CA14" s="547"/>
      <c r="CB14" s="547"/>
      <c r="CC14" s="547"/>
      <c r="CD14" s="547"/>
      <c r="CE14" s="547"/>
    </row>
    <row r="15" spans="1:83" s="1843" customFormat="1" ht="15" hidden="1" customHeight="1">
      <c r="A15" s="544"/>
      <c r="B15" s="545"/>
      <c r="C15" s="545"/>
      <c r="D15" s="4160"/>
      <c r="E15" s="4156" t="s">
        <v>547</v>
      </c>
      <c r="F15" s="4157"/>
      <c r="G15" s="4158"/>
      <c r="H15" s="4162" t="str">
        <f>IF(A14="","",INDEX(DIFFERENTIATION_UNMERGE_AREA,MATCH(A14,DIFFERENTIATION_ID_DIFF,0)))</f>
        <v/>
      </c>
      <c r="I15" s="4162"/>
      <c r="J15" s="4162"/>
      <c r="K15" s="4162"/>
      <c r="L15" s="4162"/>
      <c r="M15" s="4162"/>
      <c r="N15" s="4162"/>
      <c r="O15" s="4162"/>
      <c r="P15" s="4162"/>
      <c r="Q15" s="4162"/>
      <c r="R15" s="4162"/>
      <c r="S15" s="638"/>
      <c r="T15" s="635"/>
      <c r="U15" s="546"/>
      <c r="V15" s="546"/>
      <c r="W15" s="547"/>
      <c r="X15" s="547"/>
      <c r="Y15" s="547"/>
      <c r="Z15" s="547"/>
      <c r="AA15" s="548"/>
      <c r="AB15" s="549"/>
      <c r="AC15" s="4154"/>
      <c r="AD15" s="550"/>
      <c r="AE15" s="551"/>
      <c r="AF15" s="551"/>
      <c r="AG15" s="552"/>
      <c r="AH15" s="553"/>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7"/>
      <c r="BW15" s="547"/>
      <c r="BX15" s="547"/>
      <c r="BY15" s="547"/>
      <c r="BZ15" s="547"/>
      <c r="CA15" s="547"/>
      <c r="CB15" s="547"/>
      <c r="CC15" s="547"/>
      <c r="CD15" s="547"/>
      <c r="CE15" s="547"/>
    </row>
    <row r="16" spans="1:83" s="1843" customFormat="1" ht="15" hidden="1" customHeight="1">
      <c r="A16" s="544"/>
      <c r="B16" s="545"/>
      <c r="C16" s="545"/>
      <c r="D16" s="4160"/>
      <c r="E16" s="4156" t="s">
        <v>548</v>
      </c>
      <c r="F16" s="4157"/>
      <c r="G16" s="4158"/>
      <c r="H16" s="4162" t="str">
        <f>IF(A14="","",INDEX(DIFFERENTIATION_UNMERGE_SYSTEM,MATCH(A14,DIFFERENTIATION_ID_DIFF,0)))</f>
        <v>без дифференциации</v>
      </c>
      <c r="I16" s="4162"/>
      <c r="J16" s="4162"/>
      <c r="K16" s="4162"/>
      <c r="L16" s="4162"/>
      <c r="M16" s="4162"/>
      <c r="N16" s="4162"/>
      <c r="O16" s="4162"/>
      <c r="P16" s="4162"/>
      <c r="Q16" s="4162"/>
      <c r="R16" s="4162"/>
      <c r="S16" s="638"/>
      <c r="T16" s="635"/>
      <c r="U16" s="546"/>
      <c r="V16" s="546"/>
      <c r="W16" s="547"/>
      <c r="X16" s="547"/>
      <c r="Y16" s="547"/>
      <c r="Z16" s="547"/>
      <c r="AA16" s="548"/>
      <c r="AB16" s="549"/>
      <c r="AC16" s="4154"/>
      <c r="AD16" s="550"/>
      <c r="AE16" s="551"/>
      <c r="AF16" s="551"/>
      <c r="AG16" s="552"/>
      <c r="AH16" s="553"/>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7"/>
      <c r="BW16" s="547"/>
      <c r="BX16" s="547"/>
      <c r="BY16" s="547"/>
      <c r="BZ16" s="547"/>
      <c r="CA16" s="547"/>
      <c r="CB16" s="547"/>
      <c r="CC16" s="547"/>
      <c r="CD16" s="547"/>
      <c r="CE16" s="547"/>
    </row>
    <row r="17" spans="1:83" s="1843" customFormat="1" ht="22.5" hidden="1" customHeight="1">
      <c r="A17" s="554"/>
      <c r="B17" s="351"/>
      <c r="C17" s="346"/>
      <c r="D17" s="4160"/>
      <c r="E17" s="4155" t="s">
        <v>593</v>
      </c>
      <c r="F17" s="4155"/>
      <c r="G17" s="4155"/>
      <c r="H17" s="4155"/>
      <c r="I17" s="4155"/>
      <c r="J17" s="4155"/>
      <c r="K17" s="4155"/>
      <c r="L17" s="4155"/>
      <c r="M17" s="4155"/>
      <c r="N17" s="4155"/>
      <c r="O17" s="4155"/>
      <c r="P17" s="4155"/>
      <c r="Q17" s="483">
        <f>SUMIF(T18:T19,"i",Q18:Q19)</f>
        <v>0</v>
      </c>
      <c r="R17" s="924"/>
      <c r="S17" s="810" t="s">
        <v>594</v>
      </c>
      <c r="T17" s="636" t="s">
        <v>595</v>
      </c>
      <c r="U17" s="4073">
        <v>1</v>
      </c>
      <c r="V17" s="4073" t="str">
        <f>INDEX(B_FHD_FLAG_INDEX_1,1,MATCH(A14,B_FHD_FLAG_DIFFERENTIATION,0))</f>
        <v>отсутствует</v>
      </c>
      <c r="W17" s="351"/>
      <c r="X17" s="351"/>
      <c r="Y17" s="351"/>
      <c r="Z17" s="351"/>
      <c r="AA17" s="437"/>
      <c r="AB17" s="351"/>
      <c r="AC17" s="4154"/>
      <c r="AD17" s="550"/>
      <c r="AE17" s="351"/>
      <c r="AF17" s="351"/>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351"/>
      <c r="BW17" s="351"/>
      <c r="BX17" s="351"/>
      <c r="BY17" s="351"/>
      <c r="BZ17" s="351"/>
      <c r="CA17" s="351"/>
      <c r="CB17" s="351"/>
      <c r="CC17" s="351"/>
      <c r="CD17" s="351"/>
      <c r="CE17" s="351"/>
    </row>
    <row r="18" spans="1:83" s="1843" customFormat="1" ht="11.25" hidden="1" customHeight="1">
      <c r="A18" s="555"/>
      <c r="B18" s="437"/>
      <c r="C18" s="437"/>
      <c r="D18" s="4160"/>
      <c r="E18" s="556"/>
      <c r="F18" s="556">
        <v>0</v>
      </c>
      <c r="G18" s="556"/>
      <c r="H18" s="556"/>
      <c r="I18" s="556"/>
      <c r="J18" s="556"/>
      <c r="K18" s="556"/>
      <c r="L18" s="556"/>
      <c r="M18" s="556"/>
      <c r="N18" s="556"/>
      <c r="O18" s="556"/>
      <c r="P18" s="556"/>
      <c r="Q18" s="556"/>
      <c r="R18" s="556"/>
      <c r="S18" s="557"/>
      <c r="T18" s="637"/>
      <c r="U18" s="4073"/>
      <c r="V18" s="4073"/>
      <c r="W18" s="437"/>
      <c r="X18" s="437"/>
      <c r="Y18" s="437"/>
      <c r="Z18" s="437"/>
      <c r="AA18" s="437"/>
      <c r="AB18" s="351"/>
      <c r="AC18" s="4154"/>
      <c r="AD18" s="550"/>
      <c r="AE18" s="351"/>
      <c r="AF18" s="351"/>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437"/>
      <c r="BQ18" s="437"/>
      <c r="BR18" s="437"/>
      <c r="BS18" s="437"/>
      <c r="BT18" s="437"/>
      <c r="BU18" s="437"/>
      <c r="BV18" s="437"/>
      <c r="BW18" s="437"/>
      <c r="BX18" s="437"/>
      <c r="BY18" s="437"/>
      <c r="BZ18" s="437"/>
      <c r="CA18" s="437"/>
      <c r="CB18" s="437"/>
      <c r="CC18" s="437"/>
      <c r="CD18" s="437"/>
      <c r="CE18" s="437"/>
    </row>
    <row r="19" spans="1:83" s="1843" customFormat="1" ht="11.25" hidden="1" customHeight="1">
      <c r="A19" s="554"/>
      <c r="B19" s="351"/>
      <c r="C19" s="346"/>
      <c r="D19" s="4160"/>
      <c r="E19" s="570" t="s">
        <v>24</v>
      </c>
      <c r="F19" s="571" t="s">
        <v>24</v>
      </c>
      <c r="G19" s="571" t="s">
        <v>24</v>
      </c>
      <c r="H19" s="572" t="s">
        <v>24</v>
      </c>
      <c r="I19" s="572"/>
      <c r="J19" s="572"/>
      <c r="K19" s="572"/>
      <c r="L19" s="572"/>
      <c r="M19" s="572"/>
      <c r="N19" s="572"/>
      <c r="O19" s="572"/>
      <c r="P19" s="572"/>
      <c r="Q19" s="572"/>
      <c r="R19" s="573"/>
      <c r="S19" s="927"/>
      <c r="T19" s="637"/>
      <c r="U19" s="4073"/>
      <c r="V19" s="4073"/>
      <c r="W19" s="351"/>
      <c r="X19" s="351"/>
      <c r="Y19" s="351"/>
      <c r="Z19" s="351"/>
      <c r="AA19" s="437"/>
      <c r="AB19" s="351"/>
      <c r="AC19" s="4154"/>
      <c r="AD19" s="550"/>
      <c r="AE19" s="351"/>
      <c r="AF19" s="351"/>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351"/>
      <c r="BW19" s="351"/>
      <c r="BX19" s="351"/>
      <c r="BY19" s="351"/>
      <c r="BZ19" s="351"/>
      <c r="CA19" s="351"/>
      <c r="CB19" s="351"/>
      <c r="CC19" s="351"/>
      <c r="CD19" s="351"/>
      <c r="CE19" s="351"/>
    </row>
    <row r="20" spans="1:83" s="1843" customFormat="1" ht="22.5" hidden="1" customHeight="1">
      <c r="A20" s="554"/>
      <c r="B20" s="351"/>
      <c r="C20" s="346"/>
      <c r="D20" s="4160"/>
      <c r="E20" s="4155" t="s">
        <v>596</v>
      </c>
      <c r="F20" s="4155"/>
      <c r="G20" s="4155"/>
      <c r="H20" s="4155"/>
      <c r="I20" s="4155"/>
      <c r="J20" s="4155"/>
      <c r="K20" s="4155"/>
      <c r="L20" s="4155"/>
      <c r="M20" s="4155"/>
      <c r="N20" s="4155"/>
      <c r="O20" s="4155"/>
      <c r="P20" s="4155"/>
      <c r="Q20" s="483">
        <f>SUMIF(T21:T22,"i",Q21:Q22)</f>
        <v>0</v>
      </c>
      <c r="R20" s="924"/>
      <c r="S20" s="628" t="s">
        <v>597</v>
      </c>
      <c r="T20" s="636" t="s">
        <v>595</v>
      </c>
      <c r="U20" s="4073">
        <v>2</v>
      </c>
      <c r="V20" s="4073" t="str">
        <f>INDEX(B_FHD_FLAG_INDEX_2,1,MATCH(A14,B_FHD_FLAG_DIFFERENTIATION,0))</f>
        <v>отсутствует</v>
      </c>
      <c r="W20" s="351"/>
      <c r="X20" s="351"/>
      <c r="Y20" s="351"/>
      <c r="Z20" s="351"/>
      <c r="AA20" s="437"/>
      <c r="AB20" s="351"/>
      <c r="AC20" s="625"/>
      <c r="AD20" s="550"/>
      <c r="AE20" s="351"/>
      <c r="AF20" s="351"/>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351"/>
      <c r="BW20" s="351"/>
      <c r="BX20" s="351"/>
      <c r="BY20" s="351"/>
      <c r="BZ20" s="351"/>
      <c r="CA20" s="351"/>
      <c r="CB20" s="351"/>
      <c r="CC20" s="351"/>
      <c r="CD20" s="351"/>
      <c r="CE20" s="351"/>
    </row>
    <row r="21" spans="1:83" s="1843" customFormat="1" ht="11.25" hidden="1" customHeight="1">
      <c r="A21" s="627"/>
      <c r="B21" s="437"/>
      <c r="C21" s="437"/>
      <c r="D21" s="4160"/>
      <c r="E21" s="556"/>
      <c r="F21" s="556">
        <v>0</v>
      </c>
      <c r="G21" s="556"/>
      <c r="H21" s="556"/>
      <c r="I21" s="556"/>
      <c r="J21" s="556"/>
      <c r="K21" s="556"/>
      <c r="L21" s="556"/>
      <c r="M21" s="556"/>
      <c r="N21" s="556"/>
      <c r="O21" s="556"/>
      <c r="P21" s="556"/>
      <c r="Q21" s="556"/>
      <c r="R21" s="556"/>
      <c r="S21" s="557"/>
      <c r="T21" s="637"/>
      <c r="U21" s="4073"/>
      <c r="V21" s="4073"/>
      <c r="W21" s="437"/>
      <c r="X21" s="437"/>
      <c r="Y21" s="437"/>
      <c r="Z21" s="437"/>
      <c r="AA21" s="437"/>
      <c r="AB21" s="351"/>
      <c r="AC21" s="625"/>
      <c r="AD21" s="550"/>
      <c r="AE21" s="351"/>
      <c r="AF21" s="351"/>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7"/>
      <c r="BW21" s="437"/>
      <c r="BX21" s="437"/>
      <c r="BY21" s="437"/>
      <c r="BZ21" s="437"/>
      <c r="CA21" s="437"/>
      <c r="CB21" s="437"/>
      <c r="CC21" s="437"/>
      <c r="CD21" s="437"/>
      <c r="CE21" s="437"/>
    </row>
    <row r="22" spans="1:83" s="1843" customFormat="1" ht="11.25" hidden="1" customHeight="1">
      <c r="A22" s="554"/>
      <c r="B22" s="351"/>
      <c r="C22" s="346"/>
      <c r="D22" s="4161"/>
      <c r="E22" s="570" t="s">
        <v>24</v>
      </c>
      <c r="F22" s="571" t="s">
        <v>24</v>
      </c>
      <c r="G22" s="571" t="s">
        <v>24</v>
      </c>
      <c r="H22" s="572" t="s">
        <v>24</v>
      </c>
      <c r="I22" s="572"/>
      <c r="J22" s="572"/>
      <c r="K22" s="572"/>
      <c r="L22" s="572"/>
      <c r="M22" s="572"/>
      <c r="N22" s="572"/>
      <c r="O22" s="572"/>
      <c r="P22" s="572"/>
      <c r="Q22" s="572"/>
      <c r="R22" s="573"/>
      <c r="S22" s="927"/>
      <c r="T22" s="637"/>
      <c r="U22" s="4073"/>
      <c r="V22" s="4073"/>
      <c r="W22" s="351"/>
      <c r="X22" s="351"/>
      <c r="Y22" s="351"/>
      <c r="Z22" s="351"/>
      <c r="AA22" s="437"/>
      <c r="AB22" s="351"/>
      <c r="AC22" s="625"/>
      <c r="AD22" s="550"/>
      <c r="AE22" s="351"/>
      <c r="AF22" s="351"/>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7"/>
      <c r="BH22" s="437"/>
      <c r="BI22" s="437"/>
      <c r="BJ22" s="437"/>
      <c r="BK22" s="437"/>
      <c r="BL22" s="437"/>
      <c r="BM22" s="437"/>
      <c r="BN22" s="437"/>
      <c r="BO22" s="437"/>
      <c r="BP22" s="437"/>
      <c r="BQ22" s="437"/>
      <c r="BR22" s="437"/>
      <c r="BS22" s="437"/>
      <c r="BT22" s="437"/>
      <c r="BU22" s="437"/>
      <c r="BV22" s="351"/>
      <c r="BW22" s="351"/>
      <c r="BX22" s="351"/>
      <c r="BY22" s="351"/>
      <c r="BZ22" s="351"/>
      <c r="CA22" s="351"/>
      <c r="CB22" s="351"/>
      <c r="CC22" s="351"/>
      <c r="CD22" s="351"/>
      <c r="CE22" s="351"/>
    </row>
    <row r="23" spans="1:83" ht="18.75" customHeight="1">
      <c r="D23" s="954"/>
      <c r="E23" s="954"/>
      <c r="F23" s="954"/>
      <c r="G23" s="954"/>
      <c r="H23" s="954"/>
      <c r="I23" s="954"/>
      <c r="J23" s="954"/>
      <c r="K23" s="954"/>
      <c r="L23" s="954"/>
      <c r="M23" s="954"/>
      <c r="N23" s="954"/>
      <c r="O23" s="954"/>
      <c r="P23" s="954"/>
      <c r="Q23" s="954"/>
      <c r="R23" s="954"/>
      <c r="S23" s="954"/>
      <c r="T23" s="261"/>
    </row>
    <row r="24" spans="1:83" ht="11.25" customHeight="1">
      <c r="D24" s="435"/>
    </row>
    <row r="25" spans="1:83" ht="11.25" customHeight="1">
      <c r="D25" s="575"/>
      <c r="E25" s="575"/>
      <c r="F25" s="575"/>
      <c r="G25" s="576"/>
    </row>
    <row r="27" spans="1:83" ht="11.25" customHeight="1">
      <c r="D27" s="577"/>
      <c r="E27" s="4163"/>
      <c r="F27" s="4163"/>
      <c r="G27" s="4163"/>
      <c r="H27" s="4163"/>
      <c r="I27" s="4163"/>
      <c r="J27" s="4163"/>
      <c r="K27" s="4163"/>
      <c r="L27" s="4163"/>
      <c r="M27" s="4163"/>
      <c r="N27" s="4163"/>
      <c r="O27" s="4163"/>
      <c r="P27" s="4163"/>
      <c r="Q27" s="4163"/>
      <c r="R27" s="4163"/>
    </row>
    <row r="28" spans="1:83" ht="11.25" customHeight="1">
      <c r="F28" s="675"/>
      <c r="G28" s="675"/>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3811" hidden="1" customWidth="1"/>
    <col min="2" max="2" width="16.85546875" style="2553" hidden="1" customWidth="1"/>
    <col min="3" max="3" width="5.5703125" style="3810" hidden="1" customWidth="1"/>
    <col min="4" max="4" width="3.7109375" style="3817" customWidth="1"/>
    <col min="5" max="5" width="7.7109375" style="1923" customWidth="1"/>
    <col min="6" max="6" width="56.140625" style="1923" customWidth="1"/>
    <col min="7" max="7" width="10.42578125" style="1923" customWidth="1"/>
    <col min="8" max="8" width="40.7109375" style="1923" hidden="1" customWidth="1"/>
    <col min="9" max="9" width="40.7109375" style="1923" customWidth="1"/>
    <col min="10" max="10" width="102.85546875" style="1923" customWidth="1"/>
    <col min="11" max="11" width="9.7109375" style="2553" customWidth="1"/>
    <col min="12" max="12" width="5.28515625" style="3810" customWidth="1"/>
    <col min="13" max="13" width="3.7109375" style="3810" customWidth="1"/>
    <col min="14" max="17" width="3.7109375" style="2553" customWidth="1"/>
    <col min="18" max="18" width="10.5703125" style="3810" customWidth="1"/>
    <col min="19" max="19" width="34.7109375" style="2553" customWidth="1"/>
    <col min="20" max="20" width="9.42578125" style="2553" customWidth="1"/>
    <col min="21" max="21" width="9.140625" style="3812"/>
    <col min="22" max="26" width="9.140625" style="2553"/>
    <col min="27" max="31" width="9.140625" style="1922"/>
  </cols>
  <sheetData>
    <row r="1" spans="1:31" s="2553" customFormat="1" ht="11.25" hidden="1" customHeight="1">
      <c r="A1" s="895"/>
      <c r="C1" s="1548"/>
      <c r="D1" s="462"/>
      <c r="H1" s="1060">
        <v>4</v>
      </c>
      <c r="I1" s="1060">
        <v>4</v>
      </c>
      <c r="L1" s="1548"/>
      <c r="M1" s="1548"/>
      <c r="R1" s="1548"/>
    </row>
    <row r="2" spans="1:31" s="2553" customFormat="1" ht="22.5" hidden="1" customHeight="1">
      <c r="A2" s="895"/>
      <c r="C2" s="1548"/>
      <c r="D2" s="463"/>
      <c r="E2" s="1549"/>
      <c r="F2" s="465"/>
      <c r="G2" s="1551" t="s">
        <v>535</v>
      </c>
      <c r="H2" s="466"/>
      <c r="I2" s="466"/>
      <c r="J2" s="467" t="s">
        <v>598</v>
      </c>
      <c r="K2" s="468"/>
      <c r="L2" s="1548"/>
      <c r="M2" s="1548"/>
      <c r="R2" s="1548"/>
      <c r="U2" s="469"/>
      <c r="AA2" s="1544"/>
      <c r="AB2" s="1544"/>
      <c r="AC2" s="1544"/>
      <c r="AD2" s="1544"/>
      <c r="AE2" s="1544"/>
    </row>
    <row r="3" spans="1:31" ht="11.25" hidden="1" customHeight="1"/>
    <row r="4" spans="1:31" s="1922"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22.5" customHeight="1">
      <c r="E6" s="4017" t="s">
        <v>599</v>
      </c>
      <c r="F6" s="4017"/>
      <c r="G6" s="4017"/>
      <c r="H6" s="4017"/>
      <c r="I6" s="4017"/>
      <c r="J6" s="481"/>
    </row>
    <row r="7" spans="1:31" ht="24" customHeight="1">
      <c r="E7" s="4004" t="str">
        <f>IF(org=0,"Не определено",org)</f>
        <v>ООО «РИР-Сахалин»</v>
      </c>
      <c r="F7" s="4004"/>
      <c r="G7" s="4004"/>
      <c r="H7" s="4004"/>
      <c r="I7" s="4004"/>
    </row>
    <row r="8" spans="1:31" ht="11.25" customHeight="1">
      <c r="E8" s="1037"/>
      <c r="F8" s="1037"/>
      <c r="G8" s="1037"/>
      <c r="H8" s="1037"/>
      <c r="I8" s="1037"/>
    </row>
    <row r="9" spans="1:31" s="3810" customFormat="1" ht="0.75" customHeight="1">
      <c r="A9" s="1067"/>
      <c r="D9" s="1553"/>
      <c r="H9" s="802"/>
      <c r="I9" s="802" t="s">
        <v>115</v>
      </c>
    </row>
    <row r="10" spans="1:31" ht="11.25" customHeight="1">
      <c r="E10" s="630"/>
      <c r="F10" s="4148" t="s">
        <v>103</v>
      </c>
      <c r="G10" s="4149"/>
      <c r="H10" s="1470" t="str">
        <f>IF(H9="","",INDEX(DIFFERENTIATION_UNMERGE_VD,MATCH(H9,DIFFERENTIATION_ID_DIFF,0)))</f>
        <v/>
      </c>
      <c r="I10" s="1470">
        <f>IF(I9="","",INDEX(DIFFERENTIATION_UNMERGE_VD,MATCH(I9,DIFFERENTIATION_ID_DIFF,0)))</f>
        <v>0</v>
      </c>
      <c r="J10" s="3946"/>
    </row>
    <row r="11" spans="1:31" ht="11.25" customHeight="1">
      <c r="E11" s="630"/>
      <c r="F11" s="4148" t="s">
        <v>547</v>
      </c>
      <c r="G11" s="4149"/>
      <c r="H11" s="1470" t="str">
        <f>IF(H9="","",INDEX(DIFFERENTIATION_UNMERGE_AREA,MATCH(H9,DIFFERENTIATION_ID_DIFF,0)))</f>
        <v/>
      </c>
      <c r="I11" s="1470" t="str">
        <f>IF(I9="","",INDEX(DIFFERENTIATION_UNMERGE_AREA,MATCH(I9,DIFFERENTIATION_ID_DIFF,0)))</f>
        <v/>
      </c>
      <c r="J11" s="3946"/>
    </row>
    <row r="12" spans="1:31" ht="11.25" hidden="1" customHeight="1">
      <c r="E12" s="1573"/>
      <c r="F12" s="4164" t="s">
        <v>548</v>
      </c>
      <c r="G12" s="4165"/>
      <c r="H12" s="1574" t="str">
        <f>IF(H9="","",INDEX(DIFFERENTIATION_UNMERGE_SYSTEM,MATCH(H9,DIFFERENTIATION_ID_DIFF,0)))</f>
        <v/>
      </c>
      <c r="I12" s="1574" t="str">
        <f>IF(I9="","",INDEX(DIFFERENTIATION_UNMERGE_SYSTEM,MATCH(I9,DIFFERENTIATION_ID_DIFF,0)))</f>
        <v>без дифференциации</v>
      </c>
      <c r="J12" s="3946"/>
    </row>
    <row r="13" spans="1:31" ht="11.25" customHeight="1">
      <c r="E13" s="4150" t="s">
        <v>290</v>
      </c>
      <c r="F13" s="4151"/>
      <c r="G13" s="4151"/>
      <c r="H13" s="1469"/>
      <c r="I13" s="1469"/>
      <c r="J13" s="3946"/>
    </row>
    <row r="14" spans="1:31" ht="22.5" customHeight="1">
      <c r="E14" s="1551" t="s">
        <v>86</v>
      </c>
      <c r="F14" s="1546" t="s">
        <v>292</v>
      </c>
      <c r="G14" s="1546" t="s">
        <v>549</v>
      </c>
      <c r="H14" s="1546" t="s">
        <v>293</v>
      </c>
      <c r="I14" s="1546" t="s">
        <v>293</v>
      </c>
      <c r="J14" s="3946"/>
    </row>
    <row r="15" spans="1:31" ht="18.75" customHeight="1">
      <c r="D15" s="1550"/>
      <c r="E15" s="1542" t="s">
        <v>107</v>
      </c>
      <c r="F15" s="626" t="s">
        <v>600</v>
      </c>
      <c r="G15" s="1557" t="s">
        <v>535</v>
      </c>
      <c r="H15" s="482"/>
      <c r="I15" s="482"/>
      <c r="J15" s="208" t="s">
        <v>601</v>
      </c>
      <c r="K15" s="468" t="s">
        <v>602</v>
      </c>
    </row>
    <row r="16" spans="1:31" ht="33.75" customHeight="1">
      <c r="D16" s="1550"/>
      <c r="E16" s="1542" t="s">
        <v>108</v>
      </c>
      <c r="F16" s="626" t="s">
        <v>603</v>
      </c>
      <c r="G16" s="1557" t="s">
        <v>535</v>
      </c>
      <c r="H16" s="483">
        <f>SUM(H17,H20:H32)</f>
        <v>0</v>
      </c>
      <c r="I16" s="483">
        <f>SUM(I17,I20:I32)</f>
        <v>0</v>
      </c>
      <c r="J16" s="208" t="s">
        <v>604</v>
      </c>
      <c r="K16" s="468" t="s">
        <v>602</v>
      </c>
    </row>
    <row r="17" spans="1:31" ht="18.75" customHeight="1">
      <c r="D17" s="1550"/>
      <c r="E17" s="1575" t="s">
        <v>605</v>
      </c>
      <c r="F17" s="863" t="s">
        <v>606</v>
      </c>
      <c r="G17" s="1554" t="s">
        <v>535</v>
      </c>
      <c r="H17" s="482"/>
      <c r="I17" s="482"/>
      <c r="J17" s="208" t="s">
        <v>607</v>
      </c>
      <c r="K17" s="468"/>
    </row>
    <row r="18" spans="1:31" ht="22.5" customHeight="1">
      <c r="D18" s="1550"/>
      <c r="E18" s="1575" t="s">
        <v>608</v>
      </c>
      <c r="F18" s="1561" t="s">
        <v>609</v>
      </c>
      <c r="G18" s="1554" t="s">
        <v>535</v>
      </c>
      <c r="H18" s="482"/>
      <c r="I18" s="482"/>
      <c r="J18" s="208" t="s">
        <v>610</v>
      </c>
      <c r="K18" s="468"/>
    </row>
    <row r="19" spans="1:31" ht="33.75" customHeight="1">
      <c r="D19" s="1550"/>
      <c r="E19" s="1575" t="s">
        <v>611</v>
      </c>
      <c r="F19" s="1561" t="s">
        <v>612</v>
      </c>
      <c r="G19" s="1554" t="s">
        <v>535</v>
      </c>
      <c r="H19" s="482"/>
      <c r="I19" s="482"/>
      <c r="J19" s="208"/>
      <c r="K19" s="468"/>
    </row>
    <row r="20" spans="1:31" ht="18.75" customHeight="1">
      <c r="D20" s="1550"/>
      <c r="E20" s="1575" t="s">
        <v>297</v>
      </c>
      <c r="F20" s="863" t="s">
        <v>613</v>
      </c>
      <c r="G20" s="1554" t="s">
        <v>535</v>
      </c>
      <c r="H20" s="482"/>
      <c r="I20" s="482"/>
      <c r="J20" s="208" t="s">
        <v>614</v>
      </c>
      <c r="K20" s="468"/>
    </row>
    <row r="21" spans="1:31" ht="18.75" customHeight="1">
      <c r="D21" s="1550"/>
      <c r="E21" s="1575" t="s">
        <v>615</v>
      </c>
      <c r="F21" s="1561" t="s">
        <v>616</v>
      </c>
      <c r="G21" s="1554" t="s">
        <v>535</v>
      </c>
      <c r="H21" s="482"/>
      <c r="I21" s="482"/>
      <c r="J21" s="208"/>
      <c r="K21" s="468"/>
    </row>
    <row r="22" spans="1:31" ht="18.75" customHeight="1">
      <c r="D22" s="1550"/>
      <c r="E22" s="1575" t="s">
        <v>617</v>
      </c>
      <c r="F22" s="1561" t="s">
        <v>618</v>
      </c>
      <c r="G22" s="1554" t="s">
        <v>535</v>
      </c>
      <c r="H22" s="482"/>
      <c r="I22" s="482"/>
      <c r="J22" s="208"/>
      <c r="K22" s="468"/>
    </row>
    <row r="23" spans="1:31" ht="22.5" customHeight="1">
      <c r="D23" s="1550"/>
      <c r="E23" s="1575" t="s">
        <v>300</v>
      </c>
      <c r="F23" s="863" t="s">
        <v>619</v>
      </c>
      <c r="G23" s="1554" t="s">
        <v>535</v>
      </c>
      <c r="H23" s="482"/>
      <c r="I23" s="482"/>
      <c r="J23" s="208" t="s">
        <v>620</v>
      </c>
      <c r="K23" s="468"/>
    </row>
    <row r="24" spans="1:31" ht="18.75" customHeight="1">
      <c r="D24" s="1550"/>
      <c r="E24" s="1575" t="s">
        <v>621</v>
      </c>
      <c r="F24" s="1561" t="s">
        <v>622</v>
      </c>
      <c r="G24" s="1554" t="s">
        <v>535</v>
      </c>
      <c r="H24" s="482"/>
      <c r="I24" s="482"/>
      <c r="J24" s="208"/>
      <c r="K24" s="468"/>
    </row>
    <row r="25" spans="1:31" ht="33.75" customHeight="1">
      <c r="D25" s="1550"/>
      <c r="E25" s="1575" t="s">
        <v>623</v>
      </c>
      <c r="F25" s="1561" t="s">
        <v>624</v>
      </c>
      <c r="G25" s="1554" t="s">
        <v>535</v>
      </c>
      <c r="H25" s="482"/>
      <c r="I25" s="482"/>
      <c r="J25" s="208"/>
      <c r="K25" s="468"/>
    </row>
    <row r="26" spans="1:31" ht="22.5" customHeight="1">
      <c r="D26" s="1550"/>
      <c r="E26" s="1575" t="s">
        <v>625</v>
      </c>
      <c r="F26" s="863" t="s">
        <v>626</v>
      </c>
      <c r="G26" s="1554" t="s">
        <v>535</v>
      </c>
      <c r="H26" s="482"/>
      <c r="I26" s="482"/>
      <c r="J26" s="208" t="s">
        <v>627</v>
      </c>
      <c r="K26" s="468"/>
    </row>
    <row r="27" spans="1:31" ht="18.75" customHeight="1">
      <c r="D27" s="1550"/>
      <c r="E27" s="1586" t="s">
        <v>628</v>
      </c>
      <c r="F27" s="1561" t="s">
        <v>629</v>
      </c>
      <c r="G27" s="1565" t="s">
        <v>535</v>
      </c>
      <c r="H27" s="1587"/>
      <c r="I27" s="1587"/>
      <c r="J27" s="208"/>
      <c r="K27" s="468"/>
    </row>
    <row r="28" spans="1:31" ht="18.75" customHeight="1">
      <c r="D28" s="1550"/>
      <c r="E28" s="1586" t="s">
        <v>630</v>
      </c>
      <c r="F28" s="1561" t="s">
        <v>631</v>
      </c>
      <c r="G28" s="1565" t="s">
        <v>535</v>
      </c>
      <c r="H28" s="1587"/>
      <c r="I28" s="1587"/>
      <c r="J28" s="208"/>
      <c r="K28" s="468"/>
    </row>
    <row r="29" spans="1:31" ht="18.75" customHeight="1">
      <c r="D29" s="1550"/>
      <c r="E29" s="1586" t="s">
        <v>632</v>
      </c>
      <c r="F29" s="863" t="s">
        <v>633</v>
      </c>
      <c r="G29" s="1565" t="s">
        <v>535</v>
      </c>
      <c r="H29" s="1587"/>
      <c r="I29" s="1587"/>
      <c r="J29" s="208"/>
      <c r="K29" s="468"/>
    </row>
    <row r="30" spans="1:31" ht="18.75" customHeight="1">
      <c r="D30" s="1550"/>
      <c r="E30" s="1586" t="s">
        <v>634</v>
      </c>
      <c r="F30" s="863" t="s">
        <v>635</v>
      </c>
      <c r="G30" s="1565" t="s">
        <v>535</v>
      </c>
      <c r="H30" s="1587"/>
      <c r="I30" s="1587"/>
      <c r="J30" s="208"/>
      <c r="K30" s="468"/>
    </row>
    <row r="31" spans="1:31" ht="18.75" customHeight="1">
      <c r="D31" s="1550"/>
      <c r="E31" s="1586" t="s">
        <v>636</v>
      </c>
      <c r="F31" s="863" t="s">
        <v>637</v>
      </c>
      <c r="G31" s="1565" t="s">
        <v>535</v>
      </c>
      <c r="H31" s="1587"/>
      <c r="I31" s="1587"/>
      <c r="J31" s="208"/>
      <c r="K31" s="468"/>
    </row>
    <row r="32" spans="1:31" s="2553" customFormat="1" ht="22.5" customHeight="1">
      <c r="A32" s="895"/>
      <c r="C32" s="1548"/>
      <c r="D32" s="1550"/>
      <c r="E32" s="1586" t="s">
        <v>638</v>
      </c>
      <c r="F32" s="863" t="s">
        <v>639</v>
      </c>
      <c r="G32" s="1555" t="s">
        <v>535</v>
      </c>
      <c r="H32" s="504">
        <f>SUM(H33:H34)</f>
        <v>0</v>
      </c>
      <c r="I32" s="504">
        <f>SUM(I33:I34)</f>
        <v>0</v>
      </c>
      <c r="J32" s="208" t="s">
        <v>640</v>
      </c>
      <c r="K32" s="468"/>
      <c r="L32" s="1548"/>
      <c r="M32" s="1548"/>
      <c r="R32" s="1548"/>
      <c r="U32" s="469"/>
      <c r="AA32" s="1544"/>
      <c r="AB32" s="1544"/>
      <c r="AC32" s="1544"/>
      <c r="AD32" s="1544"/>
      <c r="AE32" s="1544"/>
    </row>
    <row r="33" spans="1:31" s="3810" customFormat="1" ht="0.75" customHeight="1">
      <c r="A33" s="1067"/>
      <c r="D33" s="473"/>
      <c r="E33" s="719" t="str">
        <f>E32&amp;".0"</f>
        <v>2.8.0</v>
      </c>
      <c r="F33" s="899"/>
      <c r="G33" s="476"/>
      <c r="H33" s="900"/>
      <c r="I33" s="900"/>
      <c r="J33" s="901"/>
    </row>
    <row r="34" spans="1:31" s="2553" customFormat="1" ht="18.75" customHeight="1">
      <c r="A34" s="895"/>
      <c r="C34" s="1548"/>
      <c r="D34" s="1545"/>
      <c r="E34" s="495"/>
      <c r="F34" s="1577" t="s">
        <v>560</v>
      </c>
      <c r="G34" s="497"/>
      <c r="H34" s="498"/>
      <c r="I34" s="498"/>
      <c r="J34" s="220" t="s">
        <v>641</v>
      </c>
      <c r="K34" s="468"/>
      <c r="L34" s="1548"/>
      <c r="M34" s="1548"/>
      <c r="R34" s="1548"/>
      <c r="U34" s="469"/>
      <c r="AA34" s="1544"/>
      <c r="AB34" s="1544"/>
      <c r="AC34" s="1544"/>
      <c r="AD34" s="1544"/>
      <c r="AE34" s="1544"/>
    </row>
    <row r="35" spans="1:31" ht="56.25" customHeight="1">
      <c r="D35" s="1550"/>
      <c r="E35" s="1586" t="s">
        <v>642</v>
      </c>
      <c r="F35" s="863" t="s">
        <v>643</v>
      </c>
      <c r="G35" s="1565" t="s">
        <v>535</v>
      </c>
      <c r="H35" s="1587"/>
      <c r="I35" s="1587"/>
      <c r="J35" s="208" t="s">
        <v>644</v>
      </c>
      <c r="K35" s="468"/>
    </row>
    <row r="36" spans="1:31" s="2553" customFormat="1" ht="22.5" customHeight="1">
      <c r="A36" s="897" t="s">
        <v>561</v>
      </c>
      <c r="C36" s="1548"/>
      <c r="D36" s="1550"/>
      <c r="E36" s="1575" t="s">
        <v>88</v>
      </c>
      <c r="F36" s="626" t="s">
        <v>645</v>
      </c>
      <c r="G36" s="1554" t="s">
        <v>535</v>
      </c>
      <c r="H36" s="482"/>
      <c r="I36" s="482"/>
      <c r="J36" s="208" t="s">
        <v>646</v>
      </c>
      <c r="K36" s="468"/>
      <c r="L36" s="1548"/>
      <c r="M36" s="1548"/>
      <c r="R36" s="1548"/>
      <c r="U36" s="469"/>
      <c r="AA36" s="1544"/>
      <c r="AB36" s="1544"/>
      <c r="AC36" s="1544"/>
      <c r="AD36" s="1544"/>
      <c r="AE36" s="1544"/>
    </row>
    <row r="37" spans="1:31" s="2553" customFormat="1" ht="22.5" customHeight="1">
      <c r="A37" s="897"/>
      <c r="C37" s="1548"/>
      <c r="D37" s="1550"/>
      <c r="E37" s="1575" t="s">
        <v>316</v>
      </c>
      <c r="F37" s="863" t="s">
        <v>647</v>
      </c>
      <c r="G37" s="1565"/>
      <c r="H37" s="482"/>
      <c r="I37" s="482"/>
      <c r="J37" s="208"/>
      <c r="K37" s="468"/>
      <c r="L37" s="1548"/>
      <c r="M37" s="1548"/>
      <c r="R37" s="1548"/>
      <c r="U37" s="469"/>
      <c r="AA37" s="1544"/>
      <c r="AB37" s="1544"/>
      <c r="AC37" s="1544"/>
      <c r="AD37" s="1544"/>
      <c r="AE37" s="1544"/>
    </row>
    <row r="38" spans="1:31" s="2553" customFormat="1" ht="18.75" customHeight="1">
      <c r="A38" s="895"/>
      <c r="C38" s="1548"/>
      <c r="D38" s="500"/>
      <c r="E38" s="1575" t="s">
        <v>89</v>
      </c>
      <c r="F38" s="626" t="s">
        <v>648</v>
      </c>
      <c r="G38" s="1554" t="s">
        <v>535</v>
      </c>
      <c r="H38" s="482"/>
      <c r="I38" s="482"/>
      <c r="J38" s="208" t="s">
        <v>649</v>
      </c>
      <c r="K38" s="468"/>
      <c r="L38" s="1548"/>
      <c r="M38" s="1548"/>
      <c r="R38" s="1548"/>
      <c r="U38" s="469"/>
      <c r="AA38" s="1544"/>
      <c r="AB38" s="1544"/>
      <c r="AC38" s="1544"/>
      <c r="AD38" s="1544"/>
      <c r="AE38" s="1544"/>
    </row>
    <row r="39" spans="1:31" s="2553" customFormat="1" ht="22.5" customHeight="1">
      <c r="A39" s="895"/>
      <c r="C39" s="1548"/>
      <c r="D39" s="500"/>
      <c r="E39" s="1575" t="s">
        <v>650</v>
      </c>
      <c r="F39" s="863" t="s">
        <v>651</v>
      </c>
      <c r="G39" s="1565" t="s">
        <v>535</v>
      </c>
      <c r="H39" s="482"/>
      <c r="I39" s="482"/>
      <c r="J39" s="208" t="s">
        <v>652</v>
      </c>
      <c r="K39" s="468"/>
      <c r="L39" s="1548"/>
      <c r="M39" s="1548"/>
      <c r="R39" s="1548"/>
      <c r="U39" s="469"/>
      <c r="AA39" s="1544"/>
      <c r="AB39" s="1544"/>
      <c r="AC39" s="1544"/>
      <c r="AD39" s="1544"/>
      <c r="AE39" s="1544"/>
    </row>
    <row r="40" spans="1:31" s="2553" customFormat="1" ht="22.5" customHeight="1">
      <c r="A40" s="895"/>
      <c r="C40" s="1548"/>
      <c r="D40" s="1550"/>
      <c r="E40" s="1575" t="s">
        <v>653</v>
      </c>
      <c r="F40" s="1561" t="s">
        <v>654</v>
      </c>
      <c r="G40" s="1554" t="s">
        <v>535</v>
      </c>
      <c r="H40" s="482"/>
      <c r="I40" s="482"/>
      <c r="J40" s="208" t="s">
        <v>655</v>
      </c>
      <c r="K40" s="468"/>
      <c r="L40" s="1548"/>
      <c r="M40" s="1548"/>
      <c r="R40" s="1548"/>
      <c r="U40" s="469"/>
      <c r="AA40" s="1544"/>
      <c r="AB40" s="1544"/>
      <c r="AC40" s="1544"/>
      <c r="AD40" s="1544"/>
      <c r="AE40" s="1544"/>
    </row>
    <row r="41" spans="1:31" s="2553" customFormat="1" ht="22.5" customHeight="1">
      <c r="A41" s="895"/>
      <c r="C41" s="1548"/>
      <c r="D41" s="1550"/>
      <c r="E41" s="1575" t="s">
        <v>656</v>
      </c>
      <c r="F41" s="1561" t="s">
        <v>657</v>
      </c>
      <c r="G41" s="1554" t="s">
        <v>535</v>
      </c>
      <c r="H41" s="482"/>
      <c r="I41" s="482"/>
      <c r="J41" s="208" t="s">
        <v>658</v>
      </c>
      <c r="K41" s="468"/>
      <c r="L41" s="1548"/>
      <c r="M41" s="1548"/>
      <c r="R41" s="1548"/>
      <c r="U41" s="469"/>
      <c r="AA41" s="1544"/>
      <c r="AB41" s="1544"/>
      <c r="AC41" s="1544"/>
      <c r="AD41" s="1544"/>
      <c r="AE41" s="1544"/>
    </row>
    <row r="42" spans="1:31" s="2553" customFormat="1" ht="22.5" customHeight="1">
      <c r="A42" s="895"/>
      <c r="C42" s="1548"/>
      <c r="D42" s="1550"/>
      <c r="E42" s="1575" t="s">
        <v>659</v>
      </c>
      <c r="F42" s="1561" t="s">
        <v>660</v>
      </c>
      <c r="G42" s="1554" t="s">
        <v>535</v>
      </c>
      <c r="H42" s="482"/>
      <c r="I42" s="482"/>
      <c r="J42" s="208" t="s">
        <v>661</v>
      </c>
      <c r="K42" s="468"/>
      <c r="L42" s="1548"/>
      <c r="M42" s="1548"/>
      <c r="R42" s="1548"/>
      <c r="U42" s="469"/>
      <c r="AA42" s="1544"/>
      <c r="AB42" s="1544"/>
      <c r="AC42" s="1544"/>
      <c r="AD42" s="1544"/>
      <c r="AE42" s="1544"/>
    </row>
    <row r="43" spans="1:31" s="2553" customFormat="1" ht="33.75" customHeight="1">
      <c r="A43" s="895"/>
      <c r="C43" s="1548" t="s">
        <v>571</v>
      </c>
      <c r="D43" s="1550"/>
      <c r="E43" s="1575" t="s">
        <v>109</v>
      </c>
      <c r="F43" s="626" t="s">
        <v>662</v>
      </c>
      <c r="G43" s="1557" t="s">
        <v>663</v>
      </c>
      <c r="H43" s="335"/>
      <c r="I43" s="335"/>
      <c r="J43" s="208" t="s">
        <v>664</v>
      </c>
      <c r="K43" s="468"/>
      <c r="L43" s="1548"/>
      <c r="M43" s="1548"/>
      <c r="R43" s="1548"/>
      <c r="U43" s="469"/>
      <c r="AA43" s="1544"/>
      <c r="AB43" s="1544"/>
      <c r="AC43" s="1544"/>
      <c r="AD43" s="1544"/>
      <c r="AE43" s="1544"/>
    </row>
    <row r="44" spans="1:31" s="2553" customFormat="1" ht="22.5" customHeight="1">
      <c r="A44" s="895"/>
      <c r="C44" s="1548"/>
      <c r="D44" s="1550"/>
      <c r="E44" s="1575" t="s">
        <v>90</v>
      </c>
      <c r="F44" s="626" t="s">
        <v>665</v>
      </c>
      <c r="G44" s="1554" t="s">
        <v>666</v>
      </c>
      <c r="H44" s="470"/>
      <c r="I44" s="470"/>
      <c r="J44" s="208" t="s">
        <v>667</v>
      </c>
      <c r="K44" s="468"/>
      <c r="L44" s="1548"/>
      <c r="M44" s="1548"/>
      <c r="R44" s="1548"/>
      <c r="U44" s="469"/>
      <c r="AA44" s="1544"/>
      <c r="AB44" s="1544"/>
      <c r="AC44" s="1544"/>
      <c r="AD44" s="1544"/>
      <c r="AE44" s="1544"/>
    </row>
    <row r="45" spans="1:31" s="2553" customFormat="1" ht="22.5" customHeight="1">
      <c r="A45" s="895"/>
      <c r="C45" s="1548"/>
      <c r="D45" s="1550"/>
      <c r="E45" s="1575" t="s">
        <v>91</v>
      </c>
      <c r="F45" s="626" t="s">
        <v>668</v>
      </c>
      <c r="G45" s="1565" t="s">
        <v>669</v>
      </c>
      <c r="H45" s="470"/>
      <c r="I45" s="470"/>
      <c r="J45" s="208" t="s">
        <v>670</v>
      </c>
      <c r="K45" s="468"/>
      <c r="L45" s="1548"/>
      <c r="M45" s="1548"/>
      <c r="R45" s="1548"/>
      <c r="U45" s="469"/>
      <c r="AA45" s="1544"/>
      <c r="AB45" s="1544"/>
      <c r="AC45" s="1544"/>
      <c r="AD45" s="1544"/>
      <c r="AE45" s="1544"/>
    </row>
    <row r="46" spans="1:31" s="2553" customFormat="1" ht="18.75" customHeight="1">
      <c r="A46" s="895"/>
      <c r="C46" s="1548"/>
      <c r="D46" s="1550"/>
      <c r="E46" s="1575" t="s">
        <v>110</v>
      </c>
      <c r="F46" s="626" t="s">
        <v>671</v>
      </c>
      <c r="G46" s="1554" t="s">
        <v>573</v>
      </c>
      <c r="H46" s="502"/>
      <c r="I46" s="502"/>
      <c r="J46" s="208"/>
      <c r="K46" s="468"/>
      <c r="L46" s="1548"/>
      <c r="M46" s="1548"/>
      <c r="R46" s="1548"/>
      <c r="U46" s="469"/>
      <c r="AA46" s="1544"/>
      <c r="AB46" s="1544"/>
      <c r="AC46" s="1544"/>
      <c r="AD46" s="1544"/>
      <c r="AE46" s="1544"/>
    </row>
    <row r="47" spans="1:31" ht="11.25" customHeight="1">
      <c r="D47" s="1550"/>
    </row>
    <row r="48" spans="1:31" ht="26.25" customHeight="1">
      <c r="D48" s="1550"/>
      <c r="E48" s="1164"/>
      <c r="F48" s="4094"/>
      <c r="G48" s="4094"/>
      <c r="H48" s="4094"/>
      <c r="I48" s="4094"/>
      <c r="J48" s="4094"/>
    </row>
    <row r="49" spans="1:31" s="3813" customFormat="1" ht="37.5" customHeight="1">
      <c r="A49" s="895"/>
      <c r="B49" s="1548"/>
      <c r="C49" s="1548"/>
      <c r="D49" s="276"/>
      <c r="F49" s="4094"/>
      <c r="G49" s="4094"/>
      <c r="H49" s="4094"/>
      <c r="I49" s="4094"/>
      <c r="J49" s="4094"/>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3813"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3813"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3813" customFormat="1" ht="11.25" customHeight="1">
      <c r="A52" s="895"/>
      <c r="B52" s="1548"/>
      <c r="C52" s="1548"/>
      <c r="D52" s="276"/>
      <c r="H52" s="491"/>
      <c r="I52" s="491"/>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3813"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3813"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3813"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3813"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3813"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3813"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3813"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3813"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3813"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3813"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3813"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3813"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3813"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3813"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3813"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3813"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3813"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3813"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3813"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3813"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3813"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3813"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3813"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3813"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3813"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3813"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3813"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3813"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3813"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3813"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3813"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3813"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3813"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3813"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3813"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3813"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3813"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3813"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3813"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3813"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3813"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3813"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3813"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3813"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3813"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3813"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3813"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3813"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3813"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3813"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3813"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3813"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3813"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3813"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3813"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3813"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3813"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3813"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3813"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3813"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3813"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3813"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3813"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3813"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3813"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3813"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3813"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3813"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3813"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3813"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3813"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3813"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3813"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3813"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3813"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3813"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3813"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3813"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3813"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3813"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3813"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3813"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3813"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3813"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3813"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3813"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3813"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3813"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3813"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3813"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3813"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3813"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3813"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3813"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3813"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3813"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3813"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3813"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3813"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3813"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3813"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3813"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3813"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3813"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3813"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3813"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3813"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3813"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3813"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3813"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3813"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3813"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3813"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3813"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3813"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3813"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3813"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3813"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3813"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3813"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3813"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3813"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3813"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3813"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3813"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3813"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3813"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3813"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3813"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3813"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3813"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3813"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3813"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3813"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3813"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3813"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3813"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3813"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3813"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3813"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3813"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3813"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3813"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3813"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3813"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3813"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3813"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3813"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3813"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3813"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3813"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3813"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row r="210" spans="1:31" ht="11.25" customHeight="1">
      <c r="A210" s="898"/>
      <c r="B210" s="1543"/>
      <c r="D210" s="1543"/>
      <c r="K210" s="1543"/>
      <c r="N210" s="1543"/>
      <c r="O210" s="1543"/>
      <c r="P210" s="1543"/>
      <c r="Q210" s="1543"/>
      <c r="S210" s="1543"/>
      <c r="T210" s="1543"/>
      <c r="U210" s="1543"/>
      <c r="V210" s="1543"/>
      <c r="W210" s="1543"/>
      <c r="X210" s="1543"/>
      <c r="Y210" s="1543"/>
      <c r="Z210" s="1543"/>
      <c r="AA210" s="1543"/>
      <c r="AB210" s="1543"/>
      <c r="AC210" s="1543"/>
      <c r="AD210" s="1543"/>
      <c r="AE210" s="1543"/>
    </row>
    <row r="211" spans="1:31" ht="11.25" customHeight="1">
      <c r="A211" s="898"/>
      <c r="B211" s="1543"/>
      <c r="D211" s="1543"/>
      <c r="K211" s="1543"/>
      <c r="N211" s="1543"/>
      <c r="O211" s="1543"/>
      <c r="P211" s="1543"/>
      <c r="Q211" s="1543"/>
      <c r="S211" s="1543"/>
      <c r="T211" s="1543"/>
      <c r="U211" s="1543"/>
      <c r="V211" s="1543"/>
      <c r="W211" s="1543"/>
      <c r="X211" s="1543"/>
      <c r="Y211" s="1543"/>
      <c r="Z211" s="1543"/>
      <c r="AA211" s="1543"/>
      <c r="AB211" s="1543"/>
      <c r="AC211" s="1543"/>
      <c r="AD211" s="1543"/>
      <c r="AE211" s="1543"/>
    </row>
    <row r="212" spans="1:31" ht="11.25" customHeight="1">
      <c r="A212" s="898"/>
      <c r="B212" s="1543"/>
      <c r="D212" s="1543"/>
      <c r="K212" s="1543"/>
      <c r="N212" s="1543"/>
      <c r="O212" s="1543"/>
      <c r="P212" s="1543"/>
      <c r="Q212" s="1543"/>
      <c r="S212" s="1543"/>
      <c r="T212" s="1543"/>
      <c r="U212" s="1543"/>
      <c r="V212" s="1543"/>
      <c r="W212" s="1543"/>
      <c r="X212" s="1543"/>
      <c r="Y212" s="1543"/>
      <c r="Z212" s="1543"/>
      <c r="AA212" s="1543"/>
      <c r="AB212" s="1543"/>
      <c r="AC212" s="1543"/>
      <c r="AD212" s="1543"/>
      <c r="AE212" s="1543"/>
    </row>
    <row r="213" spans="1:31" ht="11.25" customHeight="1">
      <c r="A213" s="898"/>
      <c r="B213" s="1543"/>
      <c r="D213" s="1543"/>
      <c r="K213" s="1543"/>
      <c r="N213" s="1543"/>
      <c r="O213" s="1543"/>
      <c r="P213" s="1543"/>
      <c r="Q213" s="1543"/>
      <c r="S213" s="1543"/>
      <c r="T213" s="1543"/>
      <c r="U213" s="1543"/>
      <c r="V213" s="1543"/>
      <c r="W213" s="1543"/>
      <c r="X213" s="1543"/>
      <c r="Y213" s="1543"/>
      <c r="Z213" s="1543"/>
      <c r="AA213" s="1543"/>
      <c r="AB213" s="1543"/>
      <c r="AC213" s="1543"/>
      <c r="AD213" s="1543"/>
      <c r="AE213" s="1543"/>
    </row>
    <row r="214" spans="1:31" ht="11.25" customHeight="1">
      <c r="A214" s="898"/>
      <c r="B214" s="1543"/>
      <c r="D214" s="1543"/>
      <c r="K214" s="1543"/>
      <c r="N214" s="1543"/>
      <c r="O214" s="1543"/>
      <c r="P214" s="1543"/>
      <c r="Q214" s="1543"/>
      <c r="S214" s="1543"/>
      <c r="T214" s="1543"/>
      <c r="U214" s="1543"/>
      <c r="V214" s="1543"/>
      <c r="W214" s="1543"/>
      <c r="X214" s="1543"/>
      <c r="Y214" s="1543"/>
      <c r="Z214" s="1543"/>
      <c r="AA214" s="1543"/>
      <c r="AB214" s="1543"/>
      <c r="AC214" s="1543"/>
      <c r="AD214" s="1543"/>
      <c r="AE214" s="1543"/>
    </row>
    <row r="215" spans="1:31" ht="11.25" customHeight="1">
      <c r="A215" s="898"/>
      <c r="B215" s="1543"/>
      <c r="D215" s="1543"/>
      <c r="K215" s="1543"/>
      <c r="N215" s="1543"/>
      <c r="O215" s="1543"/>
      <c r="P215" s="1543"/>
      <c r="Q215" s="1543"/>
      <c r="S215" s="1543"/>
      <c r="T215" s="1543"/>
      <c r="U215" s="1543"/>
      <c r="V215" s="1543"/>
      <c r="W215" s="1543"/>
      <c r="X215" s="1543"/>
      <c r="Y215" s="1543"/>
      <c r="Z215" s="1543"/>
      <c r="AA215" s="1543"/>
      <c r="AB215" s="1543"/>
      <c r="AC215" s="1543"/>
      <c r="AD215" s="1543"/>
      <c r="AE215" s="1543"/>
    </row>
    <row r="216" spans="1:31" ht="11.25" customHeight="1">
      <c r="A216" s="898"/>
      <c r="B216" s="1543"/>
      <c r="D216" s="1543"/>
      <c r="K216" s="1543"/>
      <c r="N216" s="1543"/>
      <c r="O216" s="1543"/>
      <c r="P216" s="1543"/>
      <c r="Q216" s="1543"/>
      <c r="S216" s="1543"/>
      <c r="T216" s="1543"/>
      <c r="U216" s="1543"/>
      <c r="V216" s="1543"/>
      <c r="W216" s="1543"/>
      <c r="X216" s="1543"/>
      <c r="Y216" s="1543"/>
      <c r="Z216" s="1543"/>
      <c r="AA216" s="1543"/>
      <c r="AB216" s="1543"/>
      <c r="AC216" s="1543"/>
      <c r="AD216" s="1543"/>
      <c r="AE216" s="1543"/>
    </row>
    <row r="217" spans="1:31" ht="11.25" customHeight="1">
      <c r="A217" s="898"/>
      <c r="B217" s="1543"/>
      <c r="D217" s="1543"/>
      <c r="K217" s="1543"/>
      <c r="N217" s="1543"/>
      <c r="O217" s="1543"/>
      <c r="P217" s="1543"/>
      <c r="Q217" s="1543"/>
      <c r="S217" s="1543"/>
      <c r="T217" s="1543"/>
      <c r="U217" s="1543"/>
      <c r="V217" s="1543"/>
      <c r="W217" s="1543"/>
      <c r="X217" s="1543"/>
      <c r="Y217" s="1543"/>
      <c r="Z217" s="1543"/>
      <c r="AA217" s="1543"/>
      <c r="AB217" s="1543"/>
      <c r="AC217" s="1543"/>
      <c r="AD217" s="1543"/>
      <c r="AE217" s="1543"/>
    </row>
    <row r="218" spans="1:31" ht="11.25" customHeight="1">
      <c r="A218" s="898"/>
      <c r="B218" s="1543"/>
      <c r="D218" s="1543"/>
      <c r="K218" s="1543"/>
      <c r="N218" s="1543"/>
      <c r="O218" s="1543"/>
      <c r="P218" s="1543"/>
      <c r="Q218" s="1543"/>
      <c r="S218" s="1543"/>
      <c r="T218" s="1543"/>
      <c r="U218" s="1543"/>
      <c r="V218" s="1543"/>
      <c r="W218" s="1543"/>
      <c r="X218" s="1543"/>
      <c r="Y218" s="1543"/>
      <c r="Z218" s="1543"/>
      <c r="AA218" s="1543"/>
      <c r="AB218" s="1543"/>
      <c r="AC218" s="1543"/>
      <c r="AD218" s="1543"/>
      <c r="AE218" s="1543"/>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3811" hidden="1" customWidth="1"/>
    <col min="2" max="2" width="16.85546875" style="2553" hidden="1" customWidth="1"/>
    <col min="3" max="3" width="5.5703125" style="3810" hidden="1" customWidth="1"/>
    <col min="4" max="4" width="3.7109375" style="3817" customWidth="1"/>
    <col min="5" max="5" width="7.7109375" style="1923" customWidth="1"/>
    <col min="6" max="6" width="54.5703125" style="1923" customWidth="1"/>
    <col min="7" max="7" width="10.42578125" style="1923" customWidth="1"/>
    <col min="8" max="8" width="40.7109375" style="1923" hidden="1" customWidth="1"/>
    <col min="9" max="9" width="40.7109375" style="1923" customWidth="1"/>
    <col min="10" max="10" width="102.85546875" style="1923" customWidth="1"/>
    <col min="11" max="11" width="9.7109375" style="2553" customWidth="1"/>
    <col min="12" max="12" width="5.28515625" style="3810" customWidth="1"/>
    <col min="13" max="13" width="3.7109375" style="3810" customWidth="1"/>
    <col min="14" max="17" width="3.7109375" style="2553" customWidth="1"/>
    <col min="18" max="18" width="10.5703125" style="3810" customWidth="1"/>
    <col min="19" max="19" width="34.7109375" style="2553" customWidth="1"/>
    <col min="20" max="20" width="9.42578125" style="2553" customWidth="1"/>
    <col min="21" max="21" width="9.140625" style="3812"/>
    <col min="22" max="26" width="9.140625" style="2553"/>
    <col min="27" max="31" width="9.140625" style="1922"/>
  </cols>
  <sheetData>
    <row r="1" spans="1:31" s="2553" customFormat="1" ht="11.25" hidden="1" customHeight="1">
      <c r="A1" s="895"/>
      <c r="C1" s="1548"/>
      <c r="D1" s="462"/>
      <c r="H1" s="1060">
        <v>4</v>
      </c>
      <c r="I1" s="1060">
        <v>4</v>
      </c>
      <c r="L1" s="1548"/>
      <c r="M1" s="1548"/>
      <c r="R1" s="1548"/>
    </row>
    <row r="2" spans="1:31" s="2553" customFormat="1" ht="22.5" hidden="1" customHeight="1">
      <c r="A2" s="895"/>
      <c r="C2" s="1548"/>
      <c r="D2" s="463"/>
      <c r="E2" s="1569"/>
      <c r="F2" s="465"/>
      <c r="G2" s="1568" t="s">
        <v>535</v>
      </c>
      <c r="H2" s="466"/>
      <c r="I2" s="466"/>
      <c r="J2" s="467" t="s">
        <v>538</v>
      </c>
      <c r="K2" s="468"/>
      <c r="L2" s="1548"/>
      <c r="M2" s="1548"/>
      <c r="R2" s="1548"/>
      <c r="U2" s="469"/>
      <c r="AA2" s="1544"/>
      <c r="AB2" s="1544"/>
      <c r="AC2" s="1544"/>
      <c r="AD2" s="1544"/>
      <c r="AE2" s="1544"/>
    </row>
    <row r="3" spans="1:31" ht="11.25" hidden="1" customHeight="1"/>
    <row r="4" spans="1:31" s="1922"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32.25" customHeight="1">
      <c r="E6" s="4058" t="s">
        <v>672</v>
      </c>
      <c r="F6" s="4058"/>
      <c r="G6" s="4058"/>
      <c r="H6" s="4058"/>
      <c r="I6" s="4058"/>
      <c r="J6" s="481"/>
    </row>
    <row r="7" spans="1:31" ht="24" customHeight="1">
      <c r="E7" s="4004" t="str">
        <f>IF(org=0,"Не определено",org)</f>
        <v>ООО «РИР-Сахалин»</v>
      </c>
      <c r="F7" s="4004"/>
      <c r="G7" s="4004"/>
      <c r="H7" s="4004"/>
      <c r="I7" s="4004"/>
    </row>
    <row r="8" spans="1:31" ht="11.25" customHeight="1">
      <c r="E8" s="1037"/>
      <c r="F8" s="1037"/>
      <c r="G8" s="1037"/>
      <c r="H8" s="1037"/>
      <c r="I8" s="1037"/>
    </row>
    <row r="9" spans="1:31" s="3810" customFormat="1" ht="0.75" customHeight="1">
      <c r="A9" s="1067"/>
      <c r="D9" s="1553"/>
      <c r="H9" s="802"/>
      <c r="I9" s="802" t="s">
        <v>115</v>
      </c>
    </row>
    <row r="10" spans="1:31" ht="11.25" customHeight="1">
      <c r="E10" s="630"/>
      <c r="F10" s="4148" t="s">
        <v>103</v>
      </c>
      <c r="G10" s="4149"/>
      <c r="H10" s="1570" t="str">
        <f>IF(H9="","",INDEX(DIFFERENTIATION_UNMERGE_VD,MATCH(H9,DIFFERENTIATION_ID_DIFF,0)))</f>
        <v/>
      </c>
      <c r="I10" s="1570">
        <f>IF(I9="","",INDEX(DIFFERENTIATION_UNMERGE_VD,MATCH(I9,DIFFERENTIATION_ID_DIFF,0)))</f>
        <v>0</v>
      </c>
      <c r="J10" s="3946"/>
    </row>
    <row r="11" spans="1:31" ht="11.25" customHeight="1">
      <c r="E11" s="630"/>
      <c r="F11" s="4148" t="s">
        <v>547</v>
      </c>
      <c r="G11" s="4149"/>
      <c r="H11" s="1570" t="str">
        <f>IF(H9="","",INDEX(DIFFERENTIATION_UNMERGE_AREA,MATCH(H9,DIFFERENTIATION_ID_DIFF,0)))</f>
        <v/>
      </c>
      <c r="I11" s="1570" t="str">
        <f>IF(I9="","",INDEX(DIFFERENTIATION_UNMERGE_AREA,MATCH(I9,DIFFERENTIATION_ID_DIFF,0)))</f>
        <v/>
      </c>
      <c r="J11" s="3946"/>
    </row>
    <row r="12" spans="1:31" ht="11.25" hidden="1" customHeight="1">
      <c r="E12" s="1573"/>
      <c r="F12" s="4164" t="s">
        <v>548</v>
      </c>
      <c r="G12" s="4165"/>
      <c r="H12" s="1574" t="str">
        <f>IF(H9="","",INDEX(DIFFERENTIATION_UNMERGE_SYSTEM,MATCH(H9,DIFFERENTIATION_ID_DIFF,0)))</f>
        <v/>
      </c>
      <c r="I12" s="1574" t="str">
        <f>IF(I9="","",INDEX(DIFFERENTIATION_UNMERGE_SYSTEM,MATCH(I9,DIFFERENTIATION_ID_DIFF,0)))</f>
        <v>без дифференциации</v>
      </c>
      <c r="J12" s="3946"/>
    </row>
    <row r="13" spans="1:31" ht="11.25" customHeight="1">
      <c r="E13" s="4150" t="s">
        <v>290</v>
      </c>
      <c r="F13" s="4151"/>
      <c r="G13" s="4151"/>
      <c r="H13" s="1567"/>
      <c r="I13" s="1567"/>
      <c r="J13" s="3946"/>
    </row>
    <row r="14" spans="1:31" ht="22.5" customHeight="1">
      <c r="E14" s="1568" t="s">
        <v>86</v>
      </c>
      <c r="F14" s="1571" t="s">
        <v>292</v>
      </c>
      <c r="G14" s="1571" t="s">
        <v>549</v>
      </c>
      <c r="H14" s="1571" t="s">
        <v>293</v>
      </c>
      <c r="I14" s="1571" t="s">
        <v>293</v>
      </c>
      <c r="J14" s="3946"/>
    </row>
    <row r="15" spans="1:31" ht="18.75" customHeight="1">
      <c r="D15" s="1550"/>
      <c r="E15" s="1542" t="s">
        <v>107</v>
      </c>
      <c r="F15" s="626" t="s">
        <v>673</v>
      </c>
      <c r="G15" s="1568" t="s">
        <v>535</v>
      </c>
      <c r="H15" s="482"/>
      <c r="I15" s="482"/>
      <c r="J15" s="208" t="s">
        <v>674</v>
      </c>
      <c r="K15" s="468" t="s">
        <v>602</v>
      </c>
    </row>
    <row r="16" spans="1:31" ht="22.5" customHeight="1">
      <c r="D16" s="1550"/>
      <c r="E16" s="1542" t="s">
        <v>108</v>
      </c>
      <c r="F16" s="1576" t="s">
        <v>675</v>
      </c>
      <c r="G16" s="1568" t="s">
        <v>535</v>
      </c>
      <c r="H16" s="483">
        <f>SUM(H17,H20:H27)</f>
        <v>0</v>
      </c>
      <c r="I16" s="483">
        <f>SUM(I17,I20:I27)</f>
        <v>0</v>
      </c>
      <c r="J16" s="208" t="s">
        <v>676</v>
      </c>
      <c r="K16" s="468" t="s">
        <v>602</v>
      </c>
    </row>
    <row r="17" spans="1:31" ht="33.75" customHeight="1">
      <c r="D17" s="1550"/>
      <c r="E17" s="1575" t="s">
        <v>605</v>
      </c>
      <c r="F17" s="1578" t="s">
        <v>677</v>
      </c>
      <c r="G17" s="1565" t="s">
        <v>535</v>
      </c>
      <c r="H17" s="482"/>
      <c r="I17" s="482"/>
      <c r="J17" s="208" t="s">
        <v>678</v>
      </c>
      <c r="K17" s="468"/>
    </row>
    <row r="18" spans="1:31" ht="18.75" customHeight="1">
      <c r="D18" s="1550"/>
      <c r="E18" s="1575" t="s">
        <v>608</v>
      </c>
      <c r="F18" s="1579" t="s">
        <v>679</v>
      </c>
      <c r="G18" s="1565" t="s">
        <v>535</v>
      </c>
      <c r="H18" s="482"/>
      <c r="I18" s="482"/>
      <c r="J18" s="208"/>
      <c r="K18" s="468"/>
    </row>
    <row r="19" spans="1:31" ht="22.5" customHeight="1">
      <c r="D19" s="1550"/>
      <c r="E19" s="1575" t="s">
        <v>611</v>
      </c>
      <c r="F19" s="1579" t="s">
        <v>680</v>
      </c>
      <c r="G19" s="1565" t="s">
        <v>535</v>
      </c>
      <c r="H19" s="482"/>
      <c r="I19" s="482"/>
      <c r="J19" s="208"/>
      <c r="K19" s="468"/>
    </row>
    <row r="20" spans="1:31" ht="33.75" customHeight="1">
      <c r="D20" s="1550"/>
      <c r="E20" s="1575" t="s">
        <v>297</v>
      </c>
      <c r="F20" s="1578" t="s">
        <v>681</v>
      </c>
      <c r="G20" s="1565" t="s">
        <v>535</v>
      </c>
      <c r="H20" s="482"/>
      <c r="I20" s="482"/>
      <c r="J20" s="208"/>
      <c r="K20" s="468"/>
    </row>
    <row r="21" spans="1:31" ht="33.75" customHeight="1">
      <c r="D21" s="1550"/>
      <c r="E21" s="1575" t="s">
        <v>300</v>
      </c>
      <c r="F21" s="1578" t="s">
        <v>682</v>
      </c>
      <c r="G21" s="1565" t="s">
        <v>535</v>
      </c>
      <c r="H21" s="482"/>
      <c r="I21" s="482"/>
      <c r="J21" s="208"/>
      <c r="K21" s="468"/>
    </row>
    <row r="22" spans="1:31" ht="56.25" customHeight="1">
      <c r="D22" s="1550"/>
      <c r="E22" s="1575" t="s">
        <v>625</v>
      </c>
      <c r="F22" s="1578" t="s">
        <v>683</v>
      </c>
      <c r="G22" s="1565" t="s">
        <v>535</v>
      </c>
      <c r="H22" s="482"/>
      <c r="I22" s="482"/>
      <c r="J22" s="208"/>
      <c r="K22" s="468"/>
    </row>
    <row r="23" spans="1:31" ht="33.75" customHeight="1">
      <c r="D23" s="1550"/>
      <c r="E23" s="1575" t="s">
        <v>632</v>
      </c>
      <c r="F23" s="1578" t="s">
        <v>684</v>
      </c>
      <c r="G23" s="1565" t="s">
        <v>535</v>
      </c>
      <c r="H23" s="482"/>
      <c r="I23" s="482"/>
      <c r="J23" s="208"/>
      <c r="K23" s="468"/>
    </row>
    <row r="24" spans="1:31" ht="33.75" customHeight="1">
      <c r="D24" s="1550"/>
      <c r="E24" s="1575" t="s">
        <v>634</v>
      </c>
      <c r="F24" s="1578" t="s">
        <v>685</v>
      </c>
      <c r="G24" s="1565" t="s">
        <v>535</v>
      </c>
      <c r="H24" s="482"/>
      <c r="I24" s="482"/>
      <c r="J24" s="208"/>
      <c r="K24" s="468"/>
    </row>
    <row r="25" spans="1:31" ht="22.5" customHeight="1">
      <c r="D25" s="1550"/>
      <c r="E25" s="1575" t="s">
        <v>636</v>
      </c>
      <c r="F25" s="1578" t="s">
        <v>686</v>
      </c>
      <c r="G25" s="1565" t="s">
        <v>535</v>
      </c>
      <c r="H25" s="482"/>
      <c r="I25" s="482"/>
      <c r="J25" s="208"/>
      <c r="K25" s="468"/>
    </row>
    <row r="26" spans="1:31" ht="67.5" customHeight="1">
      <c r="D26" s="1550"/>
      <c r="E26" s="1575" t="s">
        <v>638</v>
      </c>
      <c r="F26" s="1578" t="s">
        <v>687</v>
      </c>
      <c r="G26" s="1565" t="s">
        <v>535</v>
      </c>
      <c r="H26" s="482"/>
      <c r="I26" s="482"/>
      <c r="J26" s="208"/>
      <c r="K26" s="468"/>
    </row>
    <row r="27" spans="1:31" s="2553" customFormat="1" ht="22.5" customHeight="1">
      <c r="A27" s="895"/>
      <c r="C27" s="1548"/>
      <c r="D27" s="1550"/>
      <c r="E27" s="1541" t="s">
        <v>642</v>
      </c>
      <c r="F27" s="1540" t="s">
        <v>688</v>
      </c>
      <c r="G27" s="1566" t="s">
        <v>535</v>
      </c>
      <c r="H27" s="504">
        <f>SUM(H28:H29)</f>
        <v>0</v>
      </c>
      <c r="I27" s="504">
        <f>SUM(I28:I29)</f>
        <v>0</v>
      </c>
      <c r="J27" s="208" t="s">
        <v>640</v>
      </c>
      <c r="K27" s="468"/>
      <c r="L27" s="1548"/>
      <c r="M27" s="1548"/>
      <c r="R27" s="1548"/>
      <c r="U27" s="469"/>
      <c r="AA27" s="1544"/>
      <c r="AB27" s="1544"/>
      <c r="AC27" s="1544"/>
      <c r="AD27" s="1544"/>
      <c r="AE27" s="1544"/>
    </row>
    <row r="28" spans="1:31" s="3810" customFormat="1" ht="0.75" customHeight="1">
      <c r="A28" s="1067"/>
      <c r="D28" s="473"/>
      <c r="E28" s="719" t="str">
        <f>E27&amp;".0"</f>
        <v>2.9.0</v>
      </c>
      <c r="F28" s="899"/>
      <c r="G28" s="476"/>
      <c r="H28" s="900"/>
      <c r="I28" s="900"/>
      <c r="J28" s="901"/>
    </row>
    <row r="29" spans="1:31" s="2553" customFormat="1" ht="18.75" customHeight="1">
      <c r="A29" s="895"/>
      <c r="C29" s="1548"/>
      <c r="D29" s="1545"/>
      <c r="E29" s="495"/>
      <c r="F29" s="1577" t="s">
        <v>560</v>
      </c>
      <c r="G29" s="497"/>
      <c r="H29" s="498"/>
      <c r="I29" s="498"/>
      <c r="J29" s="220" t="s">
        <v>641</v>
      </c>
      <c r="K29" s="468"/>
      <c r="L29" s="1548"/>
      <c r="M29" s="1548"/>
      <c r="R29" s="1548"/>
      <c r="U29" s="469"/>
      <c r="AA29" s="1544"/>
      <c r="AB29" s="1544"/>
      <c r="AC29" s="1544"/>
      <c r="AD29" s="1544"/>
      <c r="AE29" s="1544"/>
    </row>
    <row r="30" spans="1:31" s="2553" customFormat="1" ht="22.5" customHeight="1">
      <c r="A30" s="895"/>
      <c r="C30" s="1548"/>
      <c r="D30" s="1550"/>
      <c r="E30" s="1575" t="s">
        <v>88</v>
      </c>
      <c r="F30" s="1572" t="s">
        <v>689</v>
      </c>
      <c r="G30" s="1565" t="s">
        <v>535</v>
      </c>
      <c r="H30" s="482"/>
      <c r="I30" s="482"/>
      <c r="J30" s="208"/>
      <c r="K30" s="468"/>
      <c r="L30" s="1548"/>
      <c r="M30" s="1548"/>
      <c r="R30" s="1548"/>
      <c r="U30" s="469"/>
      <c r="AA30" s="1544"/>
      <c r="AB30" s="1544"/>
      <c r="AC30" s="1544"/>
      <c r="AD30" s="1544"/>
      <c r="AE30" s="1544"/>
    </row>
    <row r="31" spans="1:31" s="2553" customFormat="1" ht="33.75" customHeight="1">
      <c r="A31" s="895"/>
      <c r="C31" s="1548"/>
      <c r="D31" s="500"/>
      <c r="E31" s="1575" t="s">
        <v>89</v>
      </c>
      <c r="F31" s="1572" t="s">
        <v>690</v>
      </c>
      <c r="G31" s="1565" t="s">
        <v>535</v>
      </c>
      <c r="H31" s="482"/>
      <c r="I31" s="482"/>
      <c r="J31" s="208" t="s">
        <v>691</v>
      </c>
      <c r="K31" s="468"/>
      <c r="L31" s="1548"/>
      <c r="M31" s="1548"/>
      <c r="R31" s="1548"/>
      <c r="U31" s="469"/>
      <c r="AA31" s="1544"/>
      <c r="AB31" s="1544"/>
      <c r="AC31" s="1544"/>
      <c r="AD31" s="1544"/>
      <c r="AE31" s="1544"/>
    </row>
    <row r="32" spans="1:31" s="2553" customFormat="1" ht="22.5" customHeight="1">
      <c r="A32" s="895"/>
      <c r="C32" s="1548"/>
      <c r="D32" s="1550"/>
      <c r="E32" s="1575" t="s">
        <v>650</v>
      </c>
      <c r="F32" s="610" t="s">
        <v>654</v>
      </c>
      <c r="G32" s="1565" t="s">
        <v>535</v>
      </c>
      <c r="H32" s="482"/>
      <c r="I32" s="482"/>
      <c r="J32" s="208" t="s">
        <v>692</v>
      </c>
      <c r="K32" s="468"/>
      <c r="L32" s="1548"/>
      <c r="M32" s="1548"/>
      <c r="R32" s="1548"/>
      <c r="U32" s="469"/>
      <c r="AA32" s="1544"/>
      <c r="AB32" s="1544"/>
      <c r="AC32" s="1544"/>
      <c r="AD32" s="1544"/>
      <c r="AE32" s="1544"/>
    </row>
    <row r="33" spans="1:31" s="2553" customFormat="1" ht="22.5" customHeight="1">
      <c r="A33" s="895"/>
      <c r="C33" s="1548"/>
      <c r="D33" s="1550"/>
      <c r="E33" s="1575" t="s">
        <v>693</v>
      </c>
      <c r="F33" s="610" t="s">
        <v>694</v>
      </c>
      <c r="G33" s="1565" t="s">
        <v>535</v>
      </c>
      <c r="H33" s="482"/>
      <c r="I33" s="482"/>
      <c r="J33" s="208" t="s">
        <v>695</v>
      </c>
      <c r="K33" s="468"/>
      <c r="L33" s="1548"/>
      <c r="M33" s="1548"/>
      <c r="R33" s="1548"/>
      <c r="U33" s="469"/>
      <c r="AA33" s="1544"/>
      <c r="AB33" s="1544"/>
      <c r="AC33" s="1544"/>
      <c r="AD33" s="1544"/>
      <c r="AE33" s="1544"/>
    </row>
    <row r="34" spans="1:31" s="2553" customFormat="1" ht="22.5" customHeight="1">
      <c r="A34" s="895"/>
      <c r="C34" s="1548"/>
      <c r="D34" s="1550"/>
      <c r="E34" s="1575" t="s">
        <v>696</v>
      </c>
      <c r="F34" s="610" t="s">
        <v>660</v>
      </c>
      <c r="G34" s="1565" t="s">
        <v>535</v>
      </c>
      <c r="H34" s="482"/>
      <c r="I34" s="482"/>
      <c r="J34" s="208" t="s">
        <v>697</v>
      </c>
      <c r="K34" s="468"/>
      <c r="L34" s="1548"/>
      <c r="M34" s="1548"/>
      <c r="R34" s="1548"/>
      <c r="U34" s="469"/>
      <c r="AA34" s="1544"/>
      <c r="AB34" s="1544"/>
      <c r="AC34" s="1544"/>
      <c r="AD34" s="1544"/>
      <c r="AE34" s="1544"/>
    </row>
    <row r="35" spans="1:31" s="2553" customFormat="1" ht="33.75" customHeight="1">
      <c r="A35" s="895"/>
      <c r="C35" s="1548" t="s">
        <v>571</v>
      </c>
      <c r="D35" s="1550"/>
      <c r="E35" s="1575" t="s">
        <v>109</v>
      </c>
      <c r="F35" s="1572" t="s">
        <v>662</v>
      </c>
      <c r="G35" s="1568" t="s">
        <v>296</v>
      </c>
      <c r="H35" s="335"/>
      <c r="I35" s="335"/>
      <c r="J35" s="208" t="s">
        <v>698</v>
      </c>
      <c r="K35" s="468"/>
      <c r="L35" s="1548"/>
      <c r="M35" s="1548"/>
      <c r="R35" s="1548"/>
      <c r="U35" s="469"/>
      <c r="AA35" s="1544"/>
      <c r="AB35" s="1544"/>
      <c r="AC35" s="1544"/>
      <c r="AD35" s="1544"/>
      <c r="AE35" s="1544"/>
    </row>
    <row r="36" spans="1:31" s="2553" customFormat="1" ht="22.5" customHeight="1">
      <c r="A36" s="895"/>
      <c r="C36" s="1548"/>
      <c r="D36" s="1550"/>
      <c r="E36" s="1575" t="s">
        <v>90</v>
      </c>
      <c r="F36" s="1572" t="s">
        <v>699</v>
      </c>
      <c r="G36" s="1565" t="s">
        <v>666</v>
      </c>
      <c r="H36" s="470"/>
      <c r="I36" s="470"/>
      <c r="J36" s="208" t="s">
        <v>667</v>
      </c>
      <c r="K36" s="468"/>
      <c r="L36" s="1548"/>
      <c r="M36" s="1548"/>
      <c r="R36" s="1548"/>
      <c r="U36" s="469"/>
      <c r="AA36" s="1544"/>
      <c r="AB36" s="1544"/>
      <c r="AC36" s="1544"/>
      <c r="AD36" s="1544"/>
      <c r="AE36" s="1544"/>
    </row>
    <row r="37" spans="1:31" s="2553" customFormat="1" ht="22.5" customHeight="1">
      <c r="A37" s="895"/>
      <c r="C37" s="1548"/>
      <c r="D37" s="1550"/>
      <c r="E37" s="1575" t="s">
        <v>91</v>
      </c>
      <c r="F37" s="1572" t="s">
        <v>700</v>
      </c>
      <c r="G37" s="1565" t="s">
        <v>669</v>
      </c>
      <c r="H37" s="470"/>
      <c r="I37" s="470"/>
      <c r="J37" s="208" t="s">
        <v>670</v>
      </c>
      <c r="K37" s="468"/>
      <c r="L37" s="1548"/>
      <c r="M37" s="1548"/>
      <c r="R37" s="1548"/>
      <c r="U37" s="469"/>
      <c r="AA37" s="1544"/>
      <c r="AB37" s="1544"/>
      <c r="AC37" s="1544"/>
      <c r="AD37" s="1544"/>
      <c r="AE37" s="1544"/>
    </row>
    <row r="38" spans="1:31" ht="11.25" customHeight="1">
      <c r="D38" s="1550"/>
    </row>
    <row r="39" spans="1:31" ht="26.25" customHeight="1">
      <c r="D39" s="1550"/>
      <c r="E39" s="1164" t="s">
        <v>701</v>
      </c>
      <c r="F39" s="4094" t="s">
        <v>702</v>
      </c>
      <c r="G39" s="4094"/>
      <c r="H39" s="4094"/>
      <c r="I39" s="4094"/>
      <c r="J39" s="4094"/>
    </row>
    <row r="40" spans="1:31" s="3813" customFormat="1" ht="37.5" customHeight="1">
      <c r="A40" s="895"/>
      <c r="B40" s="1548"/>
      <c r="C40" s="1548"/>
      <c r="D40" s="276"/>
      <c r="F40" s="4094" t="s">
        <v>703</v>
      </c>
      <c r="G40" s="4094"/>
      <c r="H40" s="4094"/>
      <c r="I40" s="4094"/>
      <c r="J40" s="4094"/>
      <c r="K40" s="1060"/>
      <c r="L40" s="1548"/>
      <c r="M40" s="1548"/>
      <c r="N40" s="1060"/>
      <c r="O40" s="1060"/>
      <c r="P40" s="1060"/>
      <c r="Q40" s="1060"/>
      <c r="R40" s="1548"/>
      <c r="S40" s="1060"/>
      <c r="T40" s="1060"/>
      <c r="U40" s="469"/>
      <c r="V40" s="1060"/>
      <c r="W40" s="1060"/>
      <c r="X40" s="1060"/>
      <c r="Y40" s="1060"/>
      <c r="Z40" s="1060"/>
      <c r="AA40" s="1544"/>
      <c r="AB40" s="491"/>
      <c r="AC40" s="491"/>
      <c r="AD40" s="491"/>
      <c r="AE40" s="491"/>
    </row>
    <row r="41" spans="1:31" s="3813" customFormat="1" ht="11.25" customHeight="1">
      <c r="A41" s="895"/>
      <c r="B41" s="1548"/>
      <c r="C41" s="1548"/>
      <c r="D41" s="276"/>
      <c r="K41" s="1060"/>
      <c r="L41" s="1548"/>
      <c r="M41" s="1548"/>
      <c r="N41" s="1060"/>
      <c r="O41" s="1060"/>
      <c r="P41" s="1060"/>
      <c r="Q41" s="1060"/>
      <c r="R41" s="1548"/>
      <c r="S41" s="1060"/>
      <c r="T41" s="1060"/>
      <c r="U41" s="469"/>
      <c r="V41" s="1060"/>
      <c r="W41" s="1060"/>
      <c r="X41" s="1060"/>
      <c r="Y41" s="1060"/>
      <c r="Z41" s="1060"/>
      <c r="AA41" s="1544"/>
      <c r="AB41" s="491"/>
      <c r="AC41" s="491"/>
      <c r="AD41" s="491"/>
      <c r="AE41" s="491"/>
    </row>
    <row r="42" spans="1:31" s="3813" customFormat="1" ht="11.25" customHeight="1">
      <c r="A42" s="895"/>
      <c r="B42" s="1548"/>
      <c r="C42" s="1548"/>
      <c r="D42" s="276"/>
      <c r="K42" s="1060"/>
      <c r="L42" s="1548"/>
      <c r="M42" s="1548"/>
      <c r="N42" s="1060"/>
      <c r="O42" s="1060"/>
      <c r="P42" s="1060"/>
      <c r="Q42" s="1060"/>
      <c r="R42" s="1548"/>
      <c r="S42" s="1060"/>
      <c r="T42" s="1060"/>
      <c r="U42" s="469"/>
      <c r="V42" s="1060"/>
      <c r="W42" s="1060"/>
      <c r="X42" s="1060"/>
      <c r="Y42" s="1060"/>
      <c r="Z42" s="1060"/>
      <c r="AA42" s="1544"/>
      <c r="AB42" s="491"/>
      <c r="AC42" s="491"/>
      <c r="AD42" s="491"/>
      <c r="AE42" s="491"/>
    </row>
    <row r="43" spans="1:31" s="3813" customFormat="1" ht="11.25" customHeight="1">
      <c r="A43" s="895"/>
      <c r="B43" s="1548"/>
      <c r="C43" s="1548"/>
      <c r="D43" s="276"/>
      <c r="H43" s="491"/>
      <c r="I43" s="491"/>
      <c r="K43" s="1060"/>
      <c r="L43" s="1548"/>
      <c r="M43" s="1548"/>
      <c r="N43" s="1060"/>
      <c r="O43" s="1060"/>
      <c r="P43" s="1060"/>
      <c r="Q43" s="1060"/>
      <c r="R43" s="1548"/>
      <c r="S43" s="1060"/>
      <c r="T43" s="1060"/>
      <c r="U43" s="469"/>
      <c r="V43" s="1060"/>
      <c r="W43" s="1060"/>
      <c r="X43" s="1060"/>
      <c r="Y43" s="1060"/>
      <c r="Z43" s="1060"/>
      <c r="AA43" s="1544"/>
      <c r="AB43" s="491"/>
      <c r="AC43" s="491"/>
      <c r="AD43" s="491"/>
      <c r="AE43" s="491"/>
    </row>
    <row r="44" spans="1:31" s="3813" customFormat="1" ht="11.25" customHeight="1">
      <c r="A44" s="895"/>
      <c r="B44" s="1548"/>
      <c r="C44" s="1548"/>
      <c r="D44" s="276"/>
      <c r="K44" s="1060"/>
      <c r="L44" s="1548"/>
      <c r="M44" s="1548"/>
      <c r="N44" s="1060"/>
      <c r="O44" s="1060"/>
      <c r="P44" s="1060"/>
      <c r="Q44" s="1060"/>
      <c r="R44" s="1548"/>
      <c r="S44" s="1060"/>
      <c r="T44" s="1060"/>
      <c r="U44" s="469"/>
      <c r="V44" s="1060"/>
      <c r="W44" s="1060"/>
      <c r="X44" s="1060"/>
      <c r="Y44" s="1060"/>
      <c r="Z44" s="1060"/>
      <c r="AA44" s="1544"/>
      <c r="AB44" s="491"/>
      <c r="AC44" s="491"/>
      <c r="AD44" s="491"/>
      <c r="AE44" s="491"/>
    </row>
    <row r="45" spans="1:31" s="3813" customFormat="1" ht="11.25" customHeight="1">
      <c r="A45" s="895"/>
      <c r="B45" s="1548"/>
      <c r="C45" s="1548"/>
      <c r="D45" s="276"/>
      <c r="K45" s="1060"/>
      <c r="L45" s="1548"/>
      <c r="M45" s="1548"/>
      <c r="N45" s="1060"/>
      <c r="O45" s="1060"/>
      <c r="P45" s="1060"/>
      <c r="Q45" s="1060"/>
      <c r="R45" s="1548"/>
      <c r="S45" s="1060"/>
      <c r="T45" s="1060"/>
      <c r="U45" s="469"/>
      <c r="V45" s="1060"/>
      <c r="W45" s="1060"/>
      <c r="X45" s="1060"/>
      <c r="Y45" s="1060"/>
      <c r="Z45" s="1060"/>
      <c r="AA45" s="1544"/>
      <c r="AB45" s="491"/>
      <c r="AC45" s="491"/>
      <c r="AD45" s="491"/>
      <c r="AE45" s="491"/>
    </row>
    <row r="46" spans="1:31" s="3813" customFormat="1" ht="11.25" customHeight="1">
      <c r="A46" s="895"/>
      <c r="B46" s="1548"/>
      <c r="C46" s="1548"/>
      <c r="D46" s="276"/>
      <c r="K46" s="1060"/>
      <c r="L46" s="1548"/>
      <c r="M46" s="1548"/>
      <c r="N46" s="1060"/>
      <c r="O46" s="1060"/>
      <c r="P46" s="1060"/>
      <c r="Q46" s="1060"/>
      <c r="R46" s="1548"/>
      <c r="S46" s="1060"/>
      <c r="T46" s="1060"/>
      <c r="U46" s="469"/>
      <c r="V46" s="1060"/>
      <c r="W46" s="1060"/>
      <c r="X46" s="1060"/>
      <c r="Y46" s="1060"/>
      <c r="Z46" s="1060"/>
      <c r="AA46" s="1544"/>
      <c r="AB46" s="491"/>
      <c r="AC46" s="491"/>
      <c r="AD46" s="491"/>
      <c r="AE46" s="491"/>
    </row>
    <row r="47" spans="1:31" s="3813" customFormat="1" ht="11.25" customHeight="1">
      <c r="A47" s="895"/>
      <c r="B47" s="1548"/>
      <c r="C47" s="1548"/>
      <c r="D47" s="276"/>
      <c r="K47" s="1060"/>
      <c r="L47" s="1548"/>
      <c r="M47" s="1548"/>
      <c r="N47" s="1060"/>
      <c r="O47" s="1060"/>
      <c r="P47" s="1060"/>
      <c r="Q47" s="1060"/>
      <c r="R47" s="1548"/>
      <c r="S47" s="1060"/>
      <c r="T47" s="1060"/>
      <c r="U47" s="469"/>
      <c r="V47" s="1060"/>
      <c r="W47" s="1060"/>
      <c r="X47" s="1060"/>
      <c r="Y47" s="1060"/>
      <c r="Z47" s="1060"/>
      <c r="AA47" s="1544"/>
      <c r="AB47" s="491"/>
      <c r="AC47" s="491"/>
      <c r="AD47" s="491"/>
      <c r="AE47" s="491"/>
    </row>
    <row r="48" spans="1:31" s="3813" customFormat="1" ht="11.25" customHeight="1">
      <c r="A48" s="895"/>
      <c r="B48" s="1548"/>
      <c r="C48" s="1548"/>
      <c r="D48" s="276"/>
      <c r="K48" s="1060"/>
      <c r="L48" s="1548"/>
      <c r="M48" s="1548"/>
      <c r="N48" s="1060"/>
      <c r="O48" s="1060"/>
      <c r="P48" s="1060"/>
      <c r="Q48" s="1060"/>
      <c r="R48" s="1548"/>
      <c r="S48" s="1060"/>
      <c r="T48" s="1060"/>
      <c r="U48" s="469"/>
      <c r="V48" s="1060"/>
      <c r="W48" s="1060"/>
      <c r="X48" s="1060"/>
      <c r="Y48" s="1060"/>
      <c r="Z48" s="1060"/>
      <c r="AA48" s="1544"/>
      <c r="AB48" s="491"/>
      <c r="AC48" s="491"/>
      <c r="AD48" s="491"/>
      <c r="AE48" s="491"/>
    </row>
    <row r="49" spans="1:31" s="3813" customFormat="1" ht="11.25" customHeight="1">
      <c r="A49" s="895"/>
      <c r="B49" s="1548"/>
      <c r="C49" s="1548"/>
      <c r="D49" s="276"/>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3813"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3813"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3813" customFormat="1" ht="11.25" customHeight="1">
      <c r="A52" s="895"/>
      <c r="B52" s="1548"/>
      <c r="C52" s="1548"/>
      <c r="D52" s="276"/>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3813"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3813"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3813"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3813"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3813"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3813"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3813"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3813"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3813"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3813"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3813"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3813"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3813"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3813"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3813"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3813"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3813"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3813"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3813"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3813"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3813"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3813"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3813"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3813"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3813"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3813"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3813"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3813"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3813"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3813"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3813"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3813"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3813"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3813"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3813"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3813"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3813"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3813"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3813"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3813"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3813"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3813"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3813"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3813"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3813"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3813"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3813"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3813"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3813"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3813"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3813"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3813"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3813"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3813"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3813"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3813"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3813"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3813"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3813"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3813"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3813"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3813"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3813"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3813"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3813"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3813"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3813"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3813"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3813"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3813"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3813"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3813"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3813"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3813"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3813"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3813"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3813"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3813"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3813"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3813"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3813"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3813"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3813"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3813"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3813"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3813"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3813"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3813"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3813"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3813"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3813"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3813"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3813"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3813"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3813"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3813"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3813"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3813"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3813"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3813"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3813"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3813"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3813"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3813"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3813"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3813"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3813"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3813"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3813"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3813"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3813"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3813"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3813"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3813"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3813"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3813"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3813"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3813"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3813"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3813"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3813"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3813"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3813"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3813"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3813"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3813"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3813"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3813"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3813"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3813"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3813"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3813"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3813"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3813"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3813"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3813"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3813"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3813"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3813"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3813"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3813"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3813"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3813"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9" spans="1:31" ht="11.25" customHeight="1">
      <c r="A199" s="898"/>
      <c r="B199" s="1543"/>
      <c r="D199" s="1543"/>
      <c r="K199" s="1543"/>
      <c r="N199" s="1543"/>
      <c r="O199" s="1543"/>
      <c r="P199" s="1543"/>
      <c r="Q199" s="1543"/>
      <c r="S199" s="1543"/>
      <c r="T199" s="1543"/>
      <c r="U199" s="1543"/>
      <c r="V199" s="1543"/>
      <c r="W199" s="1543"/>
      <c r="X199" s="1543"/>
      <c r="Y199" s="1543"/>
      <c r="Z199" s="1543"/>
      <c r="AA199" s="1543"/>
      <c r="AB199" s="1543"/>
      <c r="AC199" s="1543"/>
      <c r="AD199" s="1543"/>
      <c r="AE199" s="1543"/>
    </row>
    <row r="200" spans="1:31" ht="11.25" customHeight="1">
      <c r="A200" s="898"/>
      <c r="B200" s="1543"/>
      <c r="D200" s="1543"/>
      <c r="K200" s="1543"/>
      <c r="N200" s="1543"/>
      <c r="O200" s="1543"/>
      <c r="P200" s="1543"/>
      <c r="Q200" s="1543"/>
      <c r="S200" s="1543"/>
      <c r="T200" s="1543"/>
      <c r="U200" s="1543"/>
      <c r="V200" s="1543"/>
      <c r="W200" s="1543"/>
      <c r="X200" s="1543"/>
      <c r="Y200" s="1543"/>
      <c r="Z200" s="1543"/>
      <c r="AA200" s="1543"/>
      <c r="AB200" s="1543"/>
      <c r="AC200" s="1543"/>
      <c r="AD200" s="1543"/>
      <c r="AE200" s="1543"/>
    </row>
    <row r="201" spans="1:31" ht="11.25" customHeight="1">
      <c r="A201" s="898"/>
      <c r="B201" s="1543"/>
      <c r="D201" s="1543"/>
      <c r="K201" s="1543"/>
      <c r="N201" s="1543"/>
      <c r="O201" s="1543"/>
      <c r="P201" s="1543"/>
      <c r="Q201" s="1543"/>
      <c r="S201" s="1543"/>
      <c r="T201" s="1543"/>
      <c r="U201" s="1543"/>
      <c r="V201" s="1543"/>
      <c r="W201" s="1543"/>
      <c r="X201" s="1543"/>
      <c r="Y201" s="1543"/>
      <c r="Z201" s="1543"/>
      <c r="AA201" s="1543"/>
      <c r="AB201" s="1543"/>
      <c r="AC201" s="1543"/>
      <c r="AD201" s="1543"/>
      <c r="AE201" s="1543"/>
    </row>
    <row r="202" spans="1:31" ht="11.25" customHeight="1">
      <c r="A202" s="898"/>
      <c r="B202" s="1543"/>
      <c r="D202" s="1543"/>
      <c r="K202" s="1543"/>
      <c r="N202" s="1543"/>
      <c r="O202" s="1543"/>
      <c r="P202" s="1543"/>
      <c r="Q202" s="1543"/>
      <c r="S202" s="1543"/>
      <c r="T202" s="1543"/>
      <c r="U202" s="1543"/>
      <c r="V202" s="1543"/>
      <c r="W202" s="1543"/>
      <c r="X202" s="1543"/>
      <c r="Y202" s="1543"/>
      <c r="Z202" s="1543"/>
      <c r="AA202" s="1543"/>
      <c r="AB202" s="1543"/>
      <c r="AC202" s="1543"/>
      <c r="AD202" s="1543"/>
      <c r="AE202" s="1543"/>
    </row>
    <row r="203" spans="1:31" ht="11.25" customHeight="1">
      <c r="A203" s="898"/>
      <c r="B203" s="1543"/>
      <c r="D203" s="1543"/>
      <c r="K203" s="1543"/>
      <c r="N203" s="1543"/>
      <c r="O203" s="1543"/>
      <c r="P203" s="1543"/>
      <c r="Q203" s="1543"/>
      <c r="S203" s="1543"/>
      <c r="T203" s="1543"/>
      <c r="U203" s="1543"/>
      <c r="V203" s="1543"/>
      <c r="W203" s="1543"/>
      <c r="X203" s="1543"/>
      <c r="Y203" s="1543"/>
      <c r="Z203" s="1543"/>
      <c r="AA203" s="1543"/>
      <c r="AB203" s="1543"/>
      <c r="AC203" s="1543"/>
      <c r="AD203" s="1543"/>
      <c r="AE203" s="1543"/>
    </row>
    <row r="204" spans="1:31" ht="11.25" customHeight="1">
      <c r="A204" s="898"/>
      <c r="B204" s="1543"/>
      <c r="D204" s="1543"/>
      <c r="K204" s="1543"/>
      <c r="N204" s="1543"/>
      <c r="O204" s="1543"/>
      <c r="P204" s="1543"/>
      <c r="Q204" s="1543"/>
      <c r="S204" s="1543"/>
      <c r="T204" s="1543"/>
      <c r="U204" s="1543"/>
      <c r="V204" s="1543"/>
      <c r="W204" s="1543"/>
      <c r="X204" s="1543"/>
      <c r="Y204" s="1543"/>
      <c r="Z204" s="1543"/>
      <c r="AA204" s="1543"/>
      <c r="AB204" s="1543"/>
      <c r="AC204" s="1543"/>
      <c r="AD204" s="1543"/>
      <c r="AE204" s="1543"/>
    </row>
    <row r="205" spans="1:31" ht="11.25" customHeight="1">
      <c r="A205" s="898"/>
      <c r="B205" s="1543"/>
      <c r="D205" s="1543"/>
      <c r="K205" s="1543"/>
      <c r="N205" s="1543"/>
      <c r="O205" s="1543"/>
      <c r="P205" s="1543"/>
      <c r="Q205" s="1543"/>
      <c r="S205" s="1543"/>
      <c r="T205" s="1543"/>
      <c r="U205" s="1543"/>
      <c r="V205" s="1543"/>
      <c r="W205" s="1543"/>
      <c r="X205" s="1543"/>
      <c r="Y205" s="1543"/>
      <c r="Z205" s="1543"/>
      <c r="AA205" s="1543"/>
      <c r="AB205" s="1543"/>
      <c r="AC205" s="1543"/>
      <c r="AD205" s="1543"/>
      <c r="AE205" s="1543"/>
    </row>
    <row r="206" spans="1:31" ht="11.25" customHeight="1">
      <c r="A206" s="898"/>
      <c r="B206" s="1543"/>
      <c r="D206" s="1543"/>
      <c r="K206" s="1543"/>
      <c r="N206" s="1543"/>
      <c r="O206" s="1543"/>
      <c r="P206" s="1543"/>
      <c r="Q206" s="1543"/>
      <c r="S206" s="1543"/>
      <c r="T206" s="1543"/>
      <c r="U206" s="1543"/>
      <c r="V206" s="1543"/>
      <c r="W206" s="1543"/>
      <c r="X206" s="1543"/>
      <c r="Y206" s="1543"/>
      <c r="Z206" s="1543"/>
      <c r="AA206" s="1543"/>
      <c r="AB206" s="1543"/>
      <c r="AC206" s="1543"/>
      <c r="AD206" s="1543"/>
      <c r="AE206" s="1543"/>
    </row>
    <row r="207" spans="1:31" ht="11.25" customHeight="1">
      <c r="A207" s="898"/>
      <c r="B207" s="1543"/>
      <c r="D207" s="1543"/>
      <c r="K207" s="1543"/>
      <c r="N207" s="1543"/>
      <c r="O207" s="1543"/>
      <c r="P207" s="1543"/>
      <c r="Q207" s="1543"/>
      <c r="S207" s="1543"/>
      <c r="T207" s="1543"/>
      <c r="U207" s="1543"/>
      <c r="V207" s="1543"/>
      <c r="W207" s="1543"/>
      <c r="X207" s="1543"/>
      <c r="Y207" s="1543"/>
      <c r="Z207" s="1543"/>
      <c r="AA207" s="1543"/>
      <c r="AB207" s="1543"/>
      <c r="AC207" s="1543"/>
      <c r="AD207" s="1543"/>
      <c r="AE207" s="1543"/>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3822" hidden="1" customWidth="1"/>
    <col min="2" max="2" width="3.5703125" style="1821" hidden="1" customWidth="1"/>
    <col min="3" max="3" width="3.7109375" style="1937" customWidth="1"/>
    <col min="4" max="4" width="7.7109375" style="1937" customWidth="1"/>
    <col min="5" max="5" width="69.85546875" style="1937" customWidth="1"/>
    <col min="6" max="6" width="11.140625" style="1937" customWidth="1"/>
    <col min="7" max="8" width="44" style="1937" hidden="1" customWidth="1"/>
    <col min="9" max="10" width="44" style="1824" customWidth="1"/>
    <col min="11" max="11" width="74" style="1937" customWidth="1"/>
    <col min="12" max="12" width="3.7109375" style="1937" customWidth="1"/>
    <col min="13" max="23" width="10.5703125" style="1937"/>
  </cols>
  <sheetData>
    <row r="1" spans="1:12" s="1825" customFormat="1" ht="11.25" hidden="1" customHeight="1">
      <c r="A1" s="461"/>
      <c r="B1" s="437"/>
      <c r="G1" s="351">
        <v>4</v>
      </c>
      <c r="I1" s="351">
        <v>4</v>
      </c>
      <c r="K1" s="351">
        <v>5</v>
      </c>
    </row>
    <row r="2" spans="1:12" ht="3" customHeight="1"/>
    <row r="3" spans="1:12" ht="75" customHeight="1">
      <c r="D3" s="39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3940"/>
      <c r="F3" s="3941"/>
    </row>
    <row r="4" spans="1:12" s="1824" customFormat="1" ht="20.25" customHeight="1">
      <c r="A4" s="860"/>
      <c r="B4" s="437"/>
      <c r="D4" s="4038" t="str">
        <f>IF(org=0,"Не определено",org)</f>
        <v>ООО «РИР-Сахалин»</v>
      </c>
      <c r="E4" s="4039"/>
      <c r="F4" s="4040"/>
    </row>
    <row r="5" spans="1:12" ht="11.25" customHeight="1">
      <c r="C5" s="435"/>
      <c r="D5" s="511"/>
      <c r="E5" s="511"/>
      <c r="F5" s="511"/>
      <c r="G5" s="511"/>
      <c r="H5" s="669"/>
      <c r="I5" s="511"/>
      <c r="J5" s="669"/>
      <c r="K5" s="511"/>
    </row>
    <row r="6" spans="1:12" ht="0.75" customHeight="1">
      <c r="C6" s="435"/>
      <c r="D6" s="435"/>
      <c r="E6" s="448"/>
      <c r="F6" s="535"/>
      <c r="G6" s="929"/>
      <c r="H6" s="929"/>
      <c r="I6" s="929" t="s">
        <v>115</v>
      </c>
      <c r="J6" s="929"/>
    </row>
    <row r="7" spans="1:12" ht="11.25" customHeight="1">
      <c r="D7" s="630"/>
      <c r="E7" s="4148" t="s">
        <v>103</v>
      </c>
      <c r="F7" s="4149"/>
      <c r="G7" s="4167" t="str">
        <f>IF(G6="","",INDEX(DIFFERENTIATION_UNMERGE_VD,MATCH(G6,DIFFERENTIATION_ID_DIFF,0)))</f>
        <v/>
      </c>
      <c r="H7" s="4168"/>
      <c r="I7" s="4167">
        <f>IF(I6="","",INDEX(DIFFERENTIATION_UNMERGE_VD,MATCH(I6,DIFFERENTIATION_ID_DIFF,0)))</f>
        <v>0</v>
      </c>
      <c r="J7" s="4168"/>
      <c r="K7" s="4003"/>
      <c r="L7" s="435"/>
    </row>
    <row r="8" spans="1:12" ht="11.25" customHeight="1">
      <c r="A8" s="623"/>
      <c r="D8" s="630"/>
      <c r="E8" s="4148" t="s">
        <v>547</v>
      </c>
      <c r="F8" s="4149"/>
      <c r="G8" s="4167" t="str">
        <f>IF(G6="","",INDEX(DIFFERENTIATION_UNMERGE_AREA,MATCH(G6,DIFFERENTIATION_ID_DIFF,0)))</f>
        <v/>
      </c>
      <c r="H8" s="4168"/>
      <c r="I8" s="4167" t="str">
        <f>IF(I6="","",INDEX(DIFFERENTIATION_UNMERGE_AREA,MATCH(I6,DIFFERENTIATION_ID_DIFF,0)))</f>
        <v/>
      </c>
      <c r="J8" s="4168"/>
      <c r="K8" s="4022"/>
      <c r="L8" s="435"/>
    </row>
    <row r="9" spans="1:12" ht="11.25" customHeight="1">
      <c r="A9" s="623"/>
      <c r="D9" s="630"/>
      <c r="E9" s="4148" t="s">
        <v>548</v>
      </c>
      <c r="F9" s="4149"/>
      <c r="G9" s="4167" t="str">
        <f>IF(G6="","",INDEX(DIFFERENTIATION_UNMERGE_SYSTEM,MATCH(G6,DIFFERENTIATION_ID_DIFF,0)))</f>
        <v/>
      </c>
      <c r="H9" s="4168"/>
      <c r="I9" s="4167" t="str">
        <f>IF(I6="","",INDEX(DIFFERENTIATION_UNMERGE_SYSTEM,MATCH(I6,DIFFERENTIATION_ID_DIFF,0)))</f>
        <v>без дифференциации</v>
      </c>
      <c r="J9" s="4168"/>
      <c r="K9" s="4022"/>
      <c r="L9" s="435"/>
    </row>
    <row r="10" spans="1:12" s="1824" customFormat="1" ht="11.25" customHeight="1">
      <c r="A10" s="928"/>
      <c r="B10" s="437"/>
      <c r="D10" s="3918" t="s">
        <v>290</v>
      </c>
      <c r="E10" s="3923"/>
      <c r="F10" s="3923"/>
      <c r="G10" s="3923"/>
      <c r="H10" s="3923"/>
      <c r="I10" s="3923"/>
      <c r="J10" s="3917"/>
      <c r="K10" s="4022"/>
      <c r="L10" s="435"/>
    </row>
    <row r="11" spans="1:12" s="1826" customFormat="1" ht="22.5" customHeight="1">
      <c r="A11" s="4094"/>
      <c r="B11" s="4094"/>
      <c r="C11" s="578"/>
      <c r="D11" s="622" t="s">
        <v>86</v>
      </c>
      <c r="E11" s="624" t="s">
        <v>704</v>
      </c>
      <c r="F11" s="624" t="s">
        <v>549</v>
      </c>
      <c r="G11" s="392" t="s">
        <v>293</v>
      </c>
      <c r="H11" s="392" t="s">
        <v>382</v>
      </c>
      <c r="I11" s="724" t="s">
        <v>293</v>
      </c>
      <c r="J11" s="725" t="s">
        <v>382</v>
      </c>
      <c r="K11" s="4053"/>
      <c r="L11" s="579"/>
    </row>
    <row r="12" spans="1:12" s="1821" customFormat="1" ht="10.5" customHeight="1">
      <c r="A12" s="861"/>
      <c r="D12" s="932" t="s">
        <v>107</v>
      </c>
      <c r="E12" s="932" t="s">
        <v>108</v>
      </c>
      <c r="F12" s="932" t="s">
        <v>88</v>
      </c>
      <c r="G12" s="933" t="str">
        <f>G1&amp;".1"</f>
        <v>4.1</v>
      </c>
      <c r="H12" s="933" t="str">
        <f>G1&amp;".2"</f>
        <v>4.2</v>
      </c>
      <c r="I12" s="933" t="str">
        <f>I1&amp;".1"</f>
        <v>4.1</v>
      </c>
      <c r="J12" s="933" t="str">
        <f>I1&amp;".2"</f>
        <v>4.2</v>
      </c>
      <c r="K12" s="933"/>
    </row>
    <row r="13" spans="1:12" ht="22.5" customHeight="1">
      <c r="A13" s="4166" t="s">
        <v>705</v>
      </c>
      <c r="D13" s="862" t="s">
        <v>107</v>
      </c>
      <c r="E13" s="199" t="s">
        <v>706</v>
      </c>
      <c r="F13" s="581" t="s">
        <v>707</v>
      </c>
      <c r="G13" s="482"/>
      <c r="H13" s="582"/>
      <c r="I13" s="482"/>
      <c r="J13" s="582"/>
      <c r="K13" s="208" t="s">
        <v>708</v>
      </c>
      <c r="L13" s="639"/>
    </row>
    <row r="14" spans="1:12" ht="22.5" customHeight="1">
      <c r="A14" s="4166"/>
      <c r="D14" s="464" t="s">
        <v>108</v>
      </c>
      <c r="E14" s="199" t="s">
        <v>709</v>
      </c>
      <c r="F14" s="581" t="s">
        <v>710</v>
      </c>
      <c r="G14" s="482"/>
      <c r="H14" s="583"/>
      <c r="I14" s="482"/>
      <c r="J14" s="583"/>
      <c r="K14" s="208" t="s">
        <v>711</v>
      </c>
      <c r="L14" s="639"/>
    </row>
    <row r="15" spans="1:12" s="1824" customFormat="1" ht="78.75" customHeight="1">
      <c r="A15" s="4166"/>
      <c r="B15" s="437"/>
      <c r="D15" s="862" t="s">
        <v>88</v>
      </c>
      <c r="E15" s="626" t="s">
        <v>712</v>
      </c>
      <c r="F15" s="859" t="s">
        <v>296</v>
      </c>
      <c r="G15" s="859" t="s">
        <v>296</v>
      </c>
      <c r="H15" s="37"/>
      <c r="I15" s="859" t="s">
        <v>296</v>
      </c>
      <c r="J15" s="37"/>
      <c r="K15" s="208" t="s">
        <v>713</v>
      </c>
      <c r="L15" s="639"/>
    </row>
    <row r="16" spans="1:12" s="1824" customFormat="1" ht="22.5" customHeight="1">
      <c r="A16" s="4166"/>
      <c r="B16" s="437"/>
      <c r="D16" s="862" t="s">
        <v>316</v>
      </c>
      <c r="E16" s="863" t="s">
        <v>714</v>
      </c>
      <c r="F16" s="859" t="s">
        <v>715</v>
      </c>
      <c r="G16" s="734"/>
      <c r="H16" s="37"/>
      <c r="I16" s="734"/>
      <c r="J16" s="37"/>
      <c r="K16" s="208"/>
      <c r="L16" s="639"/>
    </row>
    <row r="17" spans="1:23" s="1824" customFormat="1" ht="22.5" customHeight="1">
      <c r="A17" s="4166"/>
      <c r="B17" s="437"/>
      <c r="D17" s="862" t="s">
        <v>324</v>
      </c>
      <c r="E17" s="863" t="s">
        <v>716</v>
      </c>
      <c r="F17" s="859" t="s">
        <v>717</v>
      </c>
      <c r="G17" s="734"/>
      <c r="H17" s="37"/>
      <c r="I17" s="734"/>
      <c r="J17" s="37"/>
      <c r="K17" s="208"/>
      <c r="L17" s="639"/>
    </row>
    <row r="18" spans="1:23" s="1824" customFormat="1" ht="33.75" customHeight="1">
      <c r="A18" s="4166"/>
      <c r="B18" s="437"/>
      <c r="D18" s="862" t="s">
        <v>326</v>
      </c>
      <c r="E18" s="863" t="s">
        <v>718</v>
      </c>
      <c r="F18" s="859" t="s">
        <v>554</v>
      </c>
      <c r="G18" s="601"/>
      <c r="H18" s="37"/>
      <c r="I18" s="601"/>
      <c r="J18" s="37"/>
      <c r="K18" s="208"/>
      <c r="L18" s="639"/>
    </row>
    <row r="19" spans="1:23" ht="101.25" customHeight="1">
      <c r="A19" s="4166"/>
      <c r="D19" s="862" t="s">
        <v>89</v>
      </c>
      <c r="E19" s="199" t="s">
        <v>719</v>
      </c>
      <c r="F19" s="581" t="s">
        <v>529</v>
      </c>
      <c r="G19" s="584"/>
      <c r="H19" s="583"/>
      <c r="I19" s="864"/>
      <c r="J19" s="583"/>
      <c r="K19" s="208" t="s">
        <v>720</v>
      </c>
      <c r="L19" s="639"/>
    </row>
    <row r="20" spans="1:23" s="1824" customFormat="1" ht="18.75" customHeight="1">
      <c r="A20" s="4166"/>
      <c r="C20" s="865"/>
      <c r="D20" s="862" t="s">
        <v>650</v>
      </c>
      <c r="E20" s="863" t="s">
        <v>721</v>
      </c>
      <c r="F20" s="859" t="s">
        <v>296</v>
      </c>
      <c r="G20" s="859" t="s">
        <v>296</v>
      </c>
      <c r="H20" s="858" t="s">
        <v>296</v>
      </c>
      <c r="I20" s="859" t="s">
        <v>296</v>
      </c>
      <c r="J20" s="858" t="s">
        <v>296</v>
      </c>
      <c r="K20" s="857"/>
      <c r="L20" s="639"/>
      <c r="W20" s="596"/>
    </row>
    <row r="21" spans="1:23" s="1824" customFormat="1" ht="33.75" customHeight="1">
      <c r="A21" s="4166"/>
      <c r="C21" s="865"/>
      <c r="D21" s="862" t="s">
        <v>653</v>
      </c>
      <c r="E21" s="501" t="s">
        <v>722</v>
      </c>
      <c r="F21" s="859" t="s">
        <v>723</v>
      </c>
      <c r="G21" s="852"/>
      <c r="H21" s="37"/>
      <c r="I21" s="852"/>
      <c r="J21" s="37"/>
      <c r="K21" s="857"/>
      <c r="L21" s="639"/>
      <c r="W21" s="596"/>
    </row>
    <row r="22" spans="1:23" s="1824" customFormat="1" ht="33.75" customHeight="1">
      <c r="A22" s="4166"/>
      <c r="C22" s="865"/>
      <c r="D22" s="862" t="s">
        <v>656</v>
      </c>
      <c r="E22" s="501" t="s">
        <v>724</v>
      </c>
      <c r="F22" s="859" t="s">
        <v>725</v>
      </c>
      <c r="G22" s="852"/>
      <c r="H22" s="37"/>
      <c r="I22" s="852"/>
      <c r="J22" s="37"/>
      <c r="K22" s="857"/>
      <c r="L22" s="639"/>
      <c r="W22" s="596"/>
    </row>
    <row r="23" spans="1:23" s="1824" customFormat="1" ht="22.5" customHeight="1">
      <c r="A23" s="4166"/>
      <c r="C23" s="865"/>
      <c r="D23" s="862" t="s">
        <v>693</v>
      </c>
      <c r="E23" s="863" t="s">
        <v>726</v>
      </c>
      <c r="F23" s="859" t="s">
        <v>296</v>
      </c>
      <c r="G23" s="859" t="s">
        <v>296</v>
      </c>
      <c r="H23" s="858" t="s">
        <v>296</v>
      </c>
      <c r="I23" s="859" t="s">
        <v>296</v>
      </c>
      <c r="J23" s="858" t="s">
        <v>296</v>
      </c>
      <c r="K23" s="857"/>
      <c r="L23" s="639"/>
      <c r="W23" s="596"/>
    </row>
    <row r="24" spans="1:23" s="1824" customFormat="1" ht="22.5" customHeight="1">
      <c r="A24" s="4166"/>
      <c r="C24" s="865"/>
      <c r="D24" s="862" t="s">
        <v>727</v>
      </c>
      <c r="E24" s="501" t="s">
        <v>728</v>
      </c>
      <c r="F24" s="859" t="s">
        <v>729</v>
      </c>
      <c r="G24" s="852"/>
      <c r="H24" s="606"/>
      <c r="I24" s="852"/>
      <c r="J24" s="606"/>
      <c r="K24" s="857"/>
      <c r="L24" s="639"/>
      <c r="W24" s="596"/>
    </row>
    <row r="25" spans="1:23" s="1824" customFormat="1" ht="22.5" customHeight="1">
      <c r="A25" s="4166"/>
      <c r="C25" s="865"/>
      <c r="D25" s="862" t="s">
        <v>730</v>
      </c>
      <c r="E25" s="501" t="s">
        <v>731</v>
      </c>
      <c r="F25" s="859" t="s">
        <v>296</v>
      </c>
      <c r="G25" s="859" t="s">
        <v>296</v>
      </c>
      <c r="H25" s="858" t="s">
        <v>296</v>
      </c>
      <c r="I25" s="859" t="s">
        <v>296</v>
      </c>
      <c r="J25" s="858" t="s">
        <v>296</v>
      </c>
      <c r="K25" s="857"/>
      <c r="L25" s="639"/>
      <c r="W25" s="596"/>
    </row>
    <row r="26" spans="1:23" s="1824" customFormat="1" ht="18.75" customHeight="1">
      <c r="A26" s="4166"/>
      <c r="C26" s="865"/>
      <c r="D26" s="862" t="s">
        <v>732</v>
      </c>
      <c r="E26" s="478" t="s">
        <v>733</v>
      </c>
      <c r="F26" s="859" t="s">
        <v>734</v>
      </c>
      <c r="G26" s="601"/>
      <c r="H26" s="606"/>
      <c r="I26" s="601"/>
      <c r="J26" s="606"/>
      <c r="K26" s="857"/>
      <c r="L26" s="639"/>
      <c r="W26" s="596"/>
    </row>
    <row r="27" spans="1:23" s="1824" customFormat="1" ht="18.75" customHeight="1">
      <c r="A27" s="4166"/>
      <c r="C27" s="865"/>
      <c r="D27" s="862" t="s">
        <v>735</v>
      </c>
      <c r="E27" s="478" t="s">
        <v>736</v>
      </c>
      <c r="F27" s="859" t="s">
        <v>737</v>
      </c>
      <c r="G27" s="601"/>
      <c r="H27" s="606"/>
      <c r="I27" s="601"/>
      <c r="J27" s="606"/>
      <c r="K27" s="857"/>
      <c r="L27" s="639"/>
      <c r="W27" s="596"/>
    </row>
    <row r="28" spans="1:23" s="1824" customFormat="1" ht="18.75" customHeight="1">
      <c r="A28" s="4166"/>
      <c r="C28" s="865"/>
      <c r="D28" s="862" t="s">
        <v>738</v>
      </c>
      <c r="E28" s="501" t="s">
        <v>739</v>
      </c>
      <c r="F28" s="859" t="s">
        <v>296</v>
      </c>
      <c r="G28" s="859" t="s">
        <v>296</v>
      </c>
      <c r="H28" s="858" t="s">
        <v>296</v>
      </c>
      <c r="I28" s="859" t="s">
        <v>296</v>
      </c>
      <c r="J28" s="858" t="s">
        <v>296</v>
      </c>
      <c r="K28" s="857"/>
      <c r="L28" s="639"/>
      <c r="W28" s="596"/>
    </row>
    <row r="29" spans="1:23" s="1824" customFormat="1" ht="18.75" customHeight="1">
      <c r="A29" s="4166"/>
      <c r="C29" s="865"/>
      <c r="D29" s="862" t="s">
        <v>740</v>
      </c>
      <c r="E29" s="478" t="s">
        <v>733</v>
      </c>
      <c r="F29" s="859" t="s">
        <v>741</v>
      </c>
      <c r="G29" s="601"/>
      <c r="H29" s="606"/>
      <c r="I29" s="601"/>
      <c r="J29" s="606"/>
      <c r="K29" s="857"/>
      <c r="L29" s="639"/>
      <c r="W29" s="596"/>
    </row>
    <row r="30" spans="1:23" s="1824" customFormat="1" ht="18.75" customHeight="1">
      <c r="A30" s="4166"/>
      <c r="C30" s="865"/>
      <c r="D30" s="862" t="s">
        <v>742</v>
      </c>
      <c r="E30" s="478" t="s">
        <v>743</v>
      </c>
      <c r="F30" s="859" t="s">
        <v>744</v>
      </c>
      <c r="G30" s="601"/>
      <c r="H30" s="606"/>
      <c r="I30" s="601"/>
      <c r="J30" s="606"/>
      <c r="K30" s="857"/>
      <c r="L30" s="639"/>
      <c r="W30" s="596"/>
    </row>
    <row r="31" spans="1:23" ht="126.75" customHeight="1">
      <c r="A31" s="4166"/>
      <c r="D31" s="862" t="s">
        <v>109</v>
      </c>
      <c r="E31" s="199" t="s">
        <v>745</v>
      </c>
      <c r="F31" s="581" t="s">
        <v>541</v>
      </c>
      <c r="G31" s="482"/>
      <c r="H31" s="583"/>
      <c r="I31" s="482"/>
      <c r="J31" s="583"/>
      <c r="K31" s="208" t="s">
        <v>746</v>
      </c>
      <c r="L31" s="639"/>
    </row>
    <row r="32" spans="1:23" ht="56.25" customHeight="1">
      <c r="A32" s="4166"/>
      <c r="D32" s="862" t="s">
        <v>90</v>
      </c>
      <c r="E32" s="199" t="s">
        <v>747</v>
      </c>
      <c r="F32" s="464" t="s">
        <v>717</v>
      </c>
      <c r="G32" s="482"/>
      <c r="H32" s="583"/>
      <c r="I32" s="482"/>
      <c r="J32" s="583"/>
      <c r="K32" s="208" t="s">
        <v>748</v>
      </c>
      <c r="L32" s="639"/>
    </row>
    <row r="33" spans="1:11" ht="11.25" customHeight="1">
      <c r="A33" s="4166"/>
      <c r="E33" s="585"/>
      <c r="F33" s="102"/>
      <c r="G33" s="102"/>
      <c r="H33" s="102"/>
      <c r="I33" s="102"/>
      <c r="J33" s="102"/>
      <c r="K33" s="102"/>
    </row>
    <row r="34" spans="1:11" ht="12.75" customHeight="1">
      <c r="A34" s="4166"/>
      <c r="D34" s="2">
        <v>1</v>
      </c>
      <c r="E34" s="262" t="s">
        <v>749</v>
      </c>
    </row>
    <row r="35" spans="1:11" ht="11.25" customHeight="1">
      <c r="A35" s="4166"/>
      <c r="D35" s="297"/>
      <c r="E35" s="262" t="s">
        <v>750</v>
      </c>
    </row>
    <row r="36" spans="1:11" s="1826" customFormat="1" ht="11.25" customHeight="1">
      <c r="A36" s="940"/>
      <c r="B36" s="444"/>
      <c r="D36" s="941"/>
      <c r="E36" s="942"/>
    </row>
    <row r="37" spans="1:11" s="1824" customFormat="1" ht="22.5" hidden="1" customHeight="1">
      <c r="A37" s="4166" t="s">
        <v>751</v>
      </c>
      <c r="B37" s="437"/>
      <c r="D37" s="862">
        <v>1</v>
      </c>
      <c r="E37" s="626" t="s">
        <v>752</v>
      </c>
      <c r="F37" s="581" t="s">
        <v>707</v>
      </c>
      <c r="G37" s="482"/>
      <c r="H37" s="445"/>
      <c r="I37" s="482"/>
      <c r="J37" s="445"/>
      <c r="K37" s="208" t="s">
        <v>753</v>
      </c>
    </row>
    <row r="38" spans="1:11" s="1824" customFormat="1" ht="22.5" hidden="1" customHeight="1">
      <c r="A38" s="4166"/>
      <c r="B38" s="437"/>
      <c r="D38" s="590" t="s">
        <v>108</v>
      </c>
      <c r="E38" s="939" t="s">
        <v>754</v>
      </c>
      <c r="F38" s="943" t="s">
        <v>529</v>
      </c>
      <c r="G38" s="943" t="s">
        <v>529</v>
      </c>
      <c r="H38" s="937"/>
      <c r="I38" s="943" t="s">
        <v>529</v>
      </c>
      <c r="J38" s="937"/>
      <c r="K38" s="938"/>
    </row>
    <row r="39" spans="1:11" s="1824" customFormat="1" ht="33.75" hidden="1" customHeight="1">
      <c r="A39" s="4166"/>
      <c r="B39" s="437"/>
      <c r="D39" s="586" t="s">
        <v>608</v>
      </c>
      <c r="E39" s="642" t="s">
        <v>755</v>
      </c>
      <c r="F39" s="581" t="s">
        <v>756</v>
      </c>
      <c r="G39" s="589"/>
      <c r="H39" s="930"/>
      <c r="I39" s="589"/>
      <c r="J39" s="930"/>
      <c r="K39" s="208" t="s">
        <v>757</v>
      </c>
    </row>
    <row r="40" spans="1:11" s="1824" customFormat="1" ht="33.75" hidden="1" customHeight="1">
      <c r="A40" s="4166"/>
      <c r="B40" s="437"/>
      <c r="D40" s="586" t="s">
        <v>611</v>
      </c>
      <c r="E40" s="642" t="s">
        <v>758</v>
      </c>
      <c r="F40" s="934" t="s">
        <v>759</v>
      </c>
      <c r="G40" s="659"/>
      <c r="H40" s="930"/>
      <c r="I40" s="659"/>
      <c r="J40" s="930"/>
      <c r="K40" s="208" t="s">
        <v>760</v>
      </c>
    </row>
    <row r="41" spans="1:11" s="1824" customFormat="1" ht="22.5" hidden="1" customHeight="1">
      <c r="A41" s="4166"/>
      <c r="B41" s="437"/>
      <c r="D41" s="586" t="s">
        <v>88</v>
      </c>
      <c r="E41" s="641" t="s">
        <v>761</v>
      </c>
      <c r="F41" s="581" t="s">
        <v>529</v>
      </c>
      <c r="G41" s="581" t="s">
        <v>529</v>
      </c>
      <c r="H41" s="931"/>
      <c r="I41" s="581" t="s">
        <v>529</v>
      </c>
      <c r="J41" s="931"/>
      <c r="K41" s="221"/>
    </row>
    <row r="42" spans="1:11" s="1824" customFormat="1" ht="45" hidden="1" customHeight="1">
      <c r="A42" s="4166"/>
      <c r="B42" s="437"/>
      <c r="D42" s="586" t="s">
        <v>316</v>
      </c>
      <c r="E42" s="642" t="s">
        <v>762</v>
      </c>
      <c r="F42" s="581" t="s">
        <v>541</v>
      </c>
      <c r="G42" s="482"/>
      <c r="H42" s="931"/>
      <c r="I42" s="482"/>
      <c r="J42" s="931"/>
      <c r="K42" s="221" t="s">
        <v>763</v>
      </c>
    </row>
    <row r="43" spans="1:11" s="1824" customFormat="1" ht="45" hidden="1" customHeight="1">
      <c r="A43" s="4166"/>
      <c r="B43" s="437"/>
      <c r="D43" s="586" t="s">
        <v>324</v>
      </c>
      <c r="E43" s="588" t="s">
        <v>764</v>
      </c>
      <c r="F43" s="935" t="s">
        <v>541</v>
      </c>
      <c r="G43" s="660"/>
      <c r="H43" s="930"/>
      <c r="I43" s="660"/>
      <c r="J43" s="930"/>
      <c r="K43" s="221" t="s">
        <v>765</v>
      </c>
    </row>
    <row r="44" spans="1:11" s="1824" customFormat="1" ht="11.25" hidden="1" customHeight="1">
      <c r="A44" s="4166"/>
      <c r="B44" s="437"/>
      <c r="D44" s="586" t="s">
        <v>89</v>
      </c>
      <c r="E44" s="587" t="s">
        <v>766</v>
      </c>
      <c r="F44" s="581" t="s">
        <v>756</v>
      </c>
      <c r="G44" s="589"/>
      <c r="H44" s="930"/>
      <c r="I44" s="589"/>
      <c r="J44" s="930"/>
      <c r="K44" s="208"/>
    </row>
    <row r="45" spans="1:11" s="1824" customFormat="1" ht="11.25" hidden="1" customHeight="1">
      <c r="A45" s="4166"/>
      <c r="B45" s="437"/>
      <c r="D45" s="586" t="s">
        <v>650</v>
      </c>
      <c r="E45" s="588" t="s">
        <v>767</v>
      </c>
      <c r="F45" s="581" t="s">
        <v>756</v>
      </c>
      <c r="G45" s="589"/>
      <c r="H45" s="930"/>
      <c r="I45" s="589"/>
      <c r="J45" s="930"/>
      <c r="K45" s="208"/>
    </row>
    <row r="46" spans="1:11" s="1824" customFormat="1" ht="11.25" hidden="1" customHeight="1">
      <c r="A46" s="4166"/>
      <c r="B46" s="437"/>
      <c r="D46" s="586" t="s">
        <v>693</v>
      </c>
      <c r="E46" s="588" t="s">
        <v>768</v>
      </c>
      <c r="F46" s="581" t="s">
        <v>756</v>
      </c>
      <c r="G46" s="589"/>
      <c r="H46" s="930"/>
      <c r="I46" s="589"/>
      <c r="J46" s="930"/>
      <c r="K46" s="208"/>
    </row>
    <row r="47" spans="1:11" s="1824" customFormat="1" ht="11.25" hidden="1" customHeight="1">
      <c r="A47" s="4166"/>
      <c r="B47" s="437"/>
      <c r="D47" s="586" t="s">
        <v>696</v>
      </c>
      <c r="E47" s="588" t="s">
        <v>769</v>
      </c>
      <c r="F47" s="581" t="s">
        <v>756</v>
      </c>
      <c r="G47" s="589"/>
      <c r="H47" s="930"/>
      <c r="I47" s="589"/>
      <c r="J47" s="930"/>
      <c r="K47" s="208"/>
    </row>
    <row r="48" spans="1:11" s="1824" customFormat="1" ht="11.25" hidden="1" customHeight="1">
      <c r="A48" s="4166"/>
      <c r="B48" s="437"/>
      <c r="D48" s="586" t="s">
        <v>770</v>
      </c>
      <c r="E48" s="592" t="s">
        <v>771</v>
      </c>
      <c r="F48" s="581" t="s">
        <v>756</v>
      </c>
      <c r="G48" s="589"/>
      <c r="H48" s="930"/>
      <c r="I48" s="589"/>
      <c r="J48" s="930"/>
      <c r="K48" s="208"/>
    </row>
    <row r="49" spans="1:11" s="1824" customFormat="1" ht="11.25" hidden="1" customHeight="1">
      <c r="A49" s="4166"/>
      <c r="B49" s="437"/>
      <c r="D49" s="586" t="s">
        <v>772</v>
      </c>
      <c r="E49" s="592" t="s">
        <v>773</v>
      </c>
      <c r="F49" s="581" t="s">
        <v>756</v>
      </c>
      <c r="G49" s="589"/>
      <c r="H49" s="930"/>
      <c r="I49" s="589"/>
      <c r="J49" s="930"/>
      <c r="K49" s="208"/>
    </row>
    <row r="50" spans="1:11" s="1824" customFormat="1" ht="11.25" hidden="1" customHeight="1">
      <c r="A50" s="4166"/>
      <c r="B50" s="437"/>
      <c r="D50" s="586" t="s">
        <v>774</v>
      </c>
      <c r="E50" s="588" t="s">
        <v>775</v>
      </c>
      <c r="F50" s="581" t="s">
        <v>756</v>
      </c>
      <c r="G50" s="589"/>
      <c r="H50" s="930"/>
      <c r="I50" s="589"/>
      <c r="J50" s="930"/>
      <c r="K50" s="208"/>
    </row>
    <row r="51" spans="1:11" s="1824" customFormat="1" ht="11.25" hidden="1" customHeight="1">
      <c r="A51" s="4166"/>
      <c r="B51" s="437"/>
      <c r="D51" s="586" t="s">
        <v>776</v>
      </c>
      <c r="E51" s="588" t="s">
        <v>777</v>
      </c>
      <c r="F51" s="581" t="s">
        <v>756</v>
      </c>
      <c r="G51" s="589"/>
      <c r="H51" s="930"/>
      <c r="I51" s="589"/>
      <c r="J51" s="930"/>
      <c r="K51" s="208"/>
    </row>
    <row r="52" spans="1:11" s="1824" customFormat="1" ht="45" hidden="1" customHeight="1">
      <c r="A52" s="4166"/>
      <c r="B52" s="437"/>
      <c r="D52" s="586" t="s">
        <v>109</v>
      </c>
      <c r="E52" s="587" t="s">
        <v>778</v>
      </c>
      <c r="F52" s="581" t="s">
        <v>756</v>
      </c>
      <c r="G52" s="589"/>
      <c r="H52" s="930"/>
      <c r="I52" s="589"/>
      <c r="J52" s="930"/>
      <c r="K52" s="208"/>
    </row>
    <row r="53" spans="1:11" s="1824" customFormat="1" ht="11.25" hidden="1" customHeight="1">
      <c r="A53" s="4166"/>
      <c r="B53" s="437"/>
      <c r="D53" s="586" t="s">
        <v>305</v>
      </c>
      <c r="E53" s="588" t="s">
        <v>767</v>
      </c>
      <c r="F53" s="581" t="s">
        <v>756</v>
      </c>
      <c r="G53" s="589"/>
      <c r="H53" s="930"/>
      <c r="I53" s="589"/>
      <c r="J53" s="930"/>
      <c r="K53" s="208"/>
    </row>
    <row r="54" spans="1:11" s="1824" customFormat="1" ht="11.25" hidden="1" customHeight="1">
      <c r="A54" s="4166"/>
      <c r="B54" s="437"/>
      <c r="D54" s="586" t="s">
        <v>307</v>
      </c>
      <c r="E54" s="588" t="s">
        <v>768</v>
      </c>
      <c r="F54" s="581" t="s">
        <v>756</v>
      </c>
      <c r="G54" s="589"/>
      <c r="H54" s="930"/>
      <c r="I54" s="589"/>
      <c r="J54" s="930"/>
      <c r="K54" s="208"/>
    </row>
    <row r="55" spans="1:11" s="1824" customFormat="1" ht="11.25" hidden="1" customHeight="1">
      <c r="A55" s="4166"/>
      <c r="B55" s="437"/>
      <c r="D55" s="586" t="s">
        <v>310</v>
      </c>
      <c r="E55" s="588" t="s">
        <v>769</v>
      </c>
      <c r="F55" s="581" t="s">
        <v>756</v>
      </c>
      <c r="G55" s="589"/>
      <c r="H55" s="930"/>
      <c r="I55" s="589"/>
      <c r="J55" s="930"/>
      <c r="K55" s="208"/>
    </row>
    <row r="56" spans="1:11" s="1824" customFormat="1" ht="11.25" hidden="1" customHeight="1">
      <c r="A56" s="4166"/>
      <c r="B56" s="437"/>
      <c r="D56" s="586" t="s">
        <v>779</v>
      </c>
      <c r="E56" s="592" t="s">
        <v>771</v>
      </c>
      <c r="F56" s="581" t="s">
        <v>756</v>
      </c>
      <c r="G56" s="589"/>
      <c r="H56" s="930"/>
      <c r="I56" s="589"/>
      <c r="J56" s="930"/>
      <c r="K56" s="208"/>
    </row>
    <row r="57" spans="1:11" s="1824" customFormat="1" ht="11.25" hidden="1" customHeight="1">
      <c r="A57" s="4166"/>
      <c r="B57" s="437"/>
      <c r="D57" s="586" t="s">
        <v>780</v>
      </c>
      <c r="E57" s="592" t="s">
        <v>773</v>
      </c>
      <c r="F57" s="581" t="s">
        <v>756</v>
      </c>
      <c r="G57" s="589"/>
      <c r="H57" s="930"/>
      <c r="I57" s="589"/>
      <c r="J57" s="930"/>
      <c r="K57" s="208"/>
    </row>
    <row r="58" spans="1:11" s="1824" customFormat="1" ht="11.25" hidden="1" customHeight="1">
      <c r="A58" s="4166"/>
      <c r="B58" s="437"/>
      <c r="D58" s="586" t="s">
        <v>312</v>
      </c>
      <c r="E58" s="588" t="s">
        <v>775</v>
      </c>
      <c r="F58" s="581" t="s">
        <v>756</v>
      </c>
      <c r="G58" s="589"/>
      <c r="H58" s="930"/>
      <c r="I58" s="589"/>
      <c r="J58" s="930"/>
      <c r="K58" s="208"/>
    </row>
    <row r="59" spans="1:11" s="1824" customFormat="1" ht="11.25" hidden="1" customHeight="1">
      <c r="A59" s="4166"/>
      <c r="B59" s="437"/>
      <c r="D59" s="586" t="s">
        <v>781</v>
      </c>
      <c r="E59" s="588" t="s">
        <v>777</v>
      </c>
      <c r="F59" s="581" t="s">
        <v>756</v>
      </c>
      <c r="G59" s="589"/>
      <c r="H59" s="930"/>
      <c r="I59" s="589"/>
      <c r="J59" s="930"/>
      <c r="K59" s="208"/>
    </row>
    <row r="60" spans="1:11" s="1824" customFormat="1" ht="33.75" hidden="1" customHeight="1">
      <c r="A60" s="4166"/>
      <c r="B60" s="437"/>
      <c r="D60" s="586" t="s">
        <v>90</v>
      </c>
      <c r="E60" s="587" t="s">
        <v>782</v>
      </c>
      <c r="F60" s="640" t="s">
        <v>541</v>
      </c>
      <c r="G60" s="660"/>
      <c r="H60" s="930"/>
      <c r="I60" s="660"/>
      <c r="J60" s="930"/>
      <c r="K60" s="221" t="s">
        <v>783</v>
      </c>
    </row>
    <row r="61" spans="1:11" s="1824" customFormat="1" ht="33.75" hidden="1" customHeight="1">
      <c r="A61" s="4166"/>
      <c r="B61" s="437"/>
      <c r="D61" s="586" t="s">
        <v>91</v>
      </c>
      <c r="E61" s="587" t="s">
        <v>784</v>
      </c>
      <c r="F61" s="645" t="s">
        <v>717</v>
      </c>
      <c r="G61" s="589"/>
      <c r="H61" s="930"/>
      <c r="I61" s="589"/>
      <c r="J61" s="930"/>
      <c r="K61" s="208"/>
    </row>
    <row r="62" spans="1:11" s="1824" customFormat="1" ht="22.5" hidden="1" customHeight="1">
      <c r="A62" s="4166"/>
      <c r="B62" s="437" t="s">
        <v>571</v>
      </c>
      <c r="D62" s="586" t="s">
        <v>110</v>
      </c>
      <c r="E62" s="587" t="s">
        <v>785</v>
      </c>
      <c r="F62" s="645" t="s">
        <v>296</v>
      </c>
      <c r="G62" s="316"/>
      <c r="H62" s="930"/>
      <c r="I62" s="316"/>
      <c r="J62" s="930"/>
      <c r="K62" s="208" t="s">
        <v>786</v>
      </c>
    </row>
    <row r="63" spans="1:11" s="1824" customFormat="1" ht="45" hidden="1" customHeight="1">
      <c r="A63" s="4166"/>
      <c r="B63" s="437" t="s">
        <v>571</v>
      </c>
      <c r="D63" s="586" t="s">
        <v>787</v>
      </c>
      <c r="E63" s="588" t="s">
        <v>788</v>
      </c>
      <c r="F63" s="640" t="s">
        <v>296</v>
      </c>
      <c r="G63" s="316"/>
      <c r="H63" s="930"/>
      <c r="I63" s="316"/>
      <c r="J63" s="930"/>
      <c r="K63" s="208" t="s">
        <v>786</v>
      </c>
    </row>
    <row r="64" spans="1:11" s="1826" customFormat="1" ht="11.25" customHeight="1">
      <c r="A64" s="940"/>
      <c r="B64" s="444"/>
      <c r="D64" s="941"/>
      <c r="E64" s="942"/>
    </row>
    <row r="65" spans="1:11" s="1824" customFormat="1" ht="22.5" hidden="1" customHeight="1">
      <c r="A65" s="4166" t="s">
        <v>789</v>
      </c>
      <c r="B65" s="437"/>
      <c r="D65" s="586">
        <v>1</v>
      </c>
      <c r="E65" s="662" t="s">
        <v>790</v>
      </c>
      <c r="F65" s="658" t="s">
        <v>707</v>
      </c>
      <c r="G65" s="659"/>
      <c r="H65" s="936"/>
      <c r="I65" s="659"/>
      <c r="J65" s="936"/>
      <c r="K65" s="220" t="s">
        <v>791</v>
      </c>
    </row>
    <row r="66" spans="1:11" s="1824" customFormat="1" ht="56.25" hidden="1" customHeight="1">
      <c r="A66" s="4166"/>
      <c r="B66" s="437"/>
      <c r="D66" s="661" t="s">
        <v>108</v>
      </c>
      <c r="E66" s="626" t="s">
        <v>792</v>
      </c>
      <c r="F66" s="581" t="s">
        <v>529</v>
      </c>
      <c r="G66" s="581" t="s">
        <v>529</v>
      </c>
      <c r="H66" s="445"/>
      <c r="I66" s="581" t="s">
        <v>529</v>
      </c>
      <c r="J66" s="445"/>
      <c r="K66" s="208"/>
    </row>
    <row r="67" spans="1:11" s="1824" customFormat="1" ht="33.75" hidden="1" customHeight="1">
      <c r="A67" s="4166"/>
      <c r="B67" s="437"/>
      <c r="D67" s="661" t="s">
        <v>605</v>
      </c>
      <c r="E67" s="863" t="s">
        <v>793</v>
      </c>
      <c r="F67" s="581" t="s">
        <v>759</v>
      </c>
      <c r="G67" s="646"/>
      <c r="H67" s="445"/>
      <c r="I67" s="646"/>
      <c r="J67" s="445"/>
      <c r="K67" s="208"/>
    </row>
    <row r="68" spans="1:11" s="1824" customFormat="1" ht="22.5" hidden="1" customHeight="1">
      <c r="A68" s="4166"/>
      <c r="B68" s="437"/>
      <c r="D68" s="661" t="s">
        <v>297</v>
      </c>
      <c r="E68" s="863" t="s">
        <v>794</v>
      </c>
      <c r="F68" s="581" t="s">
        <v>759</v>
      </c>
      <c r="G68" s="646"/>
      <c r="H68" s="445"/>
      <c r="I68" s="646"/>
      <c r="J68" s="445"/>
      <c r="K68" s="208"/>
    </row>
    <row r="69" spans="1:11" s="1824" customFormat="1" ht="22.5" hidden="1" customHeight="1">
      <c r="A69" s="4166"/>
      <c r="B69" s="437"/>
      <c r="D69" s="661" t="s">
        <v>300</v>
      </c>
      <c r="E69" s="863" t="s">
        <v>795</v>
      </c>
      <c r="F69" s="640" t="s">
        <v>541</v>
      </c>
      <c r="G69" s="660"/>
      <c r="H69" s="445"/>
      <c r="I69" s="660"/>
      <c r="J69" s="445"/>
      <c r="K69" s="208"/>
    </row>
    <row r="70" spans="1:11" s="1824" customFormat="1" ht="22.5" hidden="1" customHeight="1">
      <c r="A70" s="4166"/>
      <c r="B70" s="437"/>
      <c r="D70" s="661" t="s">
        <v>625</v>
      </c>
      <c r="E70" s="863" t="s">
        <v>796</v>
      </c>
      <c r="F70" s="640" t="s">
        <v>541</v>
      </c>
      <c r="G70" s="660"/>
      <c r="H70" s="445"/>
      <c r="I70" s="660"/>
      <c r="J70" s="445"/>
      <c r="K70" s="208"/>
    </row>
    <row r="71" spans="1:11" s="1824" customFormat="1" ht="22.5" hidden="1" customHeight="1">
      <c r="A71" s="4166"/>
      <c r="B71" s="437"/>
      <c r="D71" s="586" t="s">
        <v>88</v>
      </c>
      <c r="E71" s="587" t="s">
        <v>797</v>
      </c>
      <c r="F71" s="581" t="s">
        <v>759</v>
      </c>
      <c r="G71" s="482"/>
      <c r="H71" s="937"/>
      <c r="I71" s="482"/>
      <c r="J71" s="937"/>
      <c r="K71" s="221"/>
    </row>
    <row r="72" spans="1:11" s="1824" customFormat="1" ht="56.25" hidden="1" customHeight="1">
      <c r="A72" s="4166"/>
      <c r="B72" s="437"/>
      <c r="D72" s="586" t="s">
        <v>89</v>
      </c>
      <c r="E72" s="587" t="s">
        <v>798</v>
      </c>
      <c r="F72" s="640" t="s">
        <v>541</v>
      </c>
      <c r="G72" s="660"/>
      <c r="H72" s="930"/>
      <c r="I72" s="660"/>
      <c r="J72" s="930"/>
      <c r="K72" s="221"/>
    </row>
    <row r="73" spans="1:11" s="1824" customFormat="1" ht="33.75" hidden="1" customHeight="1">
      <c r="A73" s="4166"/>
      <c r="B73" s="437"/>
      <c r="D73" s="586" t="s">
        <v>109</v>
      </c>
      <c r="E73" s="587" t="s">
        <v>799</v>
      </c>
      <c r="F73" s="645" t="s">
        <v>717</v>
      </c>
      <c r="G73" s="589"/>
      <c r="H73" s="930"/>
      <c r="I73" s="589"/>
      <c r="J73" s="930"/>
      <c r="K73" s="208"/>
    </row>
    <row r="74" spans="1:11" s="1824" customFormat="1" ht="22.5" hidden="1" customHeight="1">
      <c r="A74" s="4166"/>
      <c r="B74" s="437" t="s">
        <v>571</v>
      </c>
      <c r="D74" s="586" t="s">
        <v>90</v>
      </c>
      <c r="E74" s="587" t="s">
        <v>800</v>
      </c>
      <c r="F74" s="645" t="s">
        <v>296</v>
      </c>
      <c r="G74" s="316"/>
      <c r="H74" s="930"/>
      <c r="I74" s="316"/>
      <c r="J74" s="930"/>
      <c r="K74" s="208" t="s">
        <v>786</v>
      </c>
    </row>
    <row r="75" spans="1:11" s="1824" customFormat="1" ht="45" hidden="1" customHeight="1">
      <c r="A75" s="4166"/>
      <c r="B75" s="437" t="s">
        <v>571</v>
      </c>
      <c r="D75" s="586" t="s">
        <v>801</v>
      </c>
      <c r="E75" s="588" t="s">
        <v>802</v>
      </c>
      <c r="F75" s="640" t="s">
        <v>296</v>
      </c>
      <c r="G75" s="316"/>
      <c r="H75" s="930"/>
      <c r="I75" s="316"/>
      <c r="J75" s="930"/>
      <c r="K75" s="208" t="s">
        <v>786</v>
      </c>
    </row>
    <row r="76" spans="1:11" s="1826" customFormat="1" ht="11.25" customHeight="1">
      <c r="A76" s="940"/>
      <c r="B76" s="444"/>
      <c r="D76" s="941"/>
      <c r="E76" s="942"/>
    </row>
    <row r="77" spans="1:11" s="1824" customFormat="1" ht="11.25" hidden="1" customHeight="1">
      <c r="A77" s="4166" t="s">
        <v>803</v>
      </c>
      <c r="B77" s="437"/>
      <c r="D77" s="586">
        <v>1</v>
      </c>
      <c r="E77" s="587" t="s">
        <v>804</v>
      </c>
      <c r="F77" s="640" t="s">
        <v>707</v>
      </c>
      <c r="G77" s="643"/>
      <c r="H77" s="930"/>
      <c r="I77" s="643"/>
      <c r="J77" s="930"/>
      <c r="K77" s="208" t="s">
        <v>805</v>
      </c>
    </row>
    <row r="78" spans="1:11" s="1824" customFormat="1" ht="11.25" hidden="1" customHeight="1">
      <c r="A78" s="4166"/>
      <c r="B78" s="437"/>
      <c r="D78" s="586" t="s">
        <v>108</v>
      </c>
      <c r="E78" s="587" t="s">
        <v>806</v>
      </c>
      <c r="F78" s="640" t="s">
        <v>707</v>
      </c>
      <c r="G78" s="643"/>
      <c r="H78" s="930"/>
      <c r="I78" s="643"/>
      <c r="J78" s="930"/>
      <c r="K78" s="208" t="s">
        <v>807</v>
      </c>
    </row>
    <row r="79" spans="1:11" s="1824" customFormat="1" ht="22.5" hidden="1" customHeight="1">
      <c r="A79" s="4166"/>
      <c r="B79" s="437"/>
      <c r="D79" s="586" t="s">
        <v>88</v>
      </c>
      <c r="E79" s="641" t="s">
        <v>808</v>
      </c>
      <c r="F79" s="581" t="s">
        <v>756</v>
      </c>
      <c r="G79" s="643"/>
      <c r="H79" s="930"/>
      <c r="I79" s="643"/>
      <c r="J79" s="930"/>
      <c r="K79" s="208" t="s">
        <v>809</v>
      </c>
    </row>
    <row r="80" spans="1:11" s="1824" customFormat="1" ht="11.25" hidden="1" customHeight="1">
      <c r="A80" s="4166"/>
      <c r="B80" s="437"/>
      <c r="D80" s="586" t="s">
        <v>316</v>
      </c>
      <c r="E80" s="642" t="s">
        <v>810</v>
      </c>
      <c r="F80" s="581" t="s">
        <v>756</v>
      </c>
      <c r="G80" s="643"/>
      <c r="H80" s="930"/>
      <c r="I80" s="643"/>
      <c r="J80" s="930"/>
      <c r="K80" s="208"/>
    </row>
    <row r="81" spans="1:11" s="1824" customFormat="1" ht="11.25" hidden="1" customHeight="1">
      <c r="A81" s="4166"/>
      <c r="B81" s="437"/>
      <c r="D81" s="586" t="s">
        <v>324</v>
      </c>
      <c r="E81" s="642" t="s">
        <v>811</v>
      </c>
      <c r="F81" s="581" t="s">
        <v>756</v>
      </c>
      <c r="G81" s="643"/>
      <c r="H81" s="930"/>
      <c r="I81" s="643"/>
      <c r="J81" s="930"/>
      <c r="K81" s="208"/>
    </row>
    <row r="82" spans="1:11" s="1824" customFormat="1" ht="11.25" hidden="1" customHeight="1">
      <c r="A82" s="4166"/>
      <c r="B82" s="437"/>
      <c r="D82" s="586" t="s">
        <v>326</v>
      </c>
      <c r="E82" s="642" t="s">
        <v>812</v>
      </c>
      <c r="F82" s="581" t="s">
        <v>756</v>
      </c>
      <c r="G82" s="643"/>
      <c r="H82" s="930"/>
      <c r="I82" s="643"/>
      <c r="J82" s="930"/>
      <c r="K82" s="208"/>
    </row>
    <row r="83" spans="1:11" s="1824" customFormat="1" ht="11.25" hidden="1" customHeight="1">
      <c r="A83" s="4166"/>
      <c r="B83" s="437"/>
      <c r="D83" s="586" t="s">
        <v>328</v>
      </c>
      <c r="E83" s="642" t="s">
        <v>813</v>
      </c>
      <c r="F83" s="581" t="s">
        <v>756</v>
      </c>
      <c r="G83" s="643"/>
      <c r="H83" s="930"/>
      <c r="I83" s="643"/>
      <c r="J83" s="930"/>
      <c r="K83" s="208"/>
    </row>
    <row r="84" spans="1:11" s="1824" customFormat="1" ht="11.25" hidden="1" customHeight="1">
      <c r="A84" s="4166"/>
      <c r="B84" s="437"/>
      <c r="D84" s="586" t="s">
        <v>814</v>
      </c>
      <c r="E84" s="642" t="s">
        <v>815</v>
      </c>
      <c r="F84" s="581" t="s">
        <v>756</v>
      </c>
      <c r="G84" s="643"/>
      <c r="H84" s="930"/>
      <c r="I84" s="643"/>
      <c r="J84" s="930"/>
      <c r="K84" s="208"/>
    </row>
    <row r="85" spans="1:11" s="1824" customFormat="1" ht="11.25" hidden="1" customHeight="1">
      <c r="A85" s="4166"/>
      <c r="B85" s="437"/>
      <c r="D85" s="586" t="s">
        <v>816</v>
      </c>
      <c r="E85" s="642" t="s">
        <v>817</v>
      </c>
      <c r="F85" s="581" t="s">
        <v>756</v>
      </c>
      <c r="G85" s="643"/>
      <c r="H85" s="930"/>
      <c r="I85" s="643"/>
      <c r="J85" s="930"/>
      <c r="K85" s="208"/>
    </row>
    <row r="86" spans="1:11" s="1824" customFormat="1" ht="11.25" hidden="1" customHeight="1">
      <c r="A86" s="4166"/>
      <c r="B86" s="437"/>
      <c r="D86" s="586" t="s">
        <v>818</v>
      </c>
      <c r="E86" s="642" t="s">
        <v>819</v>
      </c>
      <c r="F86" s="581" t="s">
        <v>756</v>
      </c>
      <c r="G86" s="643"/>
      <c r="H86" s="930"/>
      <c r="I86" s="643"/>
      <c r="J86" s="930"/>
      <c r="K86" s="208"/>
    </row>
    <row r="87" spans="1:11" s="1824" customFormat="1" ht="45" hidden="1" customHeight="1">
      <c r="A87" s="4166"/>
      <c r="B87" s="437"/>
      <c r="D87" s="586" t="s">
        <v>89</v>
      </c>
      <c r="E87" s="587" t="s">
        <v>820</v>
      </c>
      <c r="F87" s="581" t="s">
        <v>756</v>
      </c>
      <c r="G87" s="643"/>
      <c r="H87" s="930"/>
      <c r="I87" s="643"/>
      <c r="J87" s="930"/>
      <c r="K87" s="208" t="s">
        <v>821</v>
      </c>
    </row>
    <row r="88" spans="1:11" s="1824" customFormat="1" ht="11.25" hidden="1" customHeight="1">
      <c r="A88" s="4166"/>
      <c r="B88" s="437"/>
      <c r="D88" s="586" t="s">
        <v>650</v>
      </c>
      <c r="E88" s="642" t="s">
        <v>810</v>
      </c>
      <c r="F88" s="581" t="s">
        <v>756</v>
      </c>
      <c r="G88" s="643"/>
      <c r="H88" s="930"/>
      <c r="I88" s="643"/>
      <c r="J88" s="930"/>
      <c r="K88" s="208"/>
    </row>
    <row r="89" spans="1:11" s="1824" customFormat="1" ht="11.25" hidden="1" customHeight="1">
      <c r="A89" s="4166"/>
      <c r="B89" s="437"/>
      <c r="D89" s="586" t="s">
        <v>693</v>
      </c>
      <c r="E89" s="642" t="s">
        <v>811</v>
      </c>
      <c r="F89" s="581" t="s">
        <v>756</v>
      </c>
      <c r="G89" s="643"/>
      <c r="H89" s="930"/>
      <c r="I89" s="643"/>
      <c r="J89" s="930"/>
      <c r="K89" s="208"/>
    </row>
    <row r="90" spans="1:11" s="1824" customFormat="1" ht="11.25" hidden="1" customHeight="1">
      <c r="A90" s="4166"/>
      <c r="B90" s="437"/>
      <c r="D90" s="586" t="s">
        <v>696</v>
      </c>
      <c r="E90" s="642" t="s">
        <v>812</v>
      </c>
      <c r="F90" s="581" t="s">
        <v>756</v>
      </c>
      <c r="G90" s="643"/>
      <c r="H90" s="930"/>
      <c r="I90" s="643"/>
      <c r="J90" s="930"/>
      <c r="K90" s="208"/>
    </row>
    <row r="91" spans="1:11" s="1824" customFormat="1" ht="11.25" hidden="1" customHeight="1">
      <c r="A91" s="4166"/>
      <c r="B91" s="437"/>
      <c r="D91" s="586" t="s">
        <v>774</v>
      </c>
      <c r="E91" s="642" t="s">
        <v>813</v>
      </c>
      <c r="F91" s="581" t="s">
        <v>756</v>
      </c>
      <c r="G91" s="643"/>
      <c r="H91" s="930"/>
      <c r="I91" s="643"/>
      <c r="J91" s="930"/>
      <c r="K91" s="208"/>
    </row>
    <row r="92" spans="1:11" s="1824" customFormat="1" ht="11.25" hidden="1" customHeight="1">
      <c r="A92" s="4166"/>
      <c r="B92" s="437"/>
      <c r="D92" s="586" t="s">
        <v>776</v>
      </c>
      <c r="E92" s="642" t="s">
        <v>815</v>
      </c>
      <c r="F92" s="581" t="s">
        <v>756</v>
      </c>
      <c r="G92" s="643"/>
      <c r="H92" s="930"/>
      <c r="I92" s="643"/>
      <c r="J92" s="930"/>
      <c r="K92" s="208"/>
    </row>
    <row r="93" spans="1:11" s="1824" customFormat="1" ht="11.25" hidden="1" customHeight="1">
      <c r="A93" s="4166"/>
      <c r="B93" s="437"/>
      <c r="D93" s="586" t="s">
        <v>822</v>
      </c>
      <c r="E93" s="642" t="s">
        <v>817</v>
      </c>
      <c r="F93" s="581" t="s">
        <v>756</v>
      </c>
      <c r="G93" s="643"/>
      <c r="H93" s="930"/>
      <c r="I93" s="643"/>
      <c r="J93" s="930"/>
      <c r="K93" s="208"/>
    </row>
    <row r="94" spans="1:11" s="1824" customFormat="1" ht="11.25" hidden="1" customHeight="1">
      <c r="A94" s="4166"/>
      <c r="B94" s="437"/>
      <c r="D94" s="586" t="s">
        <v>823</v>
      </c>
      <c r="E94" s="642" t="s">
        <v>819</v>
      </c>
      <c r="F94" s="581" t="s">
        <v>756</v>
      </c>
      <c r="G94" s="643"/>
      <c r="H94" s="930"/>
      <c r="I94" s="643"/>
      <c r="J94" s="930"/>
      <c r="K94" s="208"/>
    </row>
    <row r="95" spans="1:11" s="1824" customFormat="1" ht="24.75" hidden="1" customHeight="1">
      <c r="A95" s="4166"/>
      <c r="B95" s="437"/>
      <c r="D95" s="586" t="s">
        <v>109</v>
      </c>
      <c r="E95" s="587" t="s">
        <v>824</v>
      </c>
      <c r="F95" s="644" t="s">
        <v>541</v>
      </c>
      <c r="G95" s="646"/>
      <c r="H95" s="930"/>
      <c r="I95" s="646"/>
      <c r="J95" s="930"/>
      <c r="K95" s="208" t="s">
        <v>825</v>
      </c>
    </row>
    <row r="96" spans="1:11" s="1824" customFormat="1" ht="33.75" hidden="1" customHeight="1">
      <c r="A96" s="4166"/>
      <c r="B96" s="437"/>
      <c r="D96" s="586" t="s">
        <v>90</v>
      </c>
      <c r="E96" s="587" t="s">
        <v>826</v>
      </c>
      <c r="F96" s="645" t="s">
        <v>717</v>
      </c>
      <c r="G96" s="647"/>
      <c r="H96" s="930"/>
      <c r="I96" s="647"/>
      <c r="J96" s="930"/>
      <c r="K96" s="208"/>
    </row>
    <row r="97" spans="1:11" s="1824" customFormat="1" ht="22.5" hidden="1" customHeight="1">
      <c r="A97" s="4166"/>
      <c r="B97" s="437" t="s">
        <v>571</v>
      </c>
      <c r="D97" s="586" t="s">
        <v>91</v>
      </c>
      <c r="E97" s="587" t="s">
        <v>827</v>
      </c>
      <c r="F97" s="645" t="s">
        <v>296</v>
      </c>
      <c r="G97" s="319"/>
      <c r="H97" s="930"/>
      <c r="I97" s="319"/>
      <c r="J97" s="930"/>
      <c r="K97" s="208" t="s">
        <v>786</v>
      </c>
    </row>
    <row r="98" spans="1:11" s="1824" customFormat="1" ht="45" hidden="1" customHeight="1">
      <c r="A98" s="4166"/>
      <c r="B98" s="437" t="s">
        <v>571</v>
      </c>
      <c r="D98" s="586" t="s">
        <v>828</v>
      </c>
      <c r="E98" s="588" t="s">
        <v>829</v>
      </c>
      <c r="F98" s="640" t="s">
        <v>296</v>
      </c>
      <c r="G98" s="319"/>
      <c r="H98" s="930"/>
      <c r="I98" s="319"/>
      <c r="J98" s="930"/>
      <c r="K98" s="208" t="s">
        <v>786</v>
      </c>
    </row>
    <row r="99" spans="1:11" s="1824" customFormat="1" ht="95.25" hidden="1" customHeight="1">
      <c r="A99" s="4166"/>
      <c r="B99" s="437" t="s">
        <v>571</v>
      </c>
      <c r="D99" s="586" t="s">
        <v>110</v>
      </c>
      <c r="E99" s="587" t="s">
        <v>830</v>
      </c>
      <c r="F99" s="640" t="s">
        <v>296</v>
      </c>
      <c r="G99" s="319"/>
      <c r="H99" s="930"/>
      <c r="I99" s="319"/>
      <c r="J99" s="930"/>
      <c r="K99" s="208" t="s">
        <v>786</v>
      </c>
    </row>
    <row r="100" spans="1:11" s="1824" customFormat="1" ht="22.5" hidden="1" customHeight="1">
      <c r="A100" s="4166"/>
      <c r="B100" s="437" t="s">
        <v>571</v>
      </c>
      <c r="D100" s="586" t="s">
        <v>146</v>
      </c>
      <c r="E100" s="587" t="s">
        <v>831</v>
      </c>
      <c r="F100" s="640" t="s">
        <v>296</v>
      </c>
      <c r="G100" s="319"/>
      <c r="H100" s="930"/>
      <c r="I100" s="319"/>
      <c r="J100" s="930"/>
      <c r="K100" s="208" t="s">
        <v>786</v>
      </c>
    </row>
    <row r="101" spans="1:11" s="1826" customFormat="1" ht="11.25" customHeight="1">
      <c r="A101" s="940"/>
      <c r="B101" s="444"/>
      <c r="D101" s="941"/>
      <c r="E101" s="942"/>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935" hidden="1" customWidth="1"/>
    <col min="2" max="2" width="9.140625" style="1937" hidden="1" customWidth="1"/>
    <col min="3" max="3" width="4.7109375" style="3824" customWidth="1"/>
    <col min="4" max="4" width="6.28515625" style="1937" customWidth="1"/>
    <col min="5" max="5" width="36.7109375" style="1937" customWidth="1"/>
    <col min="6" max="6" width="9.5703125" style="1937" customWidth="1"/>
    <col min="7" max="7" width="25.7109375" style="1824" hidden="1" customWidth="1"/>
    <col min="8" max="8" width="33.7109375" style="1824" hidden="1" customWidth="1"/>
    <col min="9" max="9" width="25.7109375" style="1937" customWidth="1"/>
    <col min="10" max="10" width="33.7109375" style="1937" customWidth="1"/>
    <col min="11" max="11" width="93.42578125" style="1825" customWidth="1"/>
    <col min="12" max="20" width="10.5703125" style="1937"/>
    <col min="21" max="21" width="10.5703125" style="3823"/>
  </cols>
  <sheetData>
    <row r="1" spans="1:21" s="1825" customFormat="1" ht="15" hidden="1" customHeight="1">
      <c r="C1" s="593"/>
      <c r="G1" s="351">
        <v>4</v>
      </c>
      <c r="I1" s="351">
        <v>4</v>
      </c>
      <c r="U1" s="353"/>
    </row>
    <row r="2" spans="1:21" s="1825" customFormat="1" ht="15" hidden="1" customHeight="1">
      <c r="C2" s="593"/>
      <c r="U2" s="353"/>
    </row>
    <row r="3" spans="1:21" ht="22.5" hidden="1" customHeight="1">
      <c r="A3" s="431"/>
      <c r="B3" s="4171"/>
      <c r="C3" s="4172"/>
      <c r="D3" s="609" t="str">
        <f>B3&amp;".1"</f>
        <v>.1</v>
      </c>
      <c r="E3" s="610" t="s">
        <v>832</v>
      </c>
      <c r="F3" s="611" t="s">
        <v>296</v>
      </c>
      <c r="G3" s="606"/>
      <c r="H3" s="335"/>
      <c r="I3" s="606"/>
      <c r="J3" s="335"/>
      <c r="K3" s="208" t="s">
        <v>833</v>
      </c>
    </row>
    <row r="4" spans="1:21" ht="15" hidden="1" customHeight="1">
      <c r="A4" s="431"/>
      <c r="B4" s="4171"/>
      <c r="C4" s="4172"/>
      <c r="D4" s="609" t="str">
        <f>B3&amp;".2"</f>
        <v>.2</v>
      </c>
      <c r="E4" s="610" t="s">
        <v>834</v>
      </c>
      <c r="F4" s="611" t="s">
        <v>296</v>
      </c>
      <c r="G4" s="1648" t="s">
        <v>24</v>
      </c>
      <c r="H4" s="335"/>
      <c r="I4" s="1648" t="s">
        <v>24</v>
      </c>
      <c r="J4" s="335"/>
      <c r="K4" s="208" t="s">
        <v>835</v>
      </c>
    </row>
    <row r="5" spans="1:21" s="1825" customFormat="1" ht="15" hidden="1" customHeight="1">
      <c r="C5" s="593"/>
      <c r="U5" s="353"/>
    </row>
    <row r="6" spans="1:21" ht="22.5" hidden="1" customHeight="1">
      <c r="A6" s="431"/>
      <c r="B6" s="4171"/>
      <c r="C6" s="4172"/>
      <c r="D6" s="609" t="str">
        <f>B6&amp;".1"</f>
        <v>.1</v>
      </c>
      <c r="E6" s="610" t="s">
        <v>836</v>
      </c>
      <c r="F6" s="611" t="s">
        <v>296</v>
      </c>
      <c r="G6" s="606"/>
      <c r="H6" s="335"/>
      <c r="I6" s="606"/>
      <c r="J6" s="335"/>
      <c r="K6" s="208" t="s">
        <v>837</v>
      </c>
    </row>
    <row r="7" spans="1:21" ht="15" hidden="1" customHeight="1">
      <c r="A7" s="431"/>
      <c r="B7" s="4171"/>
      <c r="C7" s="4172"/>
      <c r="D7" s="609" t="str">
        <f>B6&amp;".2"</f>
        <v>.2</v>
      </c>
      <c r="E7" s="610" t="s">
        <v>834</v>
      </c>
      <c r="F7" s="611" t="s">
        <v>296</v>
      </c>
      <c r="G7" s="1648" t="s">
        <v>24</v>
      </c>
      <c r="H7" s="335"/>
      <c r="I7" s="1648" t="s">
        <v>24</v>
      </c>
      <c r="J7" s="335"/>
      <c r="K7" s="208" t="s">
        <v>835</v>
      </c>
    </row>
    <row r="8" spans="1:21" s="1825" customFormat="1" ht="15" hidden="1" customHeight="1">
      <c r="C8" s="593"/>
      <c r="U8" s="353"/>
    </row>
    <row r="9" spans="1:21" ht="22.5" hidden="1" customHeight="1">
      <c r="A9" s="431"/>
      <c r="B9" s="4171"/>
      <c r="C9" s="4172"/>
      <c r="D9" s="609" t="str">
        <f>B9&amp;".1"</f>
        <v>.1</v>
      </c>
      <c r="E9" s="610" t="s">
        <v>838</v>
      </c>
      <c r="F9" s="611" t="s">
        <v>296</v>
      </c>
      <c r="G9" s="617" t="s">
        <v>24</v>
      </c>
      <c r="H9" s="335" t="s">
        <v>24</v>
      </c>
      <c r="I9" s="617" t="s">
        <v>24</v>
      </c>
      <c r="J9" s="335" t="s">
        <v>24</v>
      </c>
      <c r="K9" s="208"/>
    </row>
    <row r="10" spans="1:21" ht="15" hidden="1" customHeight="1">
      <c r="A10" s="431"/>
      <c r="B10" s="4171"/>
      <c r="C10" s="4172"/>
      <c r="D10" s="609" t="str">
        <f>B9&amp;".2"</f>
        <v>.2</v>
      </c>
      <c r="E10" s="610" t="s">
        <v>839</v>
      </c>
      <c r="F10" s="611" t="s">
        <v>296</v>
      </c>
      <c r="G10" s="1642" t="s">
        <v>24</v>
      </c>
      <c r="H10" s="335" t="s">
        <v>24</v>
      </c>
      <c r="I10" s="1642" t="s">
        <v>24</v>
      </c>
      <c r="J10" s="335" t="s">
        <v>24</v>
      </c>
      <c r="K10" s="208" t="s">
        <v>840</v>
      </c>
    </row>
    <row r="11" spans="1:21" ht="15" hidden="1" customHeight="1">
      <c r="A11" s="431"/>
      <c r="B11" s="4171"/>
      <c r="C11" s="4172"/>
      <c r="D11" s="609" t="str">
        <f>B9&amp;".3"</f>
        <v>.3</v>
      </c>
      <c r="E11" s="610" t="s">
        <v>841</v>
      </c>
      <c r="F11" s="611" t="s">
        <v>296</v>
      </c>
      <c r="G11" s="1642" t="s">
        <v>24</v>
      </c>
      <c r="H11" s="335" t="s">
        <v>24</v>
      </c>
      <c r="I11" s="1642" t="s">
        <v>24</v>
      </c>
      <c r="J11" s="335" t="s">
        <v>24</v>
      </c>
      <c r="K11" s="208" t="s">
        <v>842</v>
      </c>
    </row>
    <row r="12" spans="1:21" s="1825" customFormat="1" ht="15" hidden="1" customHeight="1">
      <c r="C12" s="593"/>
      <c r="U12" s="353"/>
    </row>
    <row r="13" spans="1:21" ht="33.75" hidden="1" customHeight="1">
      <c r="A13" s="431"/>
      <c r="B13" s="4171"/>
      <c r="C13" s="4172"/>
      <c r="D13" s="609" t="str">
        <f>B13&amp;".1"</f>
        <v>.1</v>
      </c>
      <c r="E13" s="610" t="s">
        <v>843</v>
      </c>
      <c r="F13" s="611" t="s">
        <v>296</v>
      </c>
      <c r="G13" s="617" t="s">
        <v>24</v>
      </c>
      <c r="H13" s="335" t="s">
        <v>24</v>
      </c>
      <c r="I13" s="617" t="s">
        <v>24</v>
      </c>
      <c r="J13" s="335" t="s">
        <v>24</v>
      </c>
      <c r="K13" s="208" t="s">
        <v>844</v>
      </c>
    </row>
    <row r="14" spans="1:21" ht="15" hidden="1" customHeight="1">
      <c r="B14" s="4171"/>
      <c r="C14" s="4172"/>
      <c r="D14" s="609" t="str">
        <f>B13&amp;".2"</f>
        <v>.2</v>
      </c>
      <c r="E14" s="610" t="s">
        <v>845</v>
      </c>
      <c r="F14" s="611" t="s">
        <v>296</v>
      </c>
      <c r="G14" s="1642" t="s">
        <v>24</v>
      </c>
      <c r="H14" s="335" t="s">
        <v>24</v>
      </c>
      <c r="I14" s="1642" t="s">
        <v>24</v>
      </c>
      <c r="J14" s="335" t="s">
        <v>24</v>
      </c>
      <c r="K14" s="208" t="s">
        <v>846</v>
      </c>
    </row>
    <row r="15" spans="1:21" s="1825" customFormat="1" ht="15" hidden="1" customHeight="1">
      <c r="C15" s="593"/>
      <c r="U15" s="353"/>
    </row>
    <row r="16" spans="1:21" s="1825" customFormat="1" ht="15" hidden="1" customHeight="1">
      <c r="C16" s="593"/>
      <c r="U16" s="353"/>
    </row>
    <row r="17" spans="1:21" s="1825" customFormat="1" ht="15" hidden="1" customHeight="1">
      <c r="C17" s="593"/>
      <c r="U17" s="353"/>
    </row>
    <row r="18" spans="1:21" s="1825" customFormat="1" ht="15" hidden="1" customHeight="1">
      <c r="C18" s="593"/>
      <c r="U18" s="353"/>
    </row>
    <row r="19" spans="1:21" s="1825" customFormat="1" ht="15" hidden="1" customHeight="1">
      <c r="C19" s="593"/>
      <c r="U19" s="353"/>
    </row>
    <row r="20" spans="1:21" s="1825" customFormat="1" ht="15" hidden="1" customHeight="1">
      <c r="C20" s="593"/>
      <c r="U20" s="353"/>
    </row>
    <row r="21" spans="1:21" ht="15" customHeight="1">
      <c r="C21" s="97"/>
      <c r="D21" s="435"/>
      <c r="E21" s="435"/>
      <c r="F21" s="435"/>
      <c r="G21" s="435"/>
      <c r="H21" s="435"/>
      <c r="I21" s="435"/>
      <c r="J21" s="435"/>
    </row>
    <row r="22" spans="1:21" ht="22.5" customHeight="1">
      <c r="C22" s="97"/>
      <c r="D22" s="405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4058"/>
      <c r="F22" s="4058"/>
      <c r="G22" s="4058"/>
      <c r="H22" s="4058"/>
      <c r="I22" s="4058"/>
      <c r="J22" s="597"/>
      <c r="K22" s="462"/>
    </row>
    <row r="23" spans="1:21" ht="15" customHeight="1">
      <c r="C23" s="97"/>
      <c r="D23" s="4004" t="str">
        <f>IF(org=0,"Не определено",org)</f>
        <v>ООО «РИР-Сахалин»</v>
      </c>
      <c r="E23" s="4004"/>
      <c r="F23" s="4004"/>
      <c r="G23" s="4004"/>
      <c r="H23" s="4004"/>
      <c r="I23" s="4004"/>
      <c r="J23" s="597"/>
      <c r="K23" s="462"/>
    </row>
    <row r="24" spans="1:21" ht="15" customHeight="1">
      <c r="C24" s="97"/>
      <c r="D24" s="435"/>
      <c r="E24" s="435"/>
      <c r="F24" s="435"/>
      <c r="G24" s="462">
        <v>22</v>
      </c>
      <c r="H24" s="669"/>
      <c r="I24" s="462">
        <v>22</v>
      </c>
      <c r="J24" s="669"/>
    </row>
    <row r="25" spans="1:21" s="1824" customFormat="1" ht="0.75" customHeight="1">
      <c r="A25" s="676"/>
      <c r="C25" s="97"/>
      <c r="D25" s="435"/>
      <c r="E25" s="435"/>
      <c r="F25" s="435"/>
      <c r="G25" s="462"/>
      <c r="H25" s="669"/>
      <c r="I25" s="462" t="s">
        <v>115</v>
      </c>
      <c r="J25" s="669"/>
      <c r="K25" s="351"/>
      <c r="U25" s="596"/>
    </row>
    <row r="26" spans="1:21" ht="15" customHeight="1">
      <c r="C26" s="97"/>
      <c r="D26" s="630"/>
      <c r="E26" s="4148" t="s">
        <v>103</v>
      </c>
      <c r="F26" s="4149"/>
      <c r="G26" s="4169" t="str">
        <f>IF(G25="","",INDEX(DIFFERENTIATION_UNMERGE_VD,MATCH(G25,DIFFERENTIATION_ID_DIFF,0)))</f>
        <v/>
      </c>
      <c r="H26" s="4170"/>
      <c r="I26" s="4169">
        <f>IF(I25="","",INDEX(DIFFERENTIATION_UNMERGE_VD,MATCH(I25,DIFFERENTIATION_ID_DIFF,0)))</f>
        <v>0</v>
      </c>
      <c r="J26" s="4170"/>
      <c r="K26" s="4003" t="s">
        <v>291</v>
      </c>
    </row>
    <row r="27" spans="1:21" s="1824" customFormat="1" ht="15" customHeight="1">
      <c r="A27" s="676"/>
      <c r="C27" s="97"/>
      <c r="D27" s="630"/>
      <c r="E27" s="4148" t="s">
        <v>547</v>
      </c>
      <c r="F27" s="4149"/>
      <c r="G27" s="4169" t="str">
        <f>IF(G25="","",INDEX(DIFFERENTIATION_UNMERGE_AREA,MATCH(G25,DIFFERENTIATION_ID_DIFF,0)))</f>
        <v/>
      </c>
      <c r="H27" s="4170"/>
      <c r="I27" s="4169" t="str">
        <f>IF(I25="","",INDEX(DIFFERENTIATION_UNMERGE_AREA,MATCH(I25,DIFFERENTIATION_ID_DIFF,0)))</f>
        <v/>
      </c>
      <c r="J27" s="4170"/>
      <c r="K27" s="4021"/>
      <c r="U27" s="596"/>
    </row>
    <row r="28" spans="1:21" s="1824" customFormat="1" ht="15" customHeight="1">
      <c r="A28" s="676"/>
      <c r="C28" s="97"/>
      <c r="D28" s="630"/>
      <c r="E28" s="4148" t="s">
        <v>548</v>
      </c>
      <c r="F28" s="4149"/>
      <c r="G28" s="4169" t="str">
        <f>IF(G25="","",INDEX(DIFFERENTIATION_UNMERGE_SYSTEM,MATCH(G25,DIFFERENTIATION_ID_DIFF,0)))</f>
        <v/>
      </c>
      <c r="H28" s="4170"/>
      <c r="I28" s="4169" t="str">
        <f>IF(I25="","",INDEX(DIFFERENTIATION_UNMERGE_SYSTEM,MATCH(I25,DIFFERENTIATION_ID_DIFF,0)))</f>
        <v>без дифференциации</v>
      </c>
      <c r="J28" s="4170"/>
      <c r="K28" s="4021"/>
      <c r="U28" s="596"/>
    </row>
    <row r="29" spans="1:21" s="1824" customFormat="1" ht="15" customHeight="1">
      <c r="A29" s="676"/>
      <c r="C29" s="97"/>
      <c r="D29" s="4150" t="s">
        <v>290</v>
      </c>
      <c r="E29" s="4151"/>
      <c r="F29" s="4151"/>
      <c r="G29" s="800"/>
      <c r="H29" s="800"/>
      <c r="I29" s="800"/>
      <c r="J29" s="801"/>
      <c r="K29" s="4021"/>
      <c r="U29" s="596"/>
    </row>
    <row r="30" spans="1:21" ht="33.75" customHeight="1">
      <c r="C30" s="97"/>
      <c r="D30" s="678" t="s">
        <v>86</v>
      </c>
      <c r="E30" s="677" t="s">
        <v>292</v>
      </c>
      <c r="F30" s="677" t="s">
        <v>549</v>
      </c>
      <c r="G30" s="725" t="s">
        <v>293</v>
      </c>
      <c r="H30" s="724" t="s">
        <v>382</v>
      </c>
      <c r="I30" s="604" t="s">
        <v>293</v>
      </c>
      <c r="J30" s="392" t="s">
        <v>382</v>
      </c>
      <c r="K30" s="4024"/>
    </row>
    <row r="31" spans="1:21" ht="15" hidden="1" customHeight="1">
      <c r="C31" s="97"/>
      <c r="D31" s="516"/>
      <c r="E31" s="516"/>
      <c r="F31" s="516"/>
      <c r="G31" s="580"/>
      <c r="H31" s="580"/>
      <c r="I31" s="580"/>
      <c r="J31" s="580"/>
      <c r="K31" s="208"/>
    </row>
    <row r="32" spans="1:21" ht="22.5" customHeight="1">
      <c r="A32" s="431"/>
      <c r="B32" s="431" t="s">
        <v>847</v>
      </c>
      <c r="C32" s="452"/>
      <c r="D32" s="612">
        <v>1</v>
      </c>
      <c r="E32" s="613" t="s">
        <v>848</v>
      </c>
      <c r="F32" s="611" t="s">
        <v>296</v>
      </c>
      <c r="G32" s="730" t="s">
        <v>296</v>
      </c>
      <c r="H32" s="730" t="s">
        <v>296</v>
      </c>
      <c r="I32" s="611" t="s">
        <v>296</v>
      </c>
      <c r="J32" s="611" t="s">
        <v>296</v>
      </c>
      <c r="K32" s="208"/>
    </row>
    <row r="33" spans="1:21" ht="11.25" customHeight="1">
      <c r="A33" s="431"/>
      <c r="C33" s="431"/>
      <c r="D33" s="273"/>
      <c r="E33" s="505" t="s">
        <v>569</v>
      </c>
      <c r="F33" s="497"/>
      <c r="G33" s="497"/>
      <c r="H33" s="497"/>
      <c r="I33" s="497"/>
      <c r="J33" s="497"/>
      <c r="K33" s="498"/>
      <c r="U33" s="431"/>
    </row>
    <row r="34" spans="1:21" ht="22.5" customHeight="1">
      <c r="A34" s="431"/>
      <c r="B34" s="506" t="s">
        <v>849</v>
      </c>
      <c r="C34" s="452"/>
      <c r="D34" s="612">
        <v>2</v>
      </c>
      <c r="E34" s="613" t="s">
        <v>850</v>
      </c>
      <c r="F34" s="737" t="s">
        <v>296</v>
      </c>
      <c r="G34" s="737" t="s">
        <v>296</v>
      </c>
      <c r="H34" s="737" t="s">
        <v>296</v>
      </c>
      <c r="I34" s="611"/>
      <c r="J34" s="611"/>
      <c r="K34" s="208"/>
    </row>
    <row r="35" spans="1:21" ht="11.25" customHeight="1">
      <c r="A35" s="431"/>
      <c r="C35" s="431"/>
      <c r="D35" s="273"/>
      <c r="E35" s="505" t="s">
        <v>851</v>
      </c>
      <c r="F35" s="497"/>
      <c r="G35" s="614"/>
      <c r="H35" s="497"/>
      <c r="I35" s="614"/>
      <c r="J35" s="497"/>
      <c r="K35" s="498"/>
      <c r="U35" s="431"/>
    </row>
    <row r="36" spans="1:21" ht="67.5" customHeight="1">
      <c r="A36" s="431"/>
      <c r="B36" s="431" t="s">
        <v>852</v>
      </c>
      <c r="C36" s="452"/>
      <c r="D36" s="612">
        <v>3</v>
      </c>
      <c r="E36" s="613" t="s">
        <v>853</v>
      </c>
      <c r="F36" s="615" t="s">
        <v>296</v>
      </c>
      <c r="G36" s="731" t="s">
        <v>854</v>
      </c>
      <c r="H36" s="730" t="s">
        <v>296</v>
      </c>
      <c r="I36" s="450" t="s">
        <v>854</v>
      </c>
      <c r="J36" s="611" t="s">
        <v>296</v>
      </c>
      <c r="K36" s="208" t="s">
        <v>855</v>
      </c>
    </row>
    <row r="37" spans="1:21" ht="11.25" customHeight="1">
      <c r="A37" s="431"/>
      <c r="C37" s="431"/>
      <c r="D37" s="273"/>
      <c r="E37" s="505" t="s">
        <v>856</v>
      </c>
      <c r="F37" s="497"/>
      <c r="G37" s="614"/>
      <c r="H37" s="614"/>
      <c r="I37" s="614"/>
      <c r="J37" s="614"/>
      <c r="K37" s="498"/>
      <c r="U37" s="431"/>
    </row>
    <row r="38" spans="1:21" ht="67.5" customHeight="1">
      <c r="A38" s="431"/>
      <c r="B38" s="431" t="s">
        <v>857</v>
      </c>
      <c r="C38" s="452"/>
      <c r="D38" s="612">
        <v>4</v>
      </c>
      <c r="E38" s="613" t="s">
        <v>858</v>
      </c>
      <c r="F38" s="615" t="s">
        <v>296</v>
      </c>
      <c r="G38" s="731" t="s">
        <v>854</v>
      </c>
      <c r="H38" s="732" t="s">
        <v>296</v>
      </c>
      <c r="I38" s="450" t="s">
        <v>854</v>
      </c>
      <c r="J38" s="447" t="s">
        <v>296</v>
      </c>
      <c r="K38" s="600" t="s">
        <v>859</v>
      </c>
    </row>
    <row r="39" spans="1:21" ht="11.25" customHeight="1">
      <c r="A39" s="431"/>
      <c r="C39" s="431"/>
      <c r="D39" s="273"/>
      <c r="E39" s="505" t="s">
        <v>860</v>
      </c>
      <c r="F39" s="497"/>
      <c r="G39" s="497"/>
      <c r="H39" s="616"/>
      <c r="I39" s="497"/>
      <c r="J39" s="616"/>
      <c r="K39" s="498"/>
      <c r="U39" s="431"/>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3825" hidden="1" customWidth="1"/>
    <col min="4" max="4" width="6.7109375" style="1825" hidden="1" customWidth="1"/>
    <col min="5" max="5" width="3.7109375" style="1826" customWidth="1"/>
    <col min="6" max="6" width="6.28515625" style="1824" customWidth="1"/>
    <col min="7" max="7" width="37.7109375" style="1824" customWidth="1"/>
    <col min="8" max="8" width="16.5703125" style="1920" customWidth="1"/>
    <col min="9" max="10" width="19.7109375" style="1824" customWidth="1"/>
    <col min="11" max="11" width="25" style="1824" customWidth="1"/>
    <col min="12" max="13" width="25.7109375" style="1824" customWidth="1"/>
    <col min="14" max="16" width="17.7109375" style="1824" customWidth="1"/>
    <col min="17" max="24" width="19.7109375" style="1824" customWidth="1"/>
    <col min="25" max="25" width="8" style="1824" customWidth="1"/>
    <col min="26" max="26" width="3.28515625" style="1824" customWidth="1"/>
    <col min="27" max="27" width="6.28515625" style="1824" customWidth="1"/>
    <col min="28" max="28" width="34.140625" style="1824" customWidth="1"/>
    <col min="29" max="30" width="9.140625" style="1824"/>
  </cols>
  <sheetData>
    <row r="1" spans="1:30" s="1825" customFormat="1" ht="10.5" hidden="1" customHeight="1">
      <c r="A1" s="808"/>
      <c r="B1" s="808"/>
      <c r="C1" s="808"/>
      <c r="E1" s="462"/>
      <c r="H1" s="1060"/>
    </row>
    <row r="2" spans="1:30" ht="10.5" hidden="1" customHeight="1"/>
    <row r="3" spans="1:30" s="1931" customFormat="1" ht="10.5" hidden="1" customHeight="1">
      <c r="A3" s="808"/>
      <c r="B3" s="808"/>
      <c r="C3" s="808"/>
      <c r="D3" s="351"/>
      <c r="E3" s="289"/>
      <c r="H3" s="1056"/>
    </row>
    <row r="4" spans="1:30" ht="3" customHeight="1"/>
    <row r="5" spans="1:30" ht="25.5" customHeight="1">
      <c r="F5" s="405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4058"/>
      <c r="H5" s="4058"/>
      <c r="I5" s="4058"/>
      <c r="J5" s="4058"/>
      <c r="K5" s="4058"/>
      <c r="M5" s="507"/>
      <c r="AB5" s="819"/>
    </row>
    <row r="6" spans="1:30" s="1923" customFormat="1" ht="15.75" customHeight="1">
      <c r="A6" s="1066"/>
      <c r="B6" s="1066"/>
      <c r="C6" s="1066"/>
      <c r="D6" s="1060"/>
      <c r="E6" s="1547"/>
      <c r="F6" s="4004" t="str">
        <f>IF(org=0,"Не определено",org)</f>
        <v>ООО «РИР-Сахалин»</v>
      </c>
      <c r="G6" s="4004"/>
      <c r="H6" s="4004"/>
      <c r="I6" s="4004"/>
      <c r="J6" s="4004"/>
      <c r="K6" s="4004"/>
      <c r="M6" s="507"/>
      <c r="AB6" s="1048"/>
    </row>
    <row r="8" spans="1:30" ht="10.5" customHeight="1">
      <c r="A8" s="958"/>
      <c r="B8" s="958"/>
      <c r="C8" s="958"/>
      <c r="F8" s="3918" t="s">
        <v>290</v>
      </c>
      <c r="G8" s="3923"/>
      <c r="H8" s="3923"/>
      <c r="I8" s="3923"/>
      <c r="J8" s="3923"/>
      <c r="K8" s="3923"/>
      <c r="L8" s="3923"/>
      <c r="M8" s="3923"/>
      <c r="N8" s="3923"/>
      <c r="O8" s="3923"/>
      <c r="P8" s="3923"/>
      <c r="Q8" s="3923"/>
      <c r="R8" s="3923"/>
      <c r="S8" s="3923"/>
      <c r="T8" s="3923"/>
      <c r="U8" s="3923"/>
      <c r="V8" s="3923"/>
      <c r="W8" s="3923"/>
      <c r="X8" s="3923"/>
      <c r="Y8" s="3923"/>
      <c r="Z8" s="3923"/>
      <c r="AA8" s="3923"/>
      <c r="AB8" s="3917"/>
    </row>
    <row r="9" spans="1:30" ht="41.25" customHeight="1">
      <c r="A9" s="818"/>
      <c r="B9" s="818"/>
      <c r="C9" s="818"/>
      <c r="F9" s="3946" t="s">
        <v>86</v>
      </c>
      <c r="G9" s="3946" t="s">
        <v>861</v>
      </c>
      <c r="H9" s="4003" t="s">
        <v>862</v>
      </c>
      <c r="I9" s="3946" t="s">
        <v>863</v>
      </c>
      <c r="J9" s="3946" t="s">
        <v>864</v>
      </c>
      <c r="K9" s="3946" t="s">
        <v>865</v>
      </c>
      <c r="L9" s="3946" t="s">
        <v>866</v>
      </c>
      <c r="M9" s="3946" t="s">
        <v>867</v>
      </c>
      <c r="N9" s="4033" t="s">
        <v>868</v>
      </c>
      <c r="O9" s="4033"/>
      <c r="P9" s="4033"/>
      <c r="Q9" s="4083" t="s">
        <v>869</v>
      </c>
      <c r="R9" s="4084"/>
      <c r="S9" s="4084"/>
      <c r="T9" s="4085"/>
      <c r="U9" s="4083" t="s">
        <v>870</v>
      </c>
      <c r="V9" s="4084"/>
      <c r="W9" s="4084"/>
      <c r="X9" s="4085"/>
      <c r="Y9" s="3918" t="s">
        <v>871</v>
      </c>
      <c r="Z9" s="3923"/>
      <c r="AA9" s="3923"/>
      <c r="AB9" s="3917"/>
    </row>
    <row r="10" spans="1:30" ht="41.25" customHeight="1">
      <c r="A10" s="818"/>
      <c r="B10" s="818"/>
      <c r="C10" s="818"/>
      <c r="F10" s="4003"/>
      <c r="G10" s="4003"/>
      <c r="H10" s="4053"/>
      <c r="I10" s="4003"/>
      <c r="J10" s="4003"/>
      <c r="K10" s="4003"/>
      <c r="L10" s="4003"/>
      <c r="M10" s="4003"/>
      <c r="N10" s="816" t="s">
        <v>872</v>
      </c>
      <c r="O10" s="816" t="s">
        <v>873</v>
      </c>
      <c r="P10" s="817" t="s">
        <v>874</v>
      </c>
      <c r="Q10" s="828" t="s">
        <v>87</v>
      </c>
      <c r="R10" s="828" t="s">
        <v>875</v>
      </c>
      <c r="S10" s="828" t="s">
        <v>876</v>
      </c>
      <c r="T10" s="829" t="s">
        <v>877</v>
      </c>
      <c r="U10" s="828" t="s">
        <v>87</v>
      </c>
      <c r="V10" s="828" t="s">
        <v>878</v>
      </c>
      <c r="W10" s="828" t="s">
        <v>876</v>
      </c>
      <c r="X10" s="829" t="s">
        <v>877</v>
      </c>
      <c r="Y10" s="220" t="s">
        <v>879</v>
      </c>
      <c r="Z10" s="3918" t="s">
        <v>86</v>
      </c>
      <c r="AA10" s="3917"/>
      <c r="AB10" s="956" t="s">
        <v>880</v>
      </c>
    </row>
    <row r="11" spans="1:30" s="1821" customFormat="1" ht="5.25" hidden="1" customHeight="1">
      <c r="A11" s="959"/>
      <c r="B11" s="959"/>
      <c r="C11" s="959"/>
      <c r="E11" s="957"/>
      <c r="F11" s="4177" t="s">
        <v>368</v>
      </c>
      <c r="G11" s="4174"/>
      <c r="H11" s="4173"/>
      <c r="I11" s="4173"/>
      <c r="J11" s="4173"/>
      <c r="K11" s="4175"/>
      <c r="L11" s="4175"/>
      <c r="M11" s="4175"/>
      <c r="N11" s="4173"/>
      <c r="O11" s="4173"/>
      <c r="P11" s="3946"/>
      <c r="Q11" s="4007"/>
      <c r="R11" s="4007"/>
      <c r="S11" s="4007"/>
      <c r="T11" s="4173"/>
      <c r="U11" s="4007"/>
      <c r="V11" s="4007"/>
      <c r="W11" s="4007"/>
      <c r="X11" s="4173"/>
      <c r="Y11" s="3928"/>
      <c r="Z11" s="3928"/>
      <c r="AA11" s="3928"/>
      <c r="AB11" s="3928"/>
      <c r="AD11" s="437" t="s">
        <v>881</v>
      </c>
    </row>
    <row r="12" spans="1:30" s="1821" customFormat="1" ht="5.25" hidden="1" customHeight="1">
      <c r="A12" s="809"/>
      <c r="B12" s="809"/>
      <c r="C12" s="809"/>
      <c r="E12" s="444"/>
      <c r="F12" s="4177"/>
      <c r="G12" s="4174"/>
      <c r="H12" s="4173"/>
      <c r="I12" s="4173"/>
      <c r="J12" s="4173"/>
      <c r="K12" s="4175"/>
      <c r="L12" s="4175"/>
      <c r="M12" s="4175"/>
      <c r="N12" s="4173"/>
      <c r="O12" s="4173"/>
      <c r="P12" s="3946"/>
      <c r="Q12" s="4007"/>
      <c r="R12" s="4007"/>
      <c r="S12" s="4007"/>
      <c r="T12" s="4173"/>
      <c r="U12" s="4007"/>
      <c r="V12" s="4007"/>
      <c r="W12" s="4007"/>
      <c r="X12" s="4173"/>
      <c r="Y12" s="4176"/>
      <c r="Z12" s="4176"/>
      <c r="AA12" s="4176"/>
      <c r="AB12" s="4176"/>
    </row>
    <row r="13" spans="1:30" ht="10.5" customHeight="1">
      <c r="F13" s="815"/>
      <c r="G13" s="571" t="s">
        <v>882</v>
      </c>
      <c r="H13" s="1068"/>
      <c r="I13" s="497"/>
      <c r="J13" s="497"/>
      <c r="K13" s="497"/>
      <c r="L13" s="497"/>
      <c r="M13" s="497"/>
      <c r="N13" s="497"/>
      <c r="O13" s="497"/>
      <c r="P13" s="497"/>
      <c r="Q13" s="497"/>
      <c r="R13" s="497"/>
      <c r="S13" s="497"/>
      <c r="T13" s="497"/>
      <c r="U13" s="497"/>
      <c r="V13" s="497"/>
      <c r="W13" s="497"/>
      <c r="X13" s="497"/>
      <c r="Y13" s="497"/>
      <c r="Z13" s="616"/>
      <c r="AA13" s="616"/>
      <c r="AB13" s="830"/>
    </row>
    <row r="15" spans="1:30" s="1821" customFormat="1" ht="10.5" customHeight="1">
      <c r="A15" s="1067"/>
      <c r="B15" s="1067"/>
      <c r="C15" s="1067"/>
      <c r="E15" s="444"/>
      <c r="H15" s="437">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3825" hidden="1" customWidth="1"/>
    <col min="4" max="4" width="4.140625" style="1825" hidden="1" customWidth="1"/>
    <col min="5" max="5" width="3.7109375" style="1826" customWidth="1"/>
    <col min="6" max="6" width="14.42578125" style="1824" customWidth="1"/>
    <col min="7" max="7" width="3.7109375" style="1824" customWidth="1"/>
    <col min="8" max="8" width="7.7109375" style="1920" customWidth="1"/>
    <col min="9" max="10" width="16.7109375" style="1824" customWidth="1"/>
    <col min="11" max="11" width="25.7109375" style="1824" customWidth="1"/>
    <col min="12" max="12" width="8" style="3827" customWidth="1"/>
    <col min="13" max="13" width="15.5703125" style="3827" customWidth="1"/>
    <col min="14" max="14" width="3.28515625" style="1824" customWidth="1"/>
    <col min="15" max="15" width="4.7109375" style="1824" customWidth="1"/>
    <col min="16" max="16" width="9" style="1824" customWidth="1"/>
    <col min="17" max="17" width="21.7109375" style="1824" customWidth="1"/>
    <col min="18" max="18" width="14.7109375" style="1824" customWidth="1"/>
    <col min="19" max="20" width="17.7109375" style="1824" customWidth="1"/>
    <col min="21" max="21" width="9.7109375" style="1824" customWidth="1"/>
    <col min="22" max="22" width="12.7109375" style="1824" customWidth="1"/>
    <col min="23" max="23" width="9.7109375" style="1824" customWidth="1"/>
    <col min="24" max="24" width="21.7109375" style="1824" customWidth="1"/>
    <col min="25" max="25" width="12.7109375" style="1824" customWidth="1"/>
    <col min="26" max="26" width="3.28515625" style="1824" customWidth="1"/>
    <col min="27" max="27" width="7.140625" style="1824" customWidth="1"/>
    <col min="28" max="28" width="38.42578125" style="1824" customWidth="1"/>
    <col min="29" max="29" width="15.7109375" style="1824" customWidth="1"/>
    <col min="30" max="30" width="37.5703125" style="3827" customWidth="1"/>
    <col min="31" max="31" width="15.7109375" style="1824" customWidth="1"/>
    <col min="32" max="33" width="16.7109375" style="1824" customWidth="1"/>
    <col min="34" max="34" width="16.7109375" style="3828" customWidth="1"/>
    <col min="35" max="35" width="16.7109375" style="3829" customWidth="1"/>
    <col min="36" max="37" width="16.7109375" style="1824" customWidth="1"/>
    <col min="38" max="58" width="9.140625" style="1824"/>
  </cols>
  <sheetData>
    <row r="1" spans="1:58" s="1825" customFormat="1" ht="10.5" hidden="1" customHeight="1">
      <c r="A1" s="808"/>
      <c r="B1" s="808"/>
      <c r="C1" s="808"/>
      <c r="E1" s="462"/>
      <c r="H1" s="1060"/>
      <c r="L1" s="1030"/>
      <c r="M1" s="1030"/>
      <c r="AD1" s="1030"/>
      <c r="AH1" s="1047"/>
      <c r="AI1" s="1041"/>
    </row>
    <row r="2" spans="1:58" ht="10.5" hidden="1" customHeight="1"/>
    <row r="3" spans="1:58" s="1931" customFormat="1" ht="10.5" hidden="1" customHeight="1">
      <c r="A3" s="808"/>
      <c r="B3" s="808"/>
      <c r="C3" s="808"/>
      <c r="D3" s="351"/>
      <c r="E3" s="289"/>
      <c r="H3" s="1056"/>
      <c r="L3" s="1028"/>
      <c r="M3" s="1028"/>
      <c r="AD3" s="1028"/>
      <c r="AH3" s="1045"/>
      <c r="AI3" s="1039"/>
    </row>
    <row r="4" spans="1:58" ht="3" customHeight="1"/>
    <row r="5" spans="1:58" ht="25.5" customHeight="1">
      <c r="F5" s="405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4058"/>
      <c r="H5" s="4058"/>
      <c r="I5" s="4058"/>
      <c r="J5" s="4058"/>
      <c r="K5" s="4058"/>
      <c r="L5" s="1037"/>
      <c r="M5" s="1037"/>
      <c r="AG5" s="819"/>
      <c r="AH5" s="1048"/>
    </row>
    <row r="6" spans="1:58" ht="10.5" customHeight="1">
      <c r="F6" s="4004" t="str">
        <f>IF(org=0,"Не определено",org)</f>
        <v>ООО «РИР-Сахалин»</v>
      </c>
      <c r="G6" s="4004"/>
      <c r="H6" s="4004"/>
      <c r="I6" s="4004"/>
      <c r="J6" s="4004"/>
      <c r="K6" s="4004"/>
      <c r="L6" s="1038"/>
      <c r="M6" s="1038"/>
    </row>
    <row r="7" spans="1:58" ht="11.25" customHeight="1">
      <c r="E7" s="821"/>
      <c r="F7" s="832"/>
      <c r="G7" s="832"/>
      <c r="H7" s="1086"/>
      <c r="I7" s="832"/>
      <c r="J7" s="832"/>
      <c r="K7" s="834"/>
      <c r="L7" s="1035"/>
      <c r="M7" s="1035"/>
      <c r="N7" s="832"/>
      <c r="O7" s="832"/>
      <c r="P7" s="832"/>
      <c r="Q7" s="834"/>
      <c r="R7" s="832"/>
      <c r="S7" s="832"/>
      <c r="T7" s="832"/>
      <c r="U7" s="832"/>
      <c r="V7" s="832"/>
      <c r="W7" s="832"/>
      <c r="X7" s="832"/>
      <c r="Y7" s="832"/>
      <c r="Z7" s="832"/>
      <c r="AA7" s="832"/>
      <c r="AB7" s="832"/>
      <c r="AC7" s="833"/>
      <c r="AD7" s="1034"/>
      <c r="AE7" s="833"/>
      <c r="AF7" s="832"/>
      <c r="AG7" s="832"/>
      <c r="AH7" s="1050"/>
      <c r="AI7" s="1044"/>
      <c r="AJ7" s="832"/>
      <c r="AK7" s="832"/>
      <c r="AL7" s="823"/>
      <c r="AM7" s="823"/>
      <c r="AN7" s="823"/>
      <c r="AO7" s="820"/>
      <c r="AP7" s="820"/>
      <c r="AQ7" s="820"/>
      <c r="AR7" s="820"/>
      <c r="AS7" s="820"/>
      <c r="AT7" s="820"/>
      <c r="AU7" s="820"/>
      <c r="AV7" s="820"/>
      <c r="AW7" s="820"/>
      <c r="AX7" s="820"/>
      <c r="AY7" s="820"/>
      <c r="AZ7" s="820"/>
      <c r="BA7" s="820"/>
      <c r="BB7" s="820"/>
      <c r="BC7" s="820"/>
      <c r="BD7" s="820"/>
      <c r="BE7" s="820"/>
      <c r="BF7" s="820"/>
    </row>
    <row r="8" spans="1:58" ht="10.5" customHeight="1">
      <c r="E8" s="821"/>
      <c r="F8" s="4181" t="s">
        <v>290</v>
      </c>
      <c r="G8" s="4182"/>
      <c r="H8" s="4182"/>
      <c r="I8" s="4182"/>
      <c r="J8" s="4182"/>
      <c r="K8" s="4182"/>
      <c r="L8" s="4182"/>
      <c r="M8" s="4182"/>
      <c r="N8" s="4182"/>
      <c r="O8" s="4182"/>
      <c r="P8" s="4182"/>
      <c r="Q8" s="4182"/>
      <c r="R8" s="4182"/>
      <c r="S8" s="4182"/>
      <c r="T8" s="4182"/>
      <c r="U8" s="4182"/>
      <c r="V8" s="4182"/>
      <c r="W8" s="4182"/>
      <c r="X8" s="4182"/>
      <c r="Y8" s="4182"/>
      <c r="Z8" s="4182"/>
      <c r="AA8" s="4182"/>
      <c r="AB8" s="4182"/>
      <c r="AC8" s="4182"/>
      <c r="AD8" s="4182"/>
      <c r="AE8" s="4182"/>
      <c r="AF8" s="4182"/>
      <c r="AG8" s="4182"/>
      <c r="AH8" s="4182"/>
      <c r="AI8" s="4182"/>
      <c r="AJ8" s="4182"/>
      <c r="AK8" s="4183"/>
      <c r="AL8" s="822"/>
      <c r="AM8" s="820"/>
      <c r="AN8" s="820"/>
      <c r="AO8" s="820"/>
      <c r="AP8" s="820"/>
      <c r="AQ8" s="820"/>
      <c r="AR8" s="820"/>
      <c r="AS8" s="820"/>
      <c r="AT8" s="820"/>
      <c r="AU8" s="820"/>
      <c r="AV8" s="820"/>
      <c r="AW8" s="820"/>
      <c r="AX8" s="820"/>
      <c r="AY8" s="820"/>
      <c r="AZ8" s="820"/>
      <c r="BA8" s="820"/>
      <c r="BB8" s="820"/>
      <c r="BC8" s="820"/>
      <c r="BD8" s="820"/>
      <c r="BE8" s="820"/>
      <c r="BF8" s="820"/>
    </row>
    <row r="9" spans="1:58" ht="23.25" customHeight="1">
      <c r="A9" s="818"/>
      <c r="B9" s="818"/>
      <c r="C9" s="818"/>
      <c r="E9" s="821"/>
      <c r="F9" s="4033" t="s">
        <v>883</v>
      </c>
      <c r="G9" s="4120" t="s">
        <v>884</v>
      </c>
      <c r="H9" s="4179"/>
      <c r="I9" s="3946" t="s">
        <v>885</v>
      </c>
      <c r="J9" s="3946"/>
      <c r="K9" s="3946" t="s">
        <v>886</v>
      </c>
      <c r="L9" s="3946"/>
      <c r="M9" s="3946"/>
      <c r="N9" s="3946"/>
      <c r="O9" s="3946"/>
      <c r="P9" s="3946"/>
      <c r="Q9" s="3946"/>
      <c r="R9" s="3946"/>
      <c r="S9" s="3946"/>
      <c r="T9" s="3946"/>
      <c r="U9" s="3946"/>
      <c r="V9" s="3946"/>
      <c r="W9" s="3946"/>
      <c r="X9" s="3946"/>
      <c r="Y9" s="3946"/>
      <c r="Z9" s="4018" t="s">
        <v>887</v>
      </c>
      <c r="AA9" s="4019"/>
      <c r="AB9" s="3946" t="s">
        <v>888</v>
      </c>
      <c r="AC9" s="3946"/>
      <c r="AD9" s="3946"/>
      <c r="AE9" s="3946"/>
      <c r="AF9" s="4003" t="s">
        <v>889</v>
      </c>
      <c r="AG9" s="3946" t="s">
        <v>890</v>
      </c>
      <c r="AH9" s="3946"/>
      <c r="AI9" s="4003" t="s">
        <v>891</v>
      </c>
      <c r="AJ9" s="3946" t="s">
        <v>892</v>
      </c>
      <c r="AK9" s="3946"/>
      <c r="AL9" s="1043"/>
      <c r="AM9" s="820"/>
      <c r="AN9" s="820"/>
      <c r="AO9" s="820"/>
      <c r="AP9" s="820"/>
      <c r="AQ9" s="820"/>
      <c r="AR9" s="820"/>
      <c r="AS9" s="820"/>
      <c r="AT9" s="820"/>
      <c r="AU9" s="820"/>
      <c r="AV9" s="820"/>
      <c r="AW9" s="820"/>
      <c r="AX9" s="820"/>
      <c r="AY9" s="820"/>
      <c r="AZ9" s="820"/>
      <c r="BA9" s="820"/>
      <c r="BB9" s="820"/>
      <c r="BC9" s="820"/>
      <c r="BD9" s="820"/>
      <c r="BE9" s="820"/>
      <c r="BF9" s="820"/>
    </row>
    <row r="10" spans="1:58" ht="23.25" customHeight="1">
      <c r="A10" s="818"/>
      <c r="B10" s="818"/>
      <c r="C10" s="818"/>
      <c r="E10" s="825"/>
      <c r="F10" s="4033"/>
      <c r="G10" s="4121"/>
      <c r="H10" s="4034"/>
      <c r="I10" s="3946"/>
      <c r="J10" s="3946"/>
      <c r="K10" s="3946" t="s">
        <v>893</v>
      </c>
      <c r="L10" s="3918" t="s">
        <v>894</v>
      </c>
      <c r="M10" s="3917"/>
      <c r="N10" s="3946" t="s">
        <v>895</v>
      </c>
      <c r="O10" s="3946"/>
      <c r="P10" s="3946"/>
      <c r="Q10" s="3946"/>
      <c r="R10" s="3946"/>
      <c r="S10" s="3946"/>
      <c r="T10" s="3946"/>
      <c r="U10" s="3946"/>
      <c r="V10" s="3946"/>
      <c r="W10" s="3946"/>
      <c r="X10" s="3946"/>
      <c r="Y10" s="3946"/>
      <c r="Z10" s="4020"/>
      <c r="AA10" s="4021"/>
      <c r="AB10" s="3946"/>
      <c r="AC10" s="3946"/>
      <c r="AD10" s="3946"/>
      <c r="AE10" s="3946"/>
      <c r="AF10" s="4022"/>
      <c r="AG10" s="3946"/>
      <c r="AH10" s="3946"/>
      <c r="AI10" s="4022"/>
      <c r="AJ10" s="3946"/>
      <c r="AK10" s="3946"/>
      <c r="AL10" s="1043"/>
      <c r="AM10" s="826"/>
      <c r="AN10" s="826"/>
      <c r="AO10" s="826"/>
      <c r="AP10" s="826"/>
      <c r="AQ10" s="826"/>
      <c r="AR10" s="826"/>
      <c r="AS10" s="826"/>
      <c r="AT10" s="826"/>
      <c r="AU10" s="826"/>
      <c r="AV10" s="826"/>
      <c r="AW10" s="826"/>
      <c r="AX10" s="826"/>
      <c r="AY10" s="826"/>
      <c r="AZ10" s="826"/>
      <c r="BA10" s="826"/>
      <c r="BB10" s="826"/>
      <c r="BC10" s="826"/>
      <c r="BD10" s="826"/>
      <c r="BE10" s="826"/>
      <c r="BF10" s="826"/>
    </row>
    <row r="11" spans="1:58" s="3827" customFormat="1" ht="23.25" customHeight="1">
      <c r="A11" s="1031"/>
      <c r="B11" s="1031"/>
      <c r="C11" s="1031"/>
      <c r="D11" s="1030"/>
      <c r="E11" s="1032"/>
      <c r="F11" s="4033"/>
      <c r="G11" s="4121"/>
      <c r="H11" s="4034"/>
      <c r="I11" s="3946"/>
      <c r="J11" s="3946"/>
      <c r="K11" s="3946"/>
      <c r="L11" s="4003" t="s">
        <v>896</v>
      </c>
      <c r="M11" s="4003" t="s">
        <v>897</v>
      </c>
      <c r="N11" s="3946" t="s">
        <v>898</v>
      </c>
      <c r="O11" s="3946"/>
      <c r="P11" s="3974" t="s">
        <v>879</v>
      </c>
      <c r="Q11" s="3974" t="s">
        <v>899</v>
      </c>
      <c r="R11" s="3974" t="s">
        <v>900</v>
      </c>
      <c r="S11" s="3974" t="s">
        <v>901</v>
      </c>
      <c r="T11" s="3974"/>
      <c r="U11" s="3974"/>
      <c r="V11" s="3974"/>
      <c r="W11" s="3974"/>
      <c r="X11" s="3974"/>
      <c r="Y11" s="3974"/>
      <c r="Z11" s="4020"/>
      <c r="AA11" s="4021"/>
      <c r="AB11" s="3946" t="s">
        <v>902</v>
      </c>
      <c r="AC11" s="3946"/>
      <c r="AD11" s="3918" t="s">
        <v>903</v>
      </c>
      <c r="AE11" s="3917"/>
      <c r="AF11" s="4022"/>
      <c r="AG11" s="3946"/>
      <c r="AH11" s="3946"/>
      <c r="AI11" s="4022"/>
      <c r="AJ11" s="3946"/>
      <c r="AK11" s="3946"/>
      <c r="AL11" s="1043"/>
      <c r="AM11" s="1029"/>
      <c r="AN11" s="1029"/>
      <c r="AO11" s="1029"/>
      <c r="AP11" s="1029"/>
      <c r="AQ11" s="1029"/>
      <c r="AR11" s="1029"/>
      <c r="AS11" s="1029"/>
      <c r="AT11" s="1029"/>
      <c r="AU11" s="1029"/>
      <c r="AV11" s="1029"/>
      <c r="AW11" s="1029"/>
      <c r="AX11" s="1029"/>
      <c r="AY11" s="1029"/>
      <c r="AZ11" s="1029"/>
      <c r="BA11" s="1029"/>
      <c r="BB11" s="1029"/>
      <c r="BC11" s="1029"/>
      <c r="BD11" s="1029"/>
      <c r="BE11" s="1029"/>
      <c r="BF11" s="1029"/>
    </row>
    <row r="12" spans="1:58" ht="33.75" customHeight="1">
      <c r="A12" s="818"/>
      <c r="B12" s="818"/>
      <c r="C12" s="818"/>
      <c r="E12" s="821"/>
      <c r="F12" s="4033"/>
      <c r="G12" s="4122"/>
      <c r="H12" s="4180"/>
      <c r="I12" s="1053" t="s">
        <v>87</v>
      </c>
      <c r="J12" s="1053" t="s">
        <v>904</v>
      </c>
      <c r="K12" s="3946"/>
      <c r="L12" s="4053"/>
      <c r="M12" s="4053"/>
      <c r="N12" s="3946"/>
      <c r="O12" s="3946"/>
      <c r="P12" s="3974"/>
      <c r="Q12" s="3974"/>
      <c r="R12" s="3974"/>
      <c r="S12" s="1036" t="s">
        <v>84</v>
      </c>
      <c r="T12" s="1036" t="s">
        <v>85</v>
      </c>
      <c r="U12" s="1036" t="s">
        <v>83</v>
      </c>
      <c r="V12" s="1036" t="s">
        <v>905</v>
      </c>
      <c r="W12" s="1036" t="s">
        <v>83</v>
      </c>
      <c r="X12" s="1036" t="s">
        <v>906</v>
      </c>
      <c r="Y12" s="1036" t="s">
        <v>907</v>
      </c>
      <c r="Z12" s="4023"/>
      <c r="AA12" s="4024"/>
      <c r="AB12" s="1042" t="s">
        <v>908</v>
      </c>
      <c r="AC12" s="1042" t="s">
        <v>909</v>
      </c>
      <c r="AD12" s="1042" t="s">
        <v>908</v>
      </c>
      <c r="AE12" s="1042" t="s">
        <v>909</v>
      </c>
      <c r="AF12" s="4053"/>
      <c r="AG12" s="1054" t="s">
        <v>910</v>
      </c>
      <c r="AH12" s="1054" t="s">
        <v>911</v>
      </c>
      <c r="AI12" s="4053"/>
      <c r="AJ12" s="1054" t="s">
        <v>910</v>
      </c>
      <c r="AK12" s="1054" t="s">
        <v>911</v>
      </c>
      <c r="AL12" s="1043"/>
      <c r="AM12" s="820"/>
      <c r="AN12" s="820"/>
      <c r="AO12" s="820"/>
      <c r="AP12" s="820"/>
      <c r="AQ12" s="820"/>
      <c r="AR12" s="820"/>
      <c r="AS12" s="820"/>
      <c r="AT12" s="820"/>
      <c r="AU12" s="820"/>
      <c r="AV12" s="820"/>
      <c r="AW12" s="820"/>
      <c r="AX12" s="820"/>
      <c r="AY12" s="820"/>
      <c r="AZ12" s="820"/>
      <c r="BA12" s="820"/>
      <c r="BB12" s="820"/>
      <c r="BC12" s="820"/>
      <c r="BD12" s="820"/>
      <c r="BE12" s="820"/>
      <c r="BF12" s="820"/>
    </row>
    <row r="13" spans="1:58" ht="0.75" customHeight="1">
      <c r="E13" s="821"/>
      <c r="F13" s="1027">
        <v>0</v>
      </c>
      <c r="G13" s="1027"/>
      <c r="H13" s="1027"/>
      <c r="I13" s="1027"/>
      <c r="J13" s="1027"/>
      <c r="K13" s="1033"/>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3"/>
      <c r="AH13" s="1049"/>
      <c r="AI13" s="1043"/>
      <c r="AJ13" s="1033"/>
      <c r="AK13" s="1033"/>
      <c r="AL13" s="822"/>
      <c r="AM13" s="820"/>
      <c r="AN13" s="820"/>
      <c r="AO13" s="820"/>
      <c r="AP13" s="820"/>
      <c r="AQ13" s="820"/>
      <c r="AR13" s="820"/>
      <c r="AS13" s="820"/>
      <c r="AT13" s="820"/>
      <c r="AU13" s="820"/>
      <c r="AV13" s="820"/>
      <c r="AW13" s="820"/>
      <c r="AX13" s="820"/>
      <c r="AY13" s="820"/>
      <c r="AZ13" s="820"/>
      <c r="BA13" s="820"/>
      <c r="BB13" s="820"/>
      <c r="BC13" s="820"/>
      <c r="BD13" s="820"/>
      <c r="BE13" s="820"/>
      <c r="BF13" s="820"/>
    </row>
    <row r="14" spans="1:58" ht="10.5" customHeight="1">
      <c r="E14" s="820"/>
      <c r="F14" s="831"/>
      <c r="G14" s="831"/>
      <c r="H14" s="1073"/>
      <c r="I14" s="831"/>
      <c r="J14" s="831"/>
      <c r="K14" s="831"/>
      <c r="L14" s="1033"/>
      <c r="M14" s="1033"/>
      <c r="N14" s="831"/>
      <c r="O14" s="831"/>
      <c r="P14" s="831"/>
      <c r="Q14" s="831"/>
      <c r="R14" s="831"/>
      <c r="S14" s="831"/>
      <c r="T14" s="831"/>
      <c r="U14" s="831"/>
      <c r="V14" s="831"/>
      <c r="W14" s="831"/>
      <c r="X14" s="831"/>
      <c r="Y14" s="831"/>
      <c r="Z14" s="831"/>
      <c r="AA14" s="831"/>
      <c r="AB14" s="831"/>
      <c r="AC14" s="831"/>
      <c r="AD14" s="1033"/>
      <c r="AE14" s="831"/>
      <c r="AF14" s="831"/>
      <c r="AG14" s="831"/>
      <c r="AH14" s="1049"/>
      <c r="AI14" s="1043"/>
      <c r="AJ14" s="831"/>
      <c r="AK14" s="831"/>
      <c r="AL14" s="820"/>
      <c r="AM14" s="820"/>
      <c r="AN14" s="820"/>
      <c r="AO14" s="820"/>
      <c r="AP14" s="820"/>
      <c r="AQ14" s="820"/>
      <c r="AR14" s="820"/>
      <c r="AS14" s="820"/>
      <c r="AT14" s="820"/>
      <c r="AU14" s="820"/>
      <c r="AV14" s="820"/>
      <c r="AW14" s="820"/>
      <c r="AX14" s="820"/>
      <c r="AY14" s="820"/>
      <c r="AZ14" s="820"/>
      <c r="BA14" s="820"/>
      <c r="BB14" s="820"/>
      <c r="BC14" s="820"/>
      <c r="BD14" s="820"/>
      <c r="BE14" s="820"/>
      <c r="BF14" s="820"/>
    </row>
    <row r="15" spans="1:58" ht="12.75" customHeight="1">
      <c r="E15" s="820"/>
      <c r="F15" s="827" t="s">
        <v>912</v>
      </c>
      <c r="G15" s="827"/>
      <c r="H15" s="1072"/>
      <c r="I15" s="827"/>
      <c r="J15" s="827"/>
      <c r="K15" s="824"/>
      <c r="L15" s="1029"/>
      <c r="M15" s="1029"/>
      <c r="N15" s="826"/>
      <c r="O15" s="826"/>
      <c r="P15" s="826"/>
      <c r="Q15" s="826"/>
      <c r="R15" s="826"/>
      <c r="S15" s="826"/>
      <c r="T15" s="826"/>
      <c r="U15" s="826"/>
      <c r="V15" s="826"/>
      <c r="W15" s="826"/>
      <c r="X15" s="826"/>
      <c r="Y15" s="826"/>
      <c r="Z15" s="824"/>
      <c r="AA15" s="824"/>
      <c r="AB15" s="824"/>
      <c r="AC15" s="824"/>
      <c r="AD15" s="1029"/>
      <c r="AE15" s="824"/>
      <c r="AF15" s="824"/>
      <c r="AG15" s="824"/>
      <c r="AH15" s="1046"/>
      <c r="AI15" s="1040"/>
      <c r="AJ15" s="824"/>
      <c r="AK15" s="824"/>
      <c r="AL15" s="820"/>
      <c r="AM15" s="820"/>
      <c r="AN15" s="820"/>
      <c r="AO15" s="820"/>
      <c r="AP15" s="820"/>
      <c r="AQ15" s="820"/>
      <c r="AR15" s="820"/>
      <c r="AS15" s="820"/>
      <c r="AT15" s="820"/>
      <c r="AU15" s="820"/>
      <c r="AV15" s="820"/>
      <c r="AW15" s="820"/>
      <c r="AX15" s="820"/>
      <c r="AY15" s="820"/>
      <c r="AZ15" s="820"/>
      <c r="BA15" s="820"/>
      <c r="BB15" s="820"/>
      <c r="BC15" s="820"/>
      <c r="BD15" s="820"/>
      <c r="BE15" s="820"/>
      <c r="BF15" s="820"/>
    </row>
    <row r="17" spans="5:58" ht="10.5" customHeight="1">
      <c r="E17" s="820"/>
      <c r="F17" s="4178"/>
      <c r="G17" s="4178"/>
      <c r="H17" s="4178"/>
      <c r="I17" s="4178"/>
      <c r="J17" s="4178"/>
      <c r="K17" s="824"/>
      <c r="L17" s="1029"/>
      <c r="M17" s="1029"/>
      <c r="N17" s="826"/>
      <c r="O17" s="826"/>
      <c r="P17" s="826"/>
      <c r="Q17" s="826"/>
      <c r="R17" s="826"/>
      <c r="S17" s="826"/>
      <c r="T17" s="826"/>
      <c r="U17" s="826"/>
      <c r="V17" s="826"/>
      <c r="W17" s="826"/>
      <c r="X17" s="826"/>
      <c r="Y17" s="826"/>
      <c r="Z17" s="824"/>
      <c r="AA17" s="824"/>
      <c r="AB17" s="824"/>
      <c r="AC17" s="824"/>
      <c r="AD17" s="1029"/>
      <c r="AE17" s="824"/>
      <c r="AF17" s="824"/>
      <c r="AG17" s="824"/>
      <c r="AH17" s="1046"/>
      <c r="AI17" s="1040"/>
      <c r="AJ17" s="824"/>
      <c r="AK17" s="824"/>
      <c r="AL17" s="820"/>
      <c r="AM17" s="820"/>
      <c r="AN17" s="820"/>
      <c r="AO17" s="820"/>
      <c r="AP17" s="820"/>
      <c r="AQ17" s="820"/>
      <c r="AR17" s="820"/>
      <c r="AS17" s="820"/>
      <c r="AT17" s="820"/>
      <c r="AU17" s="820"/>
      <c r="AV17" s="820"/>
      <c r="AW17" s="820"/>
      <c r="AX17" s="820"/>
      <c r="AY17" s="820"/>
      <c r="AZ17" s="820"/>
      <c r="BA17" s="820"/>
      <c r="BB17" s="820"/>
      <c r="BC17" s="820"/>
      <c r="BD17" s="820"/>
      <c r="BE17" s="820"/>
      <c r="BF17" s="820"/>
    </row>
    <row r="18" spans="5:58" ht="10.5" customHeight="1">
      <c r="E18" s="820"/>
      <c r="F18" s="4178"/>
      <c r="G18" s="4178"/>
      <c r="H18" s="4178"/>
      <c r="I18" s="4178"/>
      <c r="J18" s="4178"/>
      <c r="K18" s="824"/>
      <c r="L18" s="1029"/>
      <c r="M18" s="1029"/>
      <c r="N18" s="826"/>
      <c r="O18" s="826"/>
      <c r="P18" s="826"/>
      <c r="Q18" s="826"/>
      <c r="R18" s="826"/>
      <c r="S18" s="826"/>
      <c r="T18" s="826"/>
      <c r="U18" s="826"/>
      <c r="V18" s="826"/>
      <c r="W18" s="826"/>
      <c r="X18" s="826"/>
      <c r="Y18" s="826"/>
      <c r="Z18" s="824"/>
      <c r="AA18" s="824"/>
      <c r="AB18" s="824"/>
      <c r="AC18" s="824"/>
      <c r="AD18" s="1029"/>
      <c r="AE18" s="824"/>
      <c r="AF18" s="824"/>
      <c r="AG18" s="824"/>
      <c r="AH18" s="1046"/>
      <c r="AI18" s="1040"/>
      <c r="AJ18" s="824"/>
      <c r="AK18" s="824"/>
      <c r="AL18" s="820"/>
      <c r="AM18" s="820"/>
      <c r="AN18" s="820"/>
      <c r="AO18" s="820"/>
      <c r="AP18" s="820"/>
      <c r="AQ18" s="820"/>
      <c r="AR18" s="820"/>
      <c r="AS18" s="820"/>
      <c r="AT18" s="820"/>
      <c r="AU18" s="820"/>
      <c r="AV18" s="820"/>
      <c r="AW18" s="820"/>
      <c r="AX18" s="820"/>
      <c r="AY18" s="820"/>
      <c r="AZ18" s="820"/>
      <c r="BA18" s="820"/>
      <c r="BB18" s="820"/>
      <c r="BC18" s="820"/>
      <c r="BD18" s="820"/>
      <c r="BE18" s="820"/>
      <c r="BF18" s="820"/>
    </row>
    <row r="19" spans="5:58" ht="10.5" customHeight="1">
      <c r="E19" s="820"/>
      <c r="F19" s="4178"/>
      <c r="G19" s="4178"/>
      <c r="H19" s="4178"/>
      <c r="I19" s="4178"/>
      <c r="J19" s="4178"/>
      <c r="K19" s="824"/>
      <c r="L19" s="1029"/>
      <c r="M19" s="1029"/>
      <c r="N19" s="826"/>
      <c r="O19" s="826"/>
      <c r="P19" s="826"/>
      <c r="Q19" s="826"/>
      <c r="R19" s="826"/>
      <c r="S19" s="826"/>
      <c r="T19" s="826"/>
      <c r="U19" s="826"/>
      <c r="V19" s="826"/>
      <c r="W19" s="826"/>
      <c r="X19" s="826"/>
      <c r="Y19" s="826"/>
      <c r="Z19" s="824"/>
      <c r="AA19" s="824"/>
      <c r="AB19" s="824"/>
      <c r="AC19" s="824"/>
      <c r="AD19" s="1029"/>
      <c r="AE19" s="824"/>
      <c r="AF19" s="824"/>
      <c r="AG19" s="824"/>
      <c r="AH19" s="1046"/>
      <c r="AI19" s="1040"/>
      <c r="AJ19" s="824"/>
      <c r="AK19" s="824"/>
      <c r="AL19" s="820"/>
      <c r="AM19" s="820"/>
      <c r="AN19" s="820"/>
      <c r="AO19" s="820"/>
      <c r="AP19" s="820"/>
      <c r="AQ19" s="820"/>
      <c r="AR19" s="820"/>
      <c r="AS19" s="820"/>
      <c r="AT19" s="820"/>
      <c r="AU19" s="820"/>
      <c r="AV19" s="820"/>
      <c r="AW19" s="820"/>
      <c r="AX19" s="820"/>
      <c r="AY19" s="820"/>
      <c r="AZ19" s="820"/>
      <c r="BA19" s="820"/>
      <c r="BB19" s="820"/>
      <c r="BC19" s="820"/>
      <c r="BD19" s="820"/>
      <c r="BE19" s="820"/>
      <c r="BF19" s="820"/>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3826" hidden="1" customWidth="1"/>
    <col min="4" max="4" width="4.140625" style="2553" hidden="1" customWidth="1"/>
    <col min="5" max="5" width="3.7109375" style="1826" customWidth="1"/>
    <col min="6" max="6" width="6.28515625" style="1920" customWidth="1"/>
    <col min="7" max="7" width="60.140625" style="1920" customWidth="1"/>
    <col min="8" max="9" width="21.7109375" style="1920" hidden="1" customWidth="1"/>
    <col min="10" max="10" width="0.140625" style="1920" customWidth="1"/>
    <col min="11" max="11" width="1.7109375" style="1920" customWidth="1"/>
    <col min="12" max="22" width="9.140625" style="1920"/>
  </cols>
  <sheetData>
    <row r="1" spans="1:22" s="2553" customFormat="1" ht="10.5" hidden="1" customHeight="1">
      <c r="A1" s="1066"/>
      <c r="B1" s="1066"/>
      <c r="C1" s="1066"/>
      <c r="E1" s="462"/>
    </row>
    <row r="2" spans="1:22" ht="10.5" hidden="1" customHeight="1"/>
    <row r="3" spans="1:22" s="1919" customFormat="1" ht="10.5" hidden="1" customHeight="1">
      <c r="A3" s="1066"/>
      <c r="B3" s="1066"/>
      <c r="C3" s="1066"/>
      <c r="D3" s="1060"/>
      <c r="E3" s="289"/>
    </row>
    <row r="4" spans="1:22" ht="3" customHeight="1"/>
    <row r="5" spans="1:22" ht="25.5" customHeight="1">
      <c r="F5" s="405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4058"/>
      <c r="H5" s="4058"/>
      <c r="I5" s="4058"/>
      <c r="J5" s="4058"/>
    </row>
    <row r="6" spans="1:22" ht="10.5" customHeight="1">
      <c r="F6" s="4004" t="str">
        <f>IF(org=0,"Не определено",org)</f>
        <v>ООО «РИР-Сахалин»</v>
      </c>
      <c r="G6" s="4004"/>
      <c r="H6" s="4004"/>
      <c r="I6" s="4004"/>
      <c r="J6" s="4004"/>
    </row>
    <row r="7" spans="1:22" ht="11.25" customHeight="1">
      <c r="E7" s="1070"/>
      <c r="F7" s="1136"/>
      <c r="G7" s="1136"/>
      <c r="H7" s="1136"/>
      <c r="I7" s="1136"/>
      <c r="J7" s="1136"/>
      <c r="K7" s="1057"/>
      <c r="L7" s="1057"/>
      <c r="M7" s="1057"/>
      <c r="N7" s="1057"/>
      <c r="O7" s="1057"/>
      <c r="P7" s="1057"/>
      <c r="Q7" s="1057"/>
      <c r="R7" s="1057"/>
      <c r="S7" s="1057"/>
      <c r="T7" s="1057"/>
      <c r="U7" s="1057"/>
      <c r="V7" s="1057"/>
    </row>
    <row r="8" spans="1:22" s="1821" customFormat="1" ht="5.25" customHeight="1">
      <c r="A8" s="1067"/>
      <c r="B8" s="1067"/>
      <c r="C8" s="1067"/>
      <c r="E8" s="1137"/>
      <c r="F8" s="1138"/>
      <c r="G8" s="1138"/>
      <c r="H8" s="1138"/>
      <c r="I8" s="1138"/>
      <c r="J8" s="1138"/>
      <c r="K8" s="1137"/>
      <c r="L8" s="1137"/>
      <c r="M8" s="1137"/>
      <c r="N8" s="1137"/>
      <c r="O8" s="1137"/>
      <c r="P8" s="1137"/>
      <c r="Q8" s="1137"/>
      <c r="R8" s="1137"/>
      <c r="S8" s="1137"/>
      <c r="T8" s="1137"/>
      <c r="U8" s="1137"/>
      <c r="V8" s="1137"/>
    </row>
    <row r="9" spans="1:22" ht="10.5" customHeight="1">
      <c r="E9" s="1070"/>
      <c r="F9" s="4184" t="s">
        <v>290</v>
      </c>
      <c r="G9" s="4185"/>
      <c r="H9" s="4185"/>
      <c r="I9" s="4185"/>
      <c r="J9" s="4185"/>
      <c r="K9" s="1149"/>
      <c r="L9" s="1057"/>
      <c r="M9" s="1057"/>
      <c r="N9" s="1057"/>
      <c r="O9" s="1057"/>
      <c r="P9" s="1057"/>
      <c r="Q9" s="1057"/>
      <c r="R9" s="1057"/>
      <c r="S9" s="1057"/>
      <c r="T9" s="1057"/>
      <c r="U9" s="1057"/>
      <c r="V9" s="1057"/>
    </row>
    <row r="10" spans="1:22" ht="24" customHeight="1">
      <c r="E10" s="1057"/>
      <c r="F10" s="4188" t="s">
        <v>86</v>
      </c>
      <c r="G10" s="4192" t="s">
        <v>913</v>
      </c>
      <c r="H10" s="4173" t="s">
        <v>914</v>
      </c>
      <c r="I10" s="4173"/>
      <c r="J10" s="4173"/>
      <c r="K10" s="1142"/>
      <c r="L10" s="1057"/>
      <c r="M10" s="1057"/>
      <c r="N10" s="1057"/>
      <c r="O10" s="1057"/>
      <c r="P10" s="1057"/>
      <c r="Q10" s="1057"/>
      <c r="R10" s="1057"/>
      <c r="S10" s="1057"/>
      <c r="T10" s="1057"/>
      <c r="U10" s="1057"/>
      <c r="V10" s="1057"/>
    </row>
    <row r="11" spans="1:22" ht="24" customHeight="1">
      <c r="E11" s="1057"/>
      <c r="F11" s="4189"/>
      <c r="G11" s="4192"/>
      <c r="H11" s="4191" t="e">
        <f>INDEX(IP_MAIN_LIST_NAME_IP,MATCH(H8,IP_MAIN_LIST_IP_ID,0))&amp;" ("&amp;INDEX(IP_MAIN_START_DATE,MATCH(H8,IP_MAIN_LIST_IP_ID,0))&amp;"-"&amp;INDEX(IP_MAIN_END_DATE,MATCH(H8,IP_MAIN_LIST_IP_ID,0))&amp;")"</f>
        <v>#N/A</v>
      </c>
      <c r="I11" s="4191"/>
      <c r="J11" s="4191"/>
      <c r="K11" s="1142"/>
      <c r="L11" s="1057"/>
      <c r="M11" s="1057"/>
      <c r="N11" s="1057"/>
      <c r="O11" s="1057"/>
      <c r="P11" s="1057"/>
      <c r="Q11" s="1057"/>
      <c r="R11" s="1057"/>
      <c r="S11" s="1057"/>
      <c r="T11" s="1057"/>
      <c r="U11" s="1057"/>
      <c r="V11" s="1057"/>
    </row>
    <row r="12" spans="1:22" ht="10.5" customHeight="1">
      <c r="F12" s="4190"/>
      <c r="G12" s="4192"/>
      <c r="H12" s="1135" t="s">
        <v>915</v>
      </c>
      <c r="I12" s="1141"/>
      <c r="J12" s="1135"/>
      <c r="K12" s="1143"/>
    </row>
    <row r="13" spans="1:22" ht="10.5" hidden="1" customHeight="1">
      <c r="F13" s="1135">
        <v>1</v>
      </c>
      <c r="G13" s="1135">
        <v>2</v>
      </c>
      <c r="H13" s="1135">
        <v>3</v>
      </c>
      <c r="I13" s="1135">
        <v>4</v>
      </c>
      <c r="J13" s="1135">
        <v>5</v>
      </c>
      <c r="K13" s="1143"/>
    </row>
    <row r="14" spans="1:22" ht="11.25" customHeight="1">
      <c r="F14" s="1134" t="s">
        <v>916</v>
      </c>
      <c r="G14" s="4186" t="s">
        <v>917</v>
      </c>
      <c r="H14" s="4186"/>
      <c r="I14" s="4186"/>
      <c r="J14" s="4186"/>
      <c r="K14" s="1143"/>
    </row>
    <row r="15" spans="1:22" ht="11.25" customHeight="1">
      <c r="F15" s="1139">
        <v>1</v>
      </c>
      <c r="G15" s="610" t="s">
        <v>918</v>
      </c>
      <c r="H15" s="1145">
        <f t="shared" ref="H15:H36" si="0">SUM(I15:J15)</f>
        <v>0</v>
      </c>
      <c r="I15" s="1145">
        <f>SUM(I16:I27)</f>
        <v>0</v>
      </c>
      <c r="J15" s="1134"/>
      <c r="K15" s="1143"/>
    </row>
    <row r="16" spans="1:22" ht="22.5" customHeight="1">
      <c r="F16" s="1139" t="s">
        <v>919</v>
      </c>
      <c r="G16" s="1146" t="s">
        <v>920</v>
      </c>
      <c r="H16" s="1145">
        <f t="shared" si="0"/>
        <v>0</v>
      </c>
      <c r="I16" s="1144"/>
      <c r="J16" s="1134"/>
      <c r="K16" s="1143"/>
    </row>
    <row r="17" spans="6:11" ht="22.5" customHeight="1">
      <c r="F17" s="1139" t="s">
        <v>921</v>
      </c>
      <c r="G17" s="1146" t="s">
        <v>922</v>
      </c>
      <c r="H17" s="1145">
        <f t="shared" si="0"/>
        <v>0</v>
      </c>
      <c r="I17" s="1144"/>
      <c r="J17" s="1134"/>
      <c r="K17" s="1143"/>
    </row>
    <row r="18" spans="6:11" ht="33.75" customHeight="1">
      <c r="F18" s="1139" t="s">
        <v>923</v>
      </c>
      <c r="G18" s="1146" t="s">
        <v>924</v>
      </c>
      <c r="H18" s="1145">
        <f t="shared" si="0"/>
        <v>0</v>
      </c>
      <c r="I18" s="1144"/>
      <c r="J18" s="1134"/>
      <c r="K18" s="1143"/>
    </row>
    <row r="19" spans="6:11" ht="33.75" customHeight="1">
      <c r="F19" s="1139" t="s">
        <v>925</v>
      </c>
      <c r="G19" s="1146" t="s">
        <v>926</v>
      </c>
      <c r="H19" s="1145">
        <f t="shared" si="0"/>
        <v>0</v>
      </c>
      <c r="I19" s="1144"/>
      <c r="J19" s="1134"/>
      <c r="K19" s="1143"/>
    </row>
    <row r="20" spans="6:11" ht="45" customHeight="1">
      <c r="F20" s="1139" t="s">
        <v>927</v>
      </c>
      <c r="G20" s="1146" t="s">
        <v>928</v>
      </c>
      <c r="H20" s="1145">
        <f t="shared" si="0"/>
        <v>0</v>
      </c>
      <c r="I20" s="1144"/>
      <c r="J20" s="1134"/>
      <c r="K20" s="1143"/>
    </row>
    <row r="21" spans="6:11" ht="33.75" customHeight="1">
      <c r="F21" s="1139" t="s">
        <v>929</v>
      </c>
      <c r="G21" s="1146" t="s">
        <v>930</v>
      </c>
      <c r="H21" s="1145">
        <f t="shared" si="0"/>
        <v>0</v>
      </c>
      <c r="I21" s="1144"/>
      <c r="J21" s="1134"/>
      <c r="K21" s="1143"/>
    </row>
    <row r="22" spans="6:11" ht="33.75" customHeight="1">
      <c r="F22" s="1139" t="s">
        <v>931</v>
      </c>
      <c r="G22" s="1146" t="s">
        <v>932</v>
      </c>
      <c r="H22" s="1145">
        <f t="shared" si="0"/>
        <v>0</v>
      </c>
      <c r="I22" s="1144"/>
      <c r="J22" s="1134"/>
      <c r="K22" s="1143"/>
    </row>
    <row r="23" spans="6:11" ht="22.5" customHeight="1">
      <c r="F23" s="1139" t="s">
        <v>933</v>
      </c>
      <c r="G23" s="1146" t="s">
        <v>934</v>
      </c>
      <c r="H23" s="1145">
        <f t="shared" si="0"/>
        <v>0</v>
      </c>
      <c r="I23" s="1144"/>
      <c r="J23" s="1134"/>
      <c r="K23" s="1143"/>
    </row>
    <row r="24" spans="6:11" ht="22.5" customHeight="1">
      <c r="F24" s="1139" t="s">
        <v>935</v>
      </c>
      <c r="G24" s="1146" t="s">
        <v>936</v>
      </c>
      <c r="H24" s="1145">
        <f t="shared" si="0"/>
        <v>0</v>
      </c>
      <c r="I24" s="1144"/>
      <c r="J24" s="1134"/>
      <c r="K24" s="1143"/>
    </row>
    <row r="25" spans="6:11" ht="33.75" customHeight="1">
      <c r="F25" s="1139" t="s">
        <v>937</v>
      </c>
      <c r="G25" s="1146" t="s">
        <v>938</v>
      </c>
      <c r="H25" s="1145">
        <f t="shared" si="0"/>
        <v>0</v>
      </c>
      <c r="I25" s="1144"/>
      <c r="J25" s="1134"/>
      <c r="K25" s="1143"/>
    </row>
    <row r="26" spans="6:11" ht="33.75" customHeight="1">
      <c r="F26" s="1139" t="s">
        <v>939</v>
      </c>
      <c r="G26" s="1146" t="s">
        <v>940</v>
      </c>
      <c r="H26" s="1145">
        <f t="shared" si="0"/>
        <v>0</v>
      </c>
      <c r="I26" s="1144"/>
      <c r="J26" s="1134"/>
      <c r="K26" s="1143"/>
    </row>
    <row r="27" spans="6:11" ht="11.25" customHeight="1">
      <c r="F27" s="1139" t="s">
        <v>941</v>
      </c>
      <c r="G27" s="1146" t="s">
        <v>942</v>
      </c>
      <c r="H27" s="1145">
        <f t="shared" si="0"/>
        <v>0</v>
      </c>
      <c r="I27" s="1144"/>
      <c r="J27" s="1134"/>
      <c r="K27" s="1143"/>
    </row>
    <row r="28" spans="6:11" ht="11.25" customHeight="1">
      <c r="F28" s="1139">
        <v>2</v>
      </c>
      <c r="G28" s="610" t="s">
        <v>943</v>
      </c>
      <c r="H28" s="1145">
        <f t="shared" si="0"/>
        <v>0</v>
      </c>
      <c r="I28" s="1145">
        <f>SUM(I29:I31)</f>
        <v>0</v>
      </c>
      <c r="J28" s="1134"/>
      <c r="K28" s="1143"/>
    </row>
    <row r="29" spans="6:11" ht="11.25" customHeight="1">
      <c r="F29" s="1139" t="s">
        <v>605</v>
      </c>
      <c r="G29" s="1146" t="s">
        <v>944</v>
      </c>
      <c r="H29" s="1145">
        <f t="shared" si="0"/>
        <v>0</v>
      </c>
      <c r="I29" s="1144"/>
      <c r="J29" s="1134"/>
      <c r="K29" s="1143"/>
    </row>
    <row r="30" spans="6:11" ht="11.25" customHeight="1">
      <c r="F30" s="1139" t="s">
        <v>297</v>
      </c>
      <c r="G30" s="1146" t="s">
        <v>945</v>
      </c>
      <c r="H30" s="1145">
        <f t="shared" si="0"/>
        <v>0</v>
      </c>
      <c r="I30" s="1144"/>
      <c r="J30" s="1134"/>
      <c r="K30" s="1143"/>
    </row>
    <row r="31" spans="6:11" ht="11.25" customHeight="1">
      <c r="F31" s="1139" t="s">
        <v>300</v>
      </c>
      <c r="G31" s="1146" t="s">
        <v>946</v>
      </c>
      <c r="H31" s="1145">
        <f t="shared" si="0"/>
        <v>0</v>
      </c>
      <c r="I31" s="1144"/>
      <c r="J31" s="1134"/>
      <c r="K31" s="1143"/>
    </row>
    <row r="32" spans="6:11" ht="11.25" customHeight="1">
      <c r="F32" s="1139">
        <v>3</v>
      </c>
      <c r="G32" s="610" t="s">
        <v>947</v>
      </c>
      <c r="H32" s="1145">
        <f t="shared" si="0"/>
        <v>0</v>
      </c>
      <c r="I32" s="1145">
        <f>SUM(I33:I34)</f>
        <v>0</v>
      </c>
      <c r="J32" s="1134"/>
      <c r="K32" s="1143"/>
    </row>
    <row r="33" spans="6:11" ht="33.75" customHeight="1">
      <c r="F33" s="1139" t="s">
        <v>316</v>
      </c>
      <c r="G33" s="1146" t="s">
        <v>948</v>
      </c>
      <c r="H33" s="1145">
        <f t="shared" si="0"/>
        <v>0</v>
      </c>
      <c r="I33" s="1144"/>
      <c r="J33" s="1134"/>
      <c r="K33" s="1143"/>
    </row>
    <row r="34" spans="6:11" ht="11.25" customHeight="1">
      <c r="F34" s="1139" t="s">
        <v>324</v>
      </c>
      <c r="G34" s="1146" t="s">
        <v>949</v>
      </c>
      <c r="H34" s="1145">
        <f t="shared" si="0"/>
        <v>0</v>
      </c>
      <c r="I34" s="1144"/>
      <c r="J34" s="1134"/>
      <c r="K34" s="1143"/>
    </row>
    <row r="35" spans="6:11" ht="11.25" customHeight="1">
      <c r="F35" s="1139">
        <v>4</v>
      </c>
      <c r="G35" s="610" t="s">
        <v>950</v>
      </c>
      <c r="H35" s="1145">
        <f t="shared" si="0"/>
        <v>0</v>
      </c>
      <c r="I35" s="1144"/>
      <c r="J35" s="1134"/>
      <c r="K35" s="1143"/>
    </row>
    <row r="36" spans="6:11" ht="11.25" customHeight="1">
      <c r="F36" s="1139"/>
      <c r="G36" s="613" t="s">
        <v>951</v>
      </c>
      <c r="H36" s="1145">
        <f t="shared" si="0"/>
        <v>0</v>
      </c>
      <c r="I36" s="1145">
        <f>SUM(I15,I28,I32,I35)</f>
        <v>0</v>
      </c>
      <c r="J36" s="1134"/>
      <c r="K36" s="1143"/>
    </row>
    <row r="37" spans="6:11" ht="27.75" customHeight="1">
      <c r="F37" s="1140" t="s">
        <v>952</v>
      </c>
      <c r="G37" s="4187" t="s">
        <v>953</v>
      </c>
      <c r="H37" s="4187"/>
      <c r="I37" s="4187"/>
      <c r="J37" s="4187"/>
      <c r="K37" s="1143"/>
    </row>
    <row r="38" spans="6:11" ht="22.5" customHeight="1">
      <c r="F38" s="1139" t="s">
        <v>107</v>
      </c>
      <c r="G38" s="610" t="s">
        <v>954</v>
      </c>
      <c r="H38" s="1145">
        <f t="shared" ref="H38:H58" si="1">SUM(I38:J38)</f>
        <v>0</v>
      </c>
      <c r="I38" s="1145">
        <f>SUM(I39,I44,I47)</f>
        <v>0</v>
      </c>
      <c r="J38" s="1134"/>
      <c r="K38" s="1143"/>
    </row>
    <row r="39" spans="6:11" ht="11.25" customHeight="1">
      <c r="F39" s="1139" t="s">
        <v>919</v>
      </c>
      <c r="G39" s="1146" t="s">
        <v>918</v>
      </c>
      <c r="H39" s="1145">
        <f t="shared" si="1"/>
        <v>0</v>
      </c>
      <c r="I39" s="1145">
        <f>SUM(I40:I43)</f>
        <v>0</v>
      </c>
      <c r="J39" s="1134"/>
      <c r="K39" s="1143"/>
    </row>
    <row r="40" spans="6:11" ht="22.5" customHeight="1">
      <c r="F40" s="1139" t="s">
        <v>955</v>
      </c>
      <c r="G40" s="1147" t="s">
        <v>956</v>
      </c>
      <c r="H40" s="1145">
        <f t="shared" si="1"/>
        <v>0</v>
      </c>
      <c r="I40" s="1144"/>
      <c r="J40" s="1134"/>
      <c r="K40" s="1143"/>
    </row>
    <row r="41" spans="6:11" ht="11.25" customHeight="1">
      <c r="F41" s="1139" t="s">
        <v>957</v>
      </c>
      <c r="G41" s="1147" t="s">
        <v>958</v>
      </c>
      <c r="H41" s="1145">
        <f t="shared" si="1"/>
        <v>0</v>
      </c>
      <c r="I41" s="1144"/>
      <c r="J41" s="1134"/>
      <c r="K41" s="1143"/>
    </row>
    <row r="42" spans="6:11" ht="11.25" customHeight="1">
      <c r="F42" s="1139" t="s">
        <v>959</v>
      </c>
      <c r="G42" s="1147" t="s">
        <v>960</v>
      </c>
      <c r="H42" s="1145">
        <f t="shared" si="1"/>
        <v>0</v>
      </c>
      <c r="I42" s="1144"/>
      <c r="J42" s="1134"/>
      <c r="K42" s="1143"/>
    </row>
    <row r="43" spans="6:11" ht="33.75" customHeight="1">
      <c r="F43" s="1139" t="s">
        <v>961</v>
      </c>
      <c r="G43" s="1147" t="s">
        <v>962</v>
      </c>
      <c r="H43" s="1145">
        <f t="shared" si="1"/>
        <v>0</v>
      </c>
      <c r="I43" s="1144"/>
      <c r="J43" s="1134"/>
      <c r="K43" s="1143"/>
    </row>
    <row r="44" spans="6:11" ht="11.25" customHeight="1">
      <c r="F44" s="1139" t="s">
        <v>921</v>
      </c>
      <c r="G44" s="1146" t="s">
        <v>947</v>
      </c>
      <c r="H44" s="1145">
        <f t="shared" si="1"/>
        <v>0</v>
      </c>
      <c r="I44" s="1145">
        <f>SUM(I45:I46)</f>
        <v>0</v>
      </c>
      <c r="J44" s="1134"/>
      <c r="K44" s="1143"/>
    </row>
    <row r="45" spans="6:11" ht="45" customHeight="1">
      <c r="F45" s="1139" t="s">
        <v>963</v>
      </c>
      <c r="G45" s="1147" t="s">
        <v>948</v>
      </c>
      <c r="H45" s="1145">
        <f t="shared" si="1"/>
        <v>0</v>
      </c>
      <c r="I45" s="1144"/>
      <c r="J45" s="1134"/>
      <c r="K45" s="1143"/>
    </row>
    <row r="46" spans="6:11" ht="11.25" customHeight="1">
      <c r="F46" s="1139" t="s">
        <v>964</v>
      </c>
      <c r="G46" s="1147" t="s">
        <v>949</v>
      </c>
      <c r="H46" s="1145">
        <f t="shared" si="1"/>
        <v>0</v>
      </c>
      <c r="I46" s="1144"/>
      <c r="J46" s="1134"/>
      <c r="K46" s="1143"/>
    </row>
    <row r="47" spans="6:11" ht="11.25" customHeight="1">
      <c r="F47" s="1139" t="s">
        <v>923</v>
      </c>
      <c r="G47" s="1146" t="s">
        <v>965</v>
      </c>
      <c r="H47" s="1145">
        <f t="shared" si="1"/>
        <v>0</v>
      </c>
      <c r="I47" s="1144"/>
      <c r="J47" s="1134"/>
      <c r="K47" s="1143"/>
    </row>
    <row r="48" spans="6:11" ht="22.5" customHeight="1">
      <c r="F48" s="1139" t="s">
        <v>108</v>
      </c>
      <c r="G48" s="610" t="s">
        <v>966</v>
      </c>
      <c r="H48" s="1145">
        <f t="shared" si="1"/>
        <v>0</v>
      </c>
      <c r="I48" s="1145">
        <f>SUM(I49,I54,I57)</f>
        <v>0</v>
      </c>
      <c r="J48" s="1134"/>
      <c r="K48" s="1143"/>
    </row>
    <row r="49" spans="6:11" ht="11.25" customHeight="1">
      <c r="F49" s="1139" t="s">
        <v>605</v>
      </c>
      <c r="G49" s="1146" t="s">
        <v>918</v>
      </c>
      <c r="H49" s="1145">
        <f t="shared" si="1"/>
        <v>0</v>
      </c>
      <c r="I49" s="1145">
        <f>SUM(I50:I53)</f>
        <v>0</v>
      </c>
      <c r="J49" s="1134"/>
      <c r="K49" s="1143"/>
    </row>
    <row r="50" spans="6:11" ht="22.5" customHeight="1">
      <c r="F50" s="1139" t="s">
        <v>608</v>
      </c>
      <c r="G50" s="1147" t="s">
        <v>956</v>
      </c>
      <c r="H50" s="1145">
        <f t="shared" si="1"/>
        <v>0</v>
      </c>
      <c r="I50" s="1144"/>
      <c r="J50" s="1134"/>
      <c r="K50" s="1143"/>
    </row>
    <row r="51" spans="6:11" ht="11.25" customHeight="1">
      <c r="F51" s="1139" t="s">
        <v>611</v>
      </c>
      <c r="G51" s="1147" t="s">
        <v>958</v>
      </c>
      <c r="H51" s="1145">
        <f t="shared" si="1"/>
        <v>0</v>
      </c>
      <c r="I51" s="1144"/>
      <c r="J51" s="1134"/>
      <c r="K51" s="1143"/>
    </row>
    <row r="52" spans="6:11" ht="11.25" customHeight="1">
      <c r="F52" s="1139" t="s">
        <v>967</v>
      </c>
      <c r="G52" s="1147" t="s">
        <v>960</v>
      </c>
      <c r="H52" s="1145">
        <f t="shared" si="1"/>
        <v>0</v>
      </c>
      <c r="I52" s="1144"/>
      <c r="J52" s="1134"/>
      <c r="K52" s="1143"/>
    </row>
    <row r="53" spans="6:11" ht="33.75" customHeight="1">
      <c r="F53" s="1139" t="s">
        <v>968</v>
      </c>
      <c r="G53" s="1147" t="s">
        <v>962</v>
      </c>
      <c r="H53" s="1145">
        <f t="shared" si="1"/>
        <v>0</v>
      </c>
      <c r="I53" s="1144"/>
      <c r="J53" s="1134"/>
      <c r="K53" s="1143"/>
    </row>
    <row r="54" spans="6:11" ht="11.25" customHeight="1">
      <c r="F54" s="1139" t="s">
        <v>297</v>
      </c>
      <c r="G54" s="1146" t="s">
        <v>947</v>
      </c>
      <c r="H54" s="1145">
        <f t="shared" si="1"/>
        <v>0</v>
      </c>
      <c r="I54" s="1145">
        <f>SUM(I55:I56)</f>
        <v>0</v>
      </c>
      <c r="J54" s="1134"/>
      <c r="K54" s="1143"/>
    </row>
    <row r="55" spans="6:11" ht="45" customHeight="1">
      <c r="F55" s="1139" t="s">
        <v>615</v>
      </c>
      <c r="G55" s="1147" t="s">
        <v>948</v>
      </c>
      <c r="H55" s="1145">
        <f t="shared" si="1"/>
        <v>0</v>
      </c>
      <c r="I55" s="1144"/>
      <c r="J55" s="1134"/>
      <c r="K55" s="1143"/>
    </row>
    <row r="56" spans="6:11" ht="11.25" customHeight="1">
      <c r="F56" s="1139" t="s">
        <v>617</v>
      </c>
      <c r="G56" s="1147" t="s">
        <v>949</v>
      </c>
      <c r="H56" s="1145">
        <f t="shared" si="1"/>
        <v>0</v>
      </c>
      <c r="I56" s="1144"/>
      <c r="J56" s="1134"/>
      <c r="K56" s="1143"/>
    </row>
    <row r="57" spans="6:11" ht="11.25" customHeight="1">
      <c r="F57" s="1139" t="s">
        <v>300</v>
      </c>
      <c r="G57" s="1146" t="s">
        <v>965</v>
      </c>
      <c r="H57" s="1145">
        <f t="shared" si="1"/>
        <v>0</v>
      </c>
      <c r="I57" s="1144"/>
      <c r="J57" s="1134"/>
      <c r="K57" s="1143"/>
    </row>
    <row r="58" spans="6:11" ht="11.25" customHeight="1">
      <c r="F58" s="1139"/>
      <c r="G58" s="1148" t="s">
        <v>951</v>
      </c>
      <c r="H58" s="1145">
        <f t="shared" si="1"/>
        <v>0</v>
      </c>
      <c r="I58" s="1145">
        <f>SUM(I38,I48)</f>
        <v>0</v>
      </c>
      <c r="J58" s="1134"/>
      <c r="K58" s="1143"/>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3837" hidden="1" customWidth="1"/>
    <col min="2" max="2" width="4.7109375" style="3838" hidden="1" customWidth="1"/>
    <col min="3" max="4" width="4.7109375" style="3837" hidden="1" customWidth="1"/>
    <col min="5" max="5" width="3.5703125" style="3837" customWidth="1"/>
    <col min="6" max="6" width="6.7109375" style="3837" customWidth="1"/>
    <col min="7" max="7" width="18.7109375" style="3837" customWidth="1"/>
    <col min="8" max="8" width="27.28515625" style="3837" customWidth="1"/>
    <col min="9" max="9" width="18.7109375" style="3837" customWidth="1"/>
    <col min="10" max="14" width="0.85546875" style="3837" hidden="1" customWidth="1"/>
    <col min="15" max="28" width="21.7109375" style="3837" customWidth="1"/>
    <col min="29" max="71" width="0.85546875" style="3837" customWidth="1"/>
    <col min="72" max="79" width="21.7109375" style="3837" hidden="1" customWidth="1"/>
    <col min="80" max="81" width="29.140625" style="3837" hidden="1" customWidth="1"/>
    <col min="82" max="89" width="21.7109375" style="3837" hidden="1" customWidth="1"/>
    <col min="90" max="102" width="0.7109375" style="3837" hidden="1" customWidth="1"/>
    <col min="103" max="114" width="21.7109375" style="3837" hidden="1" customWidth="1"/>
    <col min="115" max="178" width="0.7109375" style="3837" hidden="1" customWidth="1"/>
    <col min="179" max="179" width="0.140625" style="3837" customWidth="1"/>
    <col min="180" max="184" width="9.140625" style="3837"/>
  </cols>
  <sheetData>
    <row r="1" spans="2:180" s="3830" customFormat="1" ht="12" hidden="1" customHeight="1">
      <c r="B1" s="835"/>
      <c r="C1" s="836"/>
      <c r="D1" s="836"/>
    </row>
    <row r="2" spans="2:180" s="3830" customFormat="1" ht="12" hidden="1" customHeight="1">
      <c r="B2" s="835"/>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B2" s="837"/>
      <c r="AC2" s="836"/>
      <c r="AD2" s="836"/>
      <c r="AE2" s="836"/>
      <c r="AF2" s="836"/>
      <c r="AG2" s="836"/>
      <c r="AH2" s="836"/>
      <c r="AI2" s="836"/>
      <c r="AJ2" s="836"/>
      <c r="AK2" s="836"/>
      <c r="AL2" s="836"/>
      <c r="AM2" s="836"/>
      <c r="AN2" s="836"/>
      <c r="AO2" s="836"/>
      <c r="AP2" s="836"/>
      <c r="AQ2" s="836"/>
      <c r="AR2" s="836"/>
      <c r="AS2" s="836"/>
      <c r="AT2" s="836"/>
      <c r="AU2" s="836"/>
      <c r="AV2" s="836"/>
      <c r="AW2" s="836"/>
      <c r="AX2" s="836"/>
      <c r="AY2" s="836"/>
      <c r="AZ2" s="836"/>
      <c r="BA2" s="836"/>
      <c r="BB2" s="836"/>
      <c r="BC2" s="836"/>
      <c r="BD2" s="836"/>
      <c r="BE2" s="836"/>
      <c r="BF2" s="836"/>
      <c r="BG2" s="836"/>
      <c r="BH2" s="836"/>
      <c r="BI2" s="836"/>
      <c r="BJ2" s="836"/>
      <c r="BK2" s="836"/>
      <c r="BL2" s="836"/>
      <c r="BM2" s="836"/>
      <c r="BN2" s="836"/>
      <c r="BO2" s="836"/>
      <c r="BP2" s="836"/>
      <c r="BQ2" s="836"/>
      <c r="BR2" s="836"/>
      <c r="BS2" s="836"/>
      <c r="BT2" s="836"/>
      <c r="BU2" s="836"/>
      <c r="BV2" s="836"/>
      <c r="BW2" s="836"/>
      <c r="BX2" s="836"/>
      <c r="BY2" s="836"/>
      <c r="BZ2" s="836"/>
      <c r="CA2" s="836"/>
      <c r="CB2" s="836"/>
      <c r="CC2" s="836"/>
      <c r="CD2" s="836"/>
      <c r="CE2" s="836"/>
      <c r="CF2" s="836"/>
      <c r="CG2" s="836"/>
      <c r="CH2" s="836"/>
      <c r="CI2" s="836"/>
      <c r="CJ2" s="836"/>
      <c r="CK2" s="836"/>
      <c r="CL2" s="836"/>
      <c r="CM2" s="836"/>
      <c r="CN2" s="836"/>
      <c r="CO2" s="836"/>
      <c r="CP2" s="836"/>
      <c r="CQ2" s="836"/>
      <c r="CR2" s="836"/>
      <c r="CS2" s="836"/>
      <c r="CT2" s="836"/>
      <c r="CU2" s="836"/>
      <c r="CV2" s="836"/>
      <c r="CW2" s="836"/>
      <c r="CX2" s="836"/>
      <c r="CY2" s="836"/>
      <c r="CZ2" s="836"/>
      <c r="DA2" s="836"/>
      <c r="DB2" s="836"/>
      <c r="DC2" s="836"/>
      <c r="DD2" s="836"/>
      <c r="DE2" s="836"/>
      <c r="DF2" s="836"/>
      <c r="DG2" s="836"/>
      <c r="DH2" s="836"/>
      <c r="DI2" s="836"/>
      <c r="DJ2" s="836"/>
      <c r="DK2" s="836"/>
      <c r="DL2" s="836"/>
      <c r="DM2" s="836"/>
      <c r="DN2" s="836"/>
      <c r="DO2" s="836"/>
      <c r="DP2" s="836"/>
      <c r="DQ2" s="836"/>
      <c r="DR2" s="836"/>
      <c r="DS2" s="836"/>
      <c r="DT2" s="836"/>
      <c r="DU2" s="836"/>
      <c r="DV2" s="836"/>
      <c r="DW2" s="836"/>
      <c r="DX2" s="836"/>
      <c r="DY2" s="836"/>
      <c r="DZ2" s="836"/>
      <c r="EA2" s="836"/>
      <c r="EB2" s="836"/>
      <c r="EC2" s="836"/>
      <c r="ED2" s="836"/>
      <c r="EE2" s="836"/>
      <c r="EF2" s="836"/>
      <c r="EG2" s="836"/>
      <c r="EH2" s="836"/>
      <c r="EI2" s="836"/>
      <c r="EJ2" s="836"/>
      <c r="EK2" s="836"/>
      <c r="EL2" s="836"/>
      <c r="EM2" s="836"/>
      <c r="EN2" s="836"/>
      <c r="EO2" s="836"/>
      <c r="EP2" s="836"/>
      <c r="EQ2" s="836"/>
      <c r="ER2" s="836"/>
      <c r="ES2" s="836"/>
      <c r="ET2" s="836"/>
      <c r="EU2" s="836"/>
      <c r="EV2" s="836"/>
      <c r="EW2" s="836"/>
      <c r="EX2" s="836"/>
      <c r="EY2" s="836"/>
      <c r="EZ2" s="836"/>
      <c r="FA2" s="836"/>
      <c r="FB2" s="836"/>
      <c r="FC2" s="836"/>
      <c r="FD2" s="836"/>
      <c r="FE2" s="836"/>
      <c r="FF2" s="836"/>
      <c r="FG2" s="836"/>
      <c r="FH2" s="836"/>
      <c r="FI2" s="836"/>
      <c r="FJ2" s="836"/>
      <c r="FK2" s="836"/>
      <c r="FL2" s="836"/>
      <c r="FM2" s="836"/>
      <c r="FN2" s="836"/>
      <c r="FO2" s="836"/>
      <c r="FP2" s="836"/>
      <c r="FQ2" s="836"/>
      <c r="FR2" s="836"/>
      <c r="FS2" s="836"/>
      <c r="FT2" s="836"/>
      <c r="FU2" s="836"/>
      <c r="FV2" s="836"/>
      <c r="FW2" s="836"/>
    </row>
    <row r="3" spans="2:180" s="3830" customFormat="1" ht="12" hidden="1" customHeight="1">
      <c r="B3" s="835"/>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7"/>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6"/>
      <c r="BD3" s="836"/>
      <c r="BE3" s="836"/>
      <c r="BF3" s="836"/>
      <c r="BG3" s="836"/>
      <c r="BH3" s="836"/>
      <c r="BI3" s="836"/>
      <c r="BJ3" s="836"/>
      <c r="BK3" s="836"/>
      <c r="BL3" s="836"/>
      <c r="BM3" s="836"/>
      <c r="BN3" s="836"/>
      <c r="BO3" s="836"/>
      <c r="BP3" s="836"/>
      <c r="BQ3" s="836"/>
      <c r="BR3" s="836"/>
      <c r="BS3" s="836"/>
      <c r="BT3" s="836"/>
      <c r="BU3" s="836"/>
      <c r="BV3" s="836"/>
      <c r="BW3" s="836"/>
      <c r="BX3" s="836"/>
      <c r="BY3" s="836"/>
      <c r="BZ3" s="836"/>
      <c r="CA3" s="836"/>
      <c r="CB3" s="836"/>
      <c r="CC3" s="836"/>
      <c r="CD3" s="836"/>
      <c r="CE3" s="836"/>
      <c r="CF3" s="836"/>
      <c r="CG3" s="836"/>
      <c r="CH3" s="836"/>
      <c r="CI3" s="836"/>
      <c r="CJ3" s="836"/>
      <c r="CK3" s="836"/>
      <c r="CL3" s="836"/>
      <c r="CM3" s="836"/>
      <c r="CN3" s="836"/>
      <c r="CO3" s="836"/>
      <c r="CP3" s="836"/>
      <c r="CQ3" s="836"/>
      <c r="CR3" s="836"/>
      <c r="CS3" s="836"/>
      <c r="CT3" s="836"/>
      <c r="CU3" s="836"/>
      <c r="CV3" s="836"/>
      <c r="CW3" s="836"/>
      <c r="CX3" s="836"/>
      <c r="CY3" s="836"/>
      <c r="CZ3" s="836"/>
      <c r="DA3" s="836"/>
      <c r="DB3" s="836"/>
      <c r="DC3" s="836"/>
      <c r="DD3" s="836"/>
      <c r="DE3" s="836"/>
      <c r="DF3" s="836"/>
      <c r="DG3" s="836"/>
      <c r="DH3" s="836"/>
      <c r="DI3" s="836"/>
      <c r="DJ3" s="836"/>
      <c r="DK3" s="836"/>
      <c r="DL3" s="836"/>
      <c r="DM3" s="836"/>
      <c r="DN3" s="836"/>
      <c r="DO3" s="836"/>
      <c r="DP3" s="836"/>
      <c r="DQ3" s="836"/>
      <c r="DR3" s="836"/>
      <c r="DS3" s="836"/>
      <c r="DT3" s="836"/>
      <c r="DU3" s="836"/>
      <c r="DV3" s="836"/>
      <c r="DW3" s="836"/>
      <c r="DX3" s="836"/>
      <c r="DY3" s="836"/>
      <c r="DZ3" s="836"/>
      <c r="EA3" s="836"/>
      <c r="EB3" s="836"/>
      <c r="EC3" s="836"/>
      <c r="ED3" s="836"/>
      <c r="EE3" s="836"/>
      <c r="EF3" s="836"/>
      <c r="EG3" s="836"/>
      <c r="EH3" s="836"/>
      <c r="EI3" s="836"/>
      <c r="EJ3" s="836"/>
      <c r="EK3" s="836"/>
      <c r="EL3" s="836"/>
      <c r="EM3" s="836"/>
      <c r="EN3" s="836"/>
      <c r="EO3" s="836"/>
      <c r="EP3" s="836"/>
      <c r="EQ3" s="836"/>
      <c r="ER3" s="836"/>
      <c r="ES3" s="836"/>
      <c r="ET3" s="836"/>
      <c r="EU3" s="836"/>
      <c r="EV3" s="836"/>
      <c r="EW3" s="836"/>
      <c r="EX3" s="836"/>
      <c r="EY3" s="836"/>
      <c r="EZ3" s="836"/>
      <c r="FA3" s="836"/>
      <c r="FB3" s="836"/>
      <c r="FC3" s="836"/>
      <c r="FD3" s="836"/>
      <c r="FE3" s="836"/>
      <c r="FF3" s="836"/>
      <c r="FG3" s="836"/>
      <c r="FH3" s="836"/>
      <c r="FI3" s="836"/>
      <c r="FJ3" s="836"/>
      <c r="FK3" s="836"/>
      <c r="FL3" s="836"/>
      <c r="FM3" s="836"/>
      <c r="FN3" s="836"/>
      <c r="FO3" s="836"/>
      <c r="FP3" s="836"/>
      <c r="FQ3" s="836"/>
      <c r="FR3" s="836"/>
      <c r="FS3" s="836"/>
      <c r="FT3" s="836"/>
      <c r="FU3" s="836"/>
      <c r="FV3" s="836"/>
      <c r="FW3" s="836"/>
    </row>
    <row r="4" spans="2:180" ht="10.5" customHeight="1">
      <c r="B4" s="838"/>
      <c r="C4" s="839"/>
      <c r="D4" s="839"/>
      <c r="E4" s="839"/>
      <c r="F4" s="839"/>
      <c r="G4" s="839"/>
      <c r="H4" s="840"/>
      <c r="I4" s="840"/>
      <c r="J4" s="840"/>
      <c r="K4" s="840"/>
      <c r="L4" s="840"/>
      <c r="M4" s="841"/>
      <c r="N4" s="841"/>
      <c r="O4" s="841"/>
      <c r="P4" s="841"/>
      <c r="Q4" s="841"/>
      <c r="R4" s="841"/>
      <c r="S4" s="841"/>
      <c r="T4" s="841"/>
      <c r="U4" s="841"/>
      <c r="V4" s="841"/>
      <c r="W4" s="841"/>
      <c r="X4" s="841"/>
      <c r="Y4" s="841"/>
      <c r="Z4" s="841"/>
      <c r="AA4" s="841"/>
      <c r="AB4" s="841"/>
      <c r="AC4" s="841"/>
      <c r="AD4" s="841"/>
      <c r="AE4" s="841"/>
      <c r="AF4" s="841"/>
      <c r="AG4" s="841"/>
      <c r="AH4" s="841"/>
      <c r="AI4" s="841"/>
      <c r="AJ4" s="841"/>
      <c r="AK4" s="841"/>
      <c r="AL4" s="841"/>
      <c r="AM4" s="841"/>
      <c r="AN4" s="841"/>
      <c r="AO4" s="841"/>
      <c r="AP4" s="841"/>
      <c r="AQ4" s="841"/>
      <c r="AR4" s="841"/>
      <c r="AS4" s="841"/>
      <c r="AT4" s="841"/>
      <c r="AU4" s="841"/>
      <c r="AV4" s="841"/>
      <c r="AW4" s="841"/>
      <c r="AX4" s="841"/>
      <c r="AY4" s="841"/>
      <c r="AZ4" s="841"/>
      <c r="BA4" s="841"/>
      <c r="BB4" s="841"/>
      <c r="BC4" s="841"/>
      <c r="BD4" s="841"/>
      <c r="BE4" s="841"/>
      <c r="BF4" s="841"/>
      <c r="BG4" s="841"/>
      <c r="BH4" s="841"/>
      <c r="BI4" s="841"/>
      <c r="BJ4" s="841"/>
      <c r="BK4" s="841"/>
      <c r="BL4" s="841"/>
      <c r="BM4" s="841"/>
      <c r="BN4" s="841"/>
      <c r="BO4" s="841"/>
      <c r="BP4" s="841"/>
      <c r="BQ4" s="841"/>
      <c r="BR4" s="841"/>
      <c r="BS4" s="841"/>
      <c r="BT4" s="841"/>
      <c r="BU4" s="841"/>
      <c r="BV4" s="841"/>
      <c r="BW4" s="841"/>
      <c r="BX4" s="841"/>
      <c r="BY4" s="841"/>
      <c r="BZ4" s="841"/>
      <c r="CA4" s="841"/>
      <c r="CB4" s="841"/>
      <c r="CC4" s="841"/>
      <c r="CD4" s="841"/>
      <c r="CE4" s="841"/>
      <c r="CF4" s="841"/>
      <c r="CG4" s="841"/>
      <c r="CH4" s="841"/>
      <c r="CI4" s="841"/>
      <c r="CJ4" s="841"/>
      <c r="CK4" s="841"/>
      <c r="CL4" s="841"/>
      <c r="CM4" s="841"/>
      <c r="CN4" s="841"/>
      <c r="CO4" s="841"/>
      <c r="CP4" s="841"/>
      <c r="CQ4" s="841"/>
      <c r="CR4" s="841"/>
      <c r="CS4" s="841"/>
      <c r="CT4" s="841"/>
      <c r="CU4" s="841"/>
      <c r="CV4" s="841"/>
      <c r="CW4" s="841"/>
      <c r="CX4" s="841"/>
      <c r="CY4" s="841"/>
      <c r="CZ4" s="841"/>
      <c r="DA4" s="841"/>
      <c r="DB4" s="841"/>
      <c r="DC4" s="841"/>
      <c r="DD4" s="841"/>
      <c r="DE4" s="841"/>
      <c r="DF4" s="841"/>
      <c r="DG4" s="841"/>
      <c r="DH4" s="841"/>
      <c r="DI4" s="841"/>
      <c r="DJ4" s="841"/>
      <c r="DK4" s="841"/>
      <c r="DL4" s="841"/>
      <c r="DM4" s="841"/>
      <c r="DN4" s="841"/>
      <c r="DO4" s="841"/>
      <c r="DP4" s="841"/>
      <c r="DQ4" s="841"/>
      <c r="DR4" s="841"/>
      <c r="DS4" s="841"/>
      <c r="DT4" s="841"/>
      <c r="DU4" s="841"/>
      <c r="DV4" s="841"/>
      <c r="DW4" s="841"/>
      <c r="DX4" s="841"/>
      <c r="DY4" s="841"/>
      <c r="DZ4" s="841"/>
      <c r="EA4" s="841"/>
      <c r="EB4" s="841"/>
      <c r="EC4" s="841"/>
      <c r="ED4" s="841"/>
      <c r="EE4" s="841"/>
      <c r="EF4" s="841"/>
      <c r="EG4" s="841"/>
      <c r="EH4" s="841"/>
      <c r="EI4" s="841"/>
      <c r="EJ4" s="841"/>
      <c r="EK4" s="841"/>
      <c r="EL4" s="841"/>
      <c r="EM4" s="841"/>
      <c r="EN4" s="841"/>
      <c r="EO4" s="841"/>
      <c r="EP4" s="841"/>
      <c r="EQ4" s="841"/>
      <c r="ER4" s="841"/>
      <c r="ES4" s="841"/>
      <c r="ET4" s="841"/>
      <c r="EU4" s="841"/>
      <c r="EV4" s="841"/>
      <c r="EW4" s="841"/>
      <c r="EX4" s="841"/>
      <c r="EY4" s="841"/>
      <c r="EZ4" s="841"/>
      <c r="FA4" s="841"/>
      <c r="FB4" s="841"/>
      <c r="FC4" s="841"/>
      <c r="FD4" s="841"/>
      <c r="FE4" s="841"/>
      <c r="FF4" s="841"/>
      <c r="FG4" s="841"/>
      <c r="FH4" s="841"/>
      <c r="FI4" s="841"/>
      <c r="FJ4" s="841"/>
      <c r="FK4" s="841"/>
      <c r="FL4" s="841"/>
      <c r="FM4" s="841"/>
      <c r="FN4" s="841"/>
      <c r="FO4" s="841"/>
      <c r="FP4" s="841"/>
      <c r="FQ4" s="841"/>
      <c r="FR4" s="841"/>
      <c r="FS4" s="841"/>
      <c r="FT4" s="841"/>
      <c r="FU4" s="841"/>
      <c r="FV4" s="841"/>
      <c r="FW4" s="841"/>
    </row>
    <row r="5" spans="2:180" s="3832" customFormat="1" ht="25.5" customHeight="1">
      <c r="B5" s="1783"/>
      <c r="E5" s="1784"/>
      <c r="F5" s="41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3990"/>
      <c r="H5" s="3990"/>
      <c r="I5" s="3990"/>
      <c r="J5" s="3990"/>
      <c r="K5" s="3990"/>
      <c r="L5" s="3990"/>
      <c r="M5" s="3990"/>
      <c r="N5" s="3990"/>
      <c r="O5" s="3990"/>
      <c r="P5" s="3990"/>
      <c r="Q5" s="3990"/>
      <c r="R5" s="3990"/>
      <c r="S5" s="3990"/>
      <c r="T5" s="3990"/>
      <c r="U5" s="3990"/>
      <c r="V5" s="3990"/>
      <c r="W5" s="3990"/>
      <c r="X5" s="3990"/>
      <c r="Y5" s="3990"/>
      <c r="Z5" s="3990"/>
      <c r="AA5" s="3990"/>
      <c r="AB5" s="3990"/>
      <c r="AC5" s="3990"/>
      <c r="AD5" s="3990"/>
      <c r="AE5" s="3990"/>
      <c r="AF5" s="3990"/>
      <c r="AG5" s="3990"/>
      <c r="AH5" s="3990"/>
      <c r="AI5" s="3990"/>
      <c r="AJ5" s="3990"/>
      <c r="AK5" s="3990"/>
      <c r="AL5" s="3990"/>
      <c r="AM5" s="3990"/>
      <c r="AN5" s="3990"/>
      <c r="AO5" s="3990"/>
      <c r="AP5" s="3990"/>
      <c r="AQ5" s="3990"/>
      <c r="AR5" s="3990"/>
      <c r="AS5" s="3990"/>
      <c r="AT5" s="3990"/>
      <c r="AU5" s="3990"/>
      <c r="AV5" s="3990"/>
      <c r="AW5" s="3990"/>
      <c r="AX5" s="3990"/>
      <c r="AY5" s="3990"/>
      <c r="AZ5" s="3990"/>
      <c r="BA5" s="3990"/>
      <c r="BB5" s="3990"/>
      <c r="BC5" s="3990"/>
      <c r="BD5" s="3990"/>
      <c r="BE5" s="3990"/>
      <c r="BF5" s="3990"/>
      <c r="BG5" s="3990"/>
      <c r="BH5" s="3990"/>
      <c r="BI5" s="3990"/>
      <c r="BJ5" s="3990"/>
      <c r="BK5" s="3990"/>
      <c r="BL5" s="3990"/>
      <c r="BM5" s="3990"/>
      <c r="BN5" s="3990"/>
      <c r="BO5" s="3990"/>
      <c r="BP5" s="3990"/>
      <c r="BQ5" s="3990"/>
      <c r="BR5" s="3990"/>
      <c r="BS5" s="3990"/>
    </row>
    <row r="6" spans="2:180" s="3833" customFormat="1" ht="18" customHeight="1">
      <c r="B6" s="853"/>
      <c r="E6" s="854"/>
      <c r="F6" s="4038" t="str">
        <f>IF(org=0,"Не определено",org)</f>
        <v>ООО «РИР-Сахалин»</v>
      </c>
      <c r="G6" s="4039"/>
      <c r="H6" s="4039"/>
      <c r="I6" s="4039"/>
      <c r="J6" s="4039"/>
      <c r="K6" s="4039"/>
      <c r="L6" s="4039"/>
      <c r="M6" s="4039"/>
      <c r="N6" s="4039"/>
      <c r="O6" s="4039"/>
      <c r="P6" s="4039"/>
      <c r="Q6" s="4039"/>
      <c r="R6" s="4039"/>
      <c r="S6" s="4039"/>
      <c r="T6" s="4039"/>
      <c r="U6" s="4039"/>
      <c r="V6" s="4039"/>
      <c r="W6" s="4039"/>
      <c r="X6" s="4039"/>
      <c r="Y6" s="4039"/>
      <c r="Z6" s="4039"/>
      <c r="AA6" s="4039"/>
      <c r="AB6" s="4039"/>
      <c r="AC6" s="4039"/>
      <c r="AD6" s="4039"/>
      <c r="AE6" s="4039"/>
      <c r="AF6" s="4039"/>
      <c r="AG6" s="4039"/>
      <c r="AH6" s="4039"/>
      <c r="AI6" s="4039"/>
      <c r="AJ6" s="4039"/>
      <c r="AK6" s="4039"/>
      <c r="AL6" s="4039"/>
      <c r="AM6" s="4039"/>
      <c r="AN6" s="4039"/>
      <c r="AO6" s="4039"/>
      <c r="AP6" s="4039"/>
      <c r="AQ6" s="4039"/>
      <c r="AR6" s="4039"/>
      <c r="AS6" s="4039"/>
      <c r="AT6" s="4039"/>
      <c r="AU6" s="4039"/>
      <c r="AV6" s="4039"/>
      <c r="AW6" s="4039"/>
      <c r="AX6" s="4039"/>
      <c r="AY6" s="4039"/>
      <c r="AZ6" s="4039"/>
      <c r="BA6" s="4039"/>
      <c r="BB6" s="4039"/>
      <c r="BC6" s="4039"/>
      <c r="BD6" s="4039"/>
      <c r="BE6" s="4039"/>
      <c r="BF6" s="4039"/>
      <c r="BG6" s="4039"/>
      <c r="BH6" s="4039"/>
      <c r="BI6" s="4039"/>
      <c r="BJ6" s="4039"/>
      <c r="BK6" s="4039"/>
      <c r="BL6" s="4039"/>
      <c r="BM6" s="4039"/>
      <c r="BN6" s="4039"/>
      <c r="BO6" s="4039"/>
      <c r="BP6" s="4039"/>
      <c r="BQ6" s="4039"/>
      <c r="BR6" s="4039"/>
      <c r="BS6" s="4039"/>
    </row>
    <row r="7" spans="2:180" s="3834" customFormat="1" ht="10.5" customHeight="1">
      <c r="B7" s="842"/>
      <c r="E7" s="843"/>
      <c r="F7" s="843"/>
      <c r="G7" s="845"/>
      <c r="H7" s="840"/>
      <c r="I7" s="840"/>
      <c r="J7" s="840"/>
      <c r="K7" s="840"/>
      <c r="L7" s="840"/>
      <c r="M7" s="843"/>
      <c r="N7" s="843"/>
      <c r="O7" s="843"/>
      <c r="P7" s="843"/>
      <c r="Q7" s="843"/>
      <c r="R7" s="843"/>
      <c r="S7" s="843"/>
      <c r="T7" s="843"/>
      <c r="U7" s="843"/>
      <c r="V7" s="843"/>
      <c r="W7" s="843"/>
      <c r="X7" s="843"/>
      <c r="Y7" s="843"/>
      <c r="Z7" s="843"/>
      <c r="AA7" s="843"/>
      <c r="AB7" s="843"/>
      <c r="AC7" s="843"/>
      <c r="AD7" s="843"/>
      <c r="AE7" s="843"/>
      <c r="AF7" s="843"/>
      <c r="AG7" s="843"/>
      <c r="AH7" s="843"/>
      <c r="AI7" s="843"/>
      <c r="AJ7" s="843"/>
      <c r="AK7" s="843"/>
      <c r="AL7" s="843"/>
      <c r="AM7" s="843"/>
      <c r="AN7" s="843"/>
      <c r="AO7" s="843"/>
      <c r="AP7" s="843"/>
      <c r="AQ7" s="843"/>
      <c r="AR7" s="843"/>
      <c r="AS7" s="843"/>
      <c r="AT7" s="843"/>
      <c r="AU7" s="843"/>
      <c r="AV7" s="843"/>
      <c r="AW7" s="843"/>
      <c r="AX7" s="843"/>
      <c r="AY7" s="843"/>
      <c r="AZ7" s="843"/>
      <c r="BA7" s="843"/>
      <c r="BB7" s="843"/>
      <c r="BC7" s="843"/>
      <c r="BD7" s="843"/>
      <c r="BE7" s="843"/>
      <c r="BF7" s="843"/>
      <c r="BG7" s="843"/>
      <c r="BH7" s="843"/>
      <c r="BI7" s="843"/>
      <c r="BJ7" s="843"/>
      <c r="BK7" s="843"/>
      <c r="BL7" s="843"/>
      <c r="BM7" s="843"/>
      <c r="BN7" s="843"/>
      <c r="BO7" s="843"/>
      <c r="BP7" s="843"/>
      <c r="BQ7" s="843"/>
      <c r="BR7" s="843"/>
      <c r="BS7" s="843"/>
      <c r="BT7" s="843"/>
      <c r="BU7" s="843"/>
      <c r="BV7" s="843"/>
      <c r="BW7" s="843"/>
      <c r="BX7" s="843"/>
      <c r="BY7" s="843"/>
      <c r="BZ7" s="843"/>
      <c r="CA7" s="843"/>
      <c r="CB7" s="843"/>
      <c r="CC7" s="843"/>
      <c r="CD7" s="843"/>
      <c r="CE7" s="843"/>
      <c r="CF7" s="843"/>
      <c r="CG7" s="843"/>
      <c r="CH7" s="843"/>
      <c r="CI7" s="843"/>
      <c r="CJ7" s="843"/>
      <c r="CK7" s="843"/>
      <c r="CL7" s="843"/>
      <c r="CM7" s="843"/>
      <c r="CN7" s="843"/>
      <c r="CO7" s="843"/>
      <c r="CP7" s="843"/>
      <c r="CQ7" s="843"/>
      <c r="CR7" s="843"/>
      <c r="CS7" s="843"/>
      <c r="CT7" s="843"/>
      <c r="CU7" s="843"/>
      <c r="CV7" s="843"/>
      <c r="CW7" s="843"/>
      <c r="CX7" s="843"/>
      <c r="CY7" s="843"/>
      <c r="CZ7" s="843"/>
      <c r="DA7" s="843"/>
      <c r="DB7" s="843"/>
      <c r="DC7" s="843"/>
      <c r="DD7" s="843"/>
      <c r="DE7" s="843"/>
      <c r="DF7" s="843"/>
      <c r="DG7" s="843"/>
      <c r="DH7" s="843"/>
      <c r="DI7" s="843"/>
      <c r="DJ7" s="843"/>
      <c r="DK7" s="843"/>
      <c r="DL7" s="843"/>
      <c r="DM7" s="843"/>
      <c r="DN7" s="843"/>
      <c r="DO7" s="843"/>
      <c r="DP7" s="843"/>
      <c r="DQ7" s="843"/>
      <c r="DR7" s="843"/>
      <c r="DS7" s="843"/>
      <c r="DT7" s="843"/>
      <c r="DU7" s="843"/>
      <c r="DV7" s="843"/>
      <c r="DW7" s="843"/>
      <c r="DX7" s="843"/>
      <c r="DY7" s="843"/>
      <c r="DZ7" s="843"/>
      <c r="EA7" s="843"/>
      <c r="EB7" s="843"/>
      <c r="EC7" s="843"/>
      <c r="ED7" s="843"/>
      <c r="EE7" s="843"/>
      <c r="EF7" s="843"/>
      <c r="EG7" s="843"/>
      <c r="EH7" s="843"/>
      <c r="EI7" s="843"/>
      <c r="EJ7" s="843"/>
      <c r="EK7" s="843"/>
      <c r="EL7" s="843"/>
      <c r="EM7" s="843"/>
      <c r="EN7" s="843"/>
      <c r="EO7" s="843"/>
      <c r="EP7" s="843"/>
      <c r="EQ7" s="843"/>
      <c r="ER7" s="843"/>
      <c r="ES7" s="843"/>
      <c r="ET7" s="843"/>
      <c r="EU7" s="843"/>
      <c r="EV7" s="843"/>
      <c r="EW7" s="843"/>
      <c r="EX7" s="843"/>
      <c r="EY7" s="843"/>
      <c r="EZ7" s="843"/>
      <c r="FA7" s="843"/>
      <c r="FB7" s="843"/>
      <c r="FC7" s="843"/>
      <c r="FD7" s="843"/>
      <c r="FE7" s="843"/>
      <c r="FF7" s="843"/>
      <c r="FG7" s="843"/>
      <c r="FH7" s="843"/>
      <c r="FI7" s="843"/>
      <c r="FJ7" s="843"/>
      <c r="FK7" s="843"/>
      <c r="FL7" s="843"/>
      <c r="FM7" s="843"/>
      <c r="FN7" s="843"/>
      <c r="FO7" s="843"/>
      <c r="FP7" s="843"/>
      <c r="FQ7" s="843"/>
      <c r="FR7" s="843"/>
      <c r="FS7" s="843"/>
      <c r="FT7" s="843"/>
      <c r="FU7" s="843"/>
      <c r="FV7" s="843"/>
      <c r="FW7" s="843"/>
    </row>
    <row r="8" spans="2:180" s="3835" customFormat="1" ht="11.25" hidden="1" customHeight="1">
      <c r="B8" s="844"/>
      <c r="F8" s="963"/>
      <c r="G8" s="680"/>
      <c r="H8" s="285"/>
      <c r="I8" s="285"/>
      <c r="J8" s="285"/>
      <c r="K8" s="285"/>
      <c r="L8" s="285"/>
      <c r="M8" s="963"/>
      <c r="N8" s="963"/>
      <c r="O8" s="4213" t="s">
        <v>969</v>
      </c>
      <c r="P8" s="4214"/>
      <c r="Q8" s="4214"/>
      <c r="R8" s="4214"/>
      <c r="S8" s="4214"/>
      <c r="T8" s="4214"/>
      <c r="U8" s="4214"/>
      <c r="V8" s="4214"/>
      <c r="W8" s="4214"/>
      <c r="X8" s="4214"/>
      <c r="Y8" s="4214"/>
      <c r="Z8" s="4214"/>
      <c r="AA8" s="4214"/>
      <c r="AB8" s="4214"/>
      <c r="AC8" s="4214"/>
      <c r="AD8" s="4214"/>
      <c r="AE8" s="4214"/>
      <c r="AF8" s="4214"/>
      <c r="AG8" s="4214"/>
      <c r="AH8" s="4214"/>
      <c r="AI8" s="4214"/>
      <c r="AJ8" s="4214"/>
      <c r="AK8" s="4214"/>
      <c r="AL8" s="4214"/>
      <c r="AM8" s="4214"/>
      <c r="AN8" s="4214"/>
      <c r="AO8" s="4214"/>
      <c r="AP8" s="4214"/>
      <c r="AQ8" s="4214"/>
      <c r="AR8" s="4214"/>
      <c r="AS8" s="4214"/>
      <c r="AT8" s="4214"/>
      <c r="AU8" s="4214"/>
      <c r="AV8" s="4214"/>
      <c r="AW8" s="4214"/>
      <c r="AX8" s="4214"/>
      <c r="AY8" s="4214"/>
      <c r="AZ8" s="4214"/>
      <c r="BA8" s="4214"/>
      <c r="BB8" s="4214"/>
      <c r="BC8" s="4214"/>
      <c r="BD8" s="4214"/>
      <c r="BE8" s="4214"/>
      <c r="BF8" s="4214"/>
      <c r="BG8" s="4214"/>
      <c r="BH8" s="4214"/>
      <c r="BI8" s="4214"/>
      <c r="BJ8" s="4214"/>
      <c r="BK8" s="4214"/>
      <c r="BL8" s="4214"/>
      <c r="BM8" s="4214"/>
      <c r="BN8" s="4214"/>
      <c r="BO8" s="4214"/>
      <c r="BP8" s="4214"/>
      <c r="BQ8" s="4214"/>
      <c r="BR8" s="4214"/>
      <c r="BS8" s="4215"/>
      <c r="BT8" s="4202"/>
      <c r="BU8" s="4203"/>
      <c r="BV8" s="4203"/>
      <c r="BW8" s="4203"/>
      <c r="BX8" s="4203"/>
      <c r="BY8" s="4203"/>
      <c r="BZ8" s="4203"/>
      <c r="CA8" s="4203"/>
      <c r="CB8" s="4203"/>
      <c r="CC8" s="4203"/>
      <c r="CD8" s="4203"/>
      <c r="CE8" s="4203"/>
      <c r="CF8" s="4203"/>
      <c r="CG8" s="4203"/>
      <c r="CH8" s="4203"/>
      <c r="CI8" s="4203"/>
      <c r="CJ8" s="4203"/>
      <c r="CK8" s="4203"/>
      <c r="CL8" s="4203"/>
      <c r="CM8" s="4203"/>
      <c r="CN8" s="4203"/>
      <c r="CO8" s="4203"/>
      <c r="CP8" s="4203"/>
      <c r="CQ8" s="4203"/>
      <c r="CR8" s="4203"/>
      <c r="CS8" s="4203"/>
      <c r="CT8" s="4203"/>
      <c r="CU8" s="4203"/>
      <c r="CV8" s="4203"/>
      <c r="CW8" s="4203"/>
      <c r="CX8" s="4204"/>
      <c r="CY8" s="4205"/>
      <c r="CZ8" s="4206"/>
      <c r="DA8" s="4206"/>
      <c r="DB8" s="4206"/>
      <c r="DC8" s="4206"/>
      <c r="DD8" s="4206"/>
      <c r="DE8" s="4206"/>
      <c r="DF8" s="4206"/>
      <c r="DG8" s="4206"/>
      <c r="DH8" s="4206"/>
      <c r="DI8" s="4206"/>
      <c r="DJ8" s="4206"/>
      <c r="DK8" s="4206"/>
      <c r="DL8" s="4206"/>
      <c r="DM8" s="4206"/>
      <c r="DN8" s="4206"/>
      <c r="DO8" s="4206"/>
      <c r="DP8" s="4206"/>
      <c r="DQ8" s="4206"/>
      <c r="DR8" s="4206"/>
      <c r="DS8" s="4206"/>
      <c r="DT8" s="4206"/>
      <c r="DU8" s="4206"/>
      <c r="DV8" s="4206"/>
      <c r="DW8" s="4206"/>
      <c r="DX8" s="4207"/>
      <c r="DY8" s="4208" t="s">
        <v>970</v>
      </c>
      <c r="DZ8" s="4209"/>
      <c r="EA8" s="4209"/>
      <c r="EB8" s="4209"/>
      <c r="EC8" s="4209"/>
      <c r="ED8" s="4209"/>
      <c r="EE8" s="4209"/>
      <c r="EF8" s="4209"/>
      <c r="EG8" s="4209"/>
      <c r="EH8" s="4209"/>
      <c r="EI8" s="4209"/>
      <c r="EJ8" s="4209"/>
      <c r="EK8" s="4209"/>
      <c r="EL8" s="4209"/>
      <c r="EM8" s="4209"/>
      <c r="EN8" s="4209"/>
      <c r="EO8" s="4209"/>
      <c r="EP8" s="4209"/>
      <c r="EQ8" s="4209"/>
      <c r="ER8" s="4209"/>
      <c r="ES8" s="4209"/>
      <c r="ET8" s="4209"/>
      <c r="EU8" s="4209"/>
      <c r="EV8" s="4209"/>
      <c r="EW8" s="4209"/>
      <c r="EX8" s="4209"/>
      <c r="EY8" s="4209"/>
      <c r="EZ8" s="4209"/>
      <c r="FA8" s="4209"/>
      <c r="FB8" s="4209"/>
      <c r="FC8" s="4209"/>
      <c r="FD8" s="4209"/>
      <c r="FE8" s="4209"/>
      <c r="FF8" s="4209"/>
      <c r="FG8" s="4209"/>
      <c r="FH8" s="4209"/>
      <c r="FI8" s="4209"/>
      <c r="FJ8" s="4209"/>
      <c r="FK8" s="4209"/>
      <c r="FL8" s="4209"/>
      <c r="FM8" s="4209"/>
      <c r="FN8" s="4209"/>
      <c r="FO8" s="4209"/>
      <c r="FP8" s="4209"/>
      <c r="FQ8" s="4209"/>
      <c r="FR8" s="4209"/>
      <c r="FS8" s="4209"/>
      <c r="FT8" s="4209"/>
      <c r="FU8" s="4209"/>
      <c r="FV8" s="4209"/>
      <c r="FW8" s="4210"/>
      <c r="FX8" s="963"/>
    </row>
    <row r="9" spans="2:180" s="3835" customFormat="1" ht="11.25" hidden="1" customHeight="1">
      <c r="B9" s="844"/>
      <c r="F9" s="963"/>
      <c r="G9" s="680"/>
      <c r="H9" s="285"/>
      <c r="I9" s="285"/>
      <c r="J9" s="285"/>
      <c r="K9" s="285"/>
      <c r="L9" s="285"/>
      <c r="M9" s="963"/>
      <c r="N9" s="963"/>
      <c r="O9" s="963"/>
      <c r="P9" s="963"/>
      <c r="Q9" s="963"/>
      <c r="R9" s="963"/>
      <c r="S9" s="963"/>
      <c r="T9" s="963"/>
      <c r="U9" s="963"/>
      <c r="V9" s="963"/>
      <c r="W9" s="963"/>
      <c r="X9" s="963"/>
      <c r="Y9" s="963"/>
      <c r="Z9" s="963"/>
      <c r="AA9" s="963"/>
      <c r="AB9" s="963"/>
      <c r="AC9" s="963"/>
      <c r="AD9" s="963"/>
      <c r="AE9" s="963"/>
      <c r="AF9" s="963"/>
      <c r="AG9" s="963"/>
      <c r="AH9" s="963"/>
      <c r="AI9" s="963"/>
      <c r="AJ9" s="963"/>
      <c r="AK9" s="963"/>
      <c r="AL9" s="963"/>
      <c r="AM9" s="963"/>
      <c r="AN9" s="963"/>
      <c r="AO9" s="963"/>
      <c r="AP9" s="963"/>
      <c r="AQ9" s="963"/>
      <c r="AR9" s="963"/>
      <c r="AS9" s="963"/>
      <c r="AT9" s="963"/>
      <c r="AU9" s="963"/>
      <c r="AV9" s="963"/>
      <c r="AW9" s="963"/>
      <c r="AX9" s="963"/>
      <c r="AY9" s="963"/>
      <c r="AZ9" s="963"/>
      <c r="BA9" s="963"/>
      <c r="BB9" s="963"/>
      <c r="BC9" s="963"/>
      <c r="BD9" s="963"/>
      <c r="BE9" s="963"/>
      <c r="BF9" s="963"/>
      <c r="BG9" s="963"/>
      <c r="BH9" s="963"/>
      <c r="BI9" s="963"/>
      <c r="BJ9" s="963"/>
      <c r="BK9" s="963"/>
      <c r="BL9" s="963"/>
      <c r="BM9" s="963"/>
      <c r="BN9" s="963"/>
      <c r="BO9" s="963"/>
      <c r="BP9" s="963"/>
      <c r="BQ9" s="963"/>
      <c r="BR9" s="963"/>
      <c r="BS9" s="963"/>
      <c r="BT9" s="963"/>
      <c r="BU9" s="963"/>
      <c r="BV9" s="963"/>
      <c r="BW9" s="963"/>
      <c r="BX9" s="963"/>
      <c r="BY9" s="963"/>
      <c r="BZ9" s="963"/>
      <c r="CA9" s="963"/>
      <c r="CB9" s="963"/>
      <c r="CC9" s="963"/>
      <c r="CD9" s="963"/>
      <c r="CE9" s="963"/>
      <c r="CF9" s="963"/>
      <c r="CG9" s="963"/>
      <c r="CH9" s="963"/>
      <c r="CI9" s="963"/>
      <c r="CJ9" s="963"/>
      <c r="CK9" s="963"/>
      <c r="CL9" s="963"/>
      <c r="CM9" s="963"/>
      <c r="CN9" s="963"/>
      <c r="CO9" s="963"/>
      <c r="CP9" s="963"/>
      <c r="CQ9" s="963"/>
      <c r="CR9" s="963"/>
      <c r="CS9" s="963"/>
      <c r="CT9" s="963"/>
      <c r="CU9" s="963"/>
      <c r="CV9" s="963"/>
      <c r="CW9" s="963"/>
      <c r="CX9" s="963"/>
      <c r="CY9" s="963"/>
      <c r="CZ9" s="963"/>
      <c r="DA9" s="963"/>
      <c r="DB9" s="963"/>
      <c r="DC9" s="963"/>
      <c r="DD9" s="963"/>
      <c r="DE9" s="963"/>
      <c r="DF9" s="963"/>
      <c r="DG9" s="963"/>
      <c r="DH9" s="963"/>
      <c r="DI9" s="963"/>
      <c r="DJ9" s="963"/>
      <c r="DK9" s="963"/>
      <c r="DL9" s="963"/>
      <c r="DM9" s="963"/>
      <c r="DN9" s="963"/>
      <c r="DO9" s="963"/>
      <c r="DP9" s="963"/>
      <c r="DQ9" s="963"/>
      <c r="DR9" s="963"/>
      <c r="DS9" s="963"/>
      <c r="DT9" s="963"/>
      <c r="DU9" s="963"/>
      <c r="DV9" s="963"/>
      <c r="DW9" s="963"/>
      <c r="DX9" s="963"/>
      <c r="DY9" s="963"/>
      <c r="DZ9" s="963"/>
      <c r="EA9" s="963"/>
      <c r="EB9" s="963"/>
      <c r="EC9" s="963"/>
      <c r="ED9" s="963"/>
      <c r="EE9" s="963"/>
      <c r="EF9" s="963"/>
      <c r="EG9" s="963"/>
      <c r="EH9" s="963"/>
      <c r="EI9" s="963"/>
      <c r="EJ9" s="963"/>
      <c r="EK9" s="963"/>
      <c r="EL9" s="963"/>
      <c r="EM9" s="963"/>
      <c r="EN9" s="963"/>
      <c r="EO9" s="963"/>
      <c r="EP9" s="963"/>
      <c r="EQ9" s="963"/>
      <c r="ER9" s="963"/>
      <c r="ES9" s="963"/>
      <c r="ET9" s="963"/>
      <c r="EU9" s="963"/>
      <c r="EV9" s="963"/>
      <c r="EW9" s="963"/>
      <c r="EX9" s="963"/>
      <c r="EY9" s="963"/>
      <c r="EZ9" s="963"/>
      <c r="FA9" s="963"/>
      <c r="FB9" s="963"/>
      <c r="FC9" s="963"/>
      <c r="FD9" s="963"/>
      <c r="FE9" s="963"/>
      <c r="FF9" s="963"/>
      <c r="FG9" s="963"/>
      <c r="FH9" s="963"/>
      <c r="FI9" s="963"/>
      <c r="FJ9" s="963"/>
      <c r="FK9" s="963"/>
      <c r="FL9" s="963"/>
      <c r="FM9" s="963"/>
      <c r="FN9" s="963"/>
      <c r="FO9" s="963"/>
      <c r="FP9" s="963"/>
      <c r="FQ9" s="963"/>
      <c r="FR9" s="963"/>
      <c r="FS9" s="963"/>
      <c r="FT9" s="963"/>
      <c r="FU9" s="963"/>
      <c r="FV9" s="963"/>
      <c r="FW9" s="4211"/>
      <c r="FX9" s="963"/>
    </row>
    <row r="10" spans="2:180" s="3835" customFormat="1" ht="11.25" customHeight="1">
      <c r="B10" s="844"/>
      <c r="F10" s="4176" t="s">
        <v>290</v>
      </c>
      <c r="G10" s="4193"/>
      <c r="H10" s="4193"/>
      <c r="I10" s="4193"/>
      <c r="J10" s="4193"/>
      <c r="K10" s="4193"/>
      <c r="L10" s="4193"/>
      <c r="M10" s="4193"/>
      <c r="N10" s="4193"/>
      <c r="O10" s="4193"/>
      <c r="P10" s="4193"/>
      <c r="Q10" s="4193"/>
      <c r="R10" s="4193"/>
      <c r="S10" s="4193"/>
      <c r="T10" s="4193"/>
      <c r="U10" s="4193"/>
      <c r="V10" s="4193"/>
      <c r="W10" s="4193"/>
      <c r="X10" s="4193"/>
      <c r="Y10" s="4193"/>
      <c r="Z10" s="4193"/>
      <c r="AA10" s="4193"/>
      <c r="AB10" s="4193"/>
      <c r="AC10" s="4193"/>
      <c r="AD10" s="4193"/>
      <c r="AE10" s="4193"/>
      <c r="AF10" s="4193"/>
      <c r="AG10" s="4193"/>
      <c r="AH10" s="4193"/>
      <c r="AI10" s="4193"/>
      <c r="AJ10" s="4193"/>
      <c r="AK10" s="4193"/>
      <c r="AL10" s="4193"/>
      <c r="AM10" s="4193"/>
      <c r="AN10" s="4193"/>
      <c r="AO10" s="4193"/>
      <c r="AP10" s="4193"/>
      <c r="AQ10" s="4193"/>
      <c r="AR10" s="4193"/>
      <c r="AS10" s="4193"/>
      <c r="AT10" s="4193"/>
      <c r="AU10" s="4193"/>
      <c r="AV10" s="4193"/>
      <c r="AW10" s="4193"/>
      <c r="AX10" s="4193"/>
      <c r="AY10" s="4193"/>
      <c r="AZ10" s="4193"/>
      <c r="BA10" s="4193"/>
      <c r="BB10" s="4193"/>
      <c r="BC10" s="4193"/>
      <c r="BD10" s="4193"/>
      <c r="BE10" s="4193"/>
      <c r="BF10" s="4193"/>
      <c r="BG10" s="4193"/>
      <c r="BH10" s="4193"/>
      <c r="BI10" s="4193"/>
      <c r="BJ10" s="4193"/>
      <c r="BK10" s="4193"/>
      <c r="BL10" s="4193"/>
      <c r="BM10" s="4193"/>
      <c r="BN10" s="4193"/>
      <c r="BO10" s="4193"/>
      <c r="BP10" s="4193"/>
      <c r="BQ10" s="4193"/>
      <c r="BR10" s="4193"/>
      <c r="BS10" s="4193"/>
      <c r="BT10" s="4193"/>
      <c r="BU10" s="4193"/>
      <c r="BV10" s="4193"/>
      <c r="BW10" s="4193"/>
      <c r="BX10" s="4193"/>
      <c r="BY10" s="4193"/>
      <c r="BZ10" s="4193"/>
      <c r="CA10" s="4193"/>
      <c r="CB10" s="4193"/>
      <c r="CC10" s="4193"/>
      <c r="CD10" s="4193"/>
      <c r="CE10" s="4193"/>
      <c r="CF10" s="4193"/>
      <c r="CG10" s="4193"/>
      <c r="CH10" s="4193"/>
      <c r="CI10" s="4193"/>
      <c r="CJ10" s="4193"/>
      <c r="CK10" s="4193"/>
      <c r="CL10" s="4193"/>
      <c r="CM10" s="4193"/>
      <c r="CN10" s="4193"/>
      <c r="CO10" s="4193"/>
      <c r="CP10" s="4193"/>
      <c r="CQ10" s="4193"/>
      <c r="CR10" s="4193"/>
      <c r="CS10" s="4193"/>
      <c r="CT10" s="4193"/>
      <c r="CU10" s="4193"/>
      <c r="CV10" s="4193"/>
      <c r="CW10" s="4193"/>
      <c r="CX10" s="4193"/>
      <c r="CY10" s="4193"/>
      <c r="CZ10" s="4193"/>
      <c r="DA10" s="4193"/>
      <c r="DB10" s="4193"/>
      <c r="DC10" s="4193"/>
      <c r="DD10" s="4193"/>
      <c r="DE10" s="4193"/>
      <c r="DF10" s="4193"/>
      <c r="DG10" s="4193"/>
      <c r="DH10" s="4193"/>
      <c r="DI10" s="4193"/>
      <c r="DJ10" s="4193"/>
      <c r="DK10" s="4193"/>
      <c r="DL10" s="4193"/>
      <c r="DM10" s="4193"/>
      <c r="DN10" s="4193"/>
      <c r="DO10" s="4193"/>
      <c r="DP10" s="4193"/>
      <c r="DQ10" s="4193"/>
      <c r="DR10" s="4193"/>
      <c r="DS10" s="4193"/>
      <c r="DT10" s="4193"/>
      <c r="DU10" s="4193"/>
      <c r="DV10" s="4193"/>
      <c r="DW10" s="4193"/>
      <c r="DX10" s="4193"/>
      <c r="DY10" s="4193"/>
      <c r="DZ10" s="4193"/>
      <c r="EA10" s="4193"/>
      <c r="EB10" s="4193"/>
      <c r="EC10" s="4193"/>
      <c r="ED10" s="4193"/>
      <c r="EE10" s="4193"/>
      <c r="EF10" s="4193"/>
      <c r="EG10" s="4193"/>
      <c r="EH10" s="4193"/>
      <c r="EI10" s="4193"/>
      <c r="EJ10" s="4193"/>
      <c r="EK10" s="4193"/>
      <c r="EL10" s="4193"/>
      <c r="EM10" s="4193"/>
      <c r="EN10" s="4193"/>
      <c r="EO10" s="4193"/>
      <c r="EP10" s="4193"/>
      <c r="EQ10" s="4193"/>
      <c r="ER10" s="4193"/>
      <c r="ES10" s="4193"/>
      <c r="ET10" s="4193"/>
      <c r="EU10" s="4193"/>
      <c r="EV10" s="4193"/>
      <c r="EW10" s="4193"/>
      <c r="EX10" s="4193"/>
      <c r="EY10" s="4193"/>
      <c r="EZ10" s="4193"/>
      <c r="FA10" s="4193"/>
      <c r="FB10" s="4193"/>
      <c r="FC10" s="4193"/>
      <c r="FD10" s="4193"/>
      <c r="FE10" s="4193"/>
      <c r="FF10" s="4193"/>
      <c r="FG10" s="4193"/>
      <c r="FH10" s="4193"/>
      <c r="FI10" s="4193"/>
      <c r="FJ10" s="4193"/>
      <c r="FK10" s="4193"/>
      <c r="FL10" s="4193"/>
      <c r="FM10" s="4193"/>
      <c r="FN10" s="4193"/>
      <c r="FO10" s="4193"/>
      <c r="FP10" s="4193"/>
      <c r="FQ10" s="4193"/>
      <c r="FR10" s="4193"/>
      <c r="FS10" s="4193"/>
      <c r="FT10" s="4193"/>
      <c r="FU10" s="4193"/>
      <c r="FV10" s="4194"/>
      <c r="FW10" s="4211"/>
      <c r="FX10" s="963"/>
    </row>
    <row r="11" spans="2:180" ht="12" customHeight="1">
      <c r="E11" s="846"/>
      <c r="F11" s="4028" t="s">
        <v>86</v>
      </c>
      <c r="G11" s="4028" t="s">
        <v>971</v>
      </c>
      <c r="H11" s="4028" t="s">
        <v>972</v>
      </c>
      <c r="I11" s="4028" t="s">
        <v>973</v>
      </c>
      <c r="J11" s="4201"/>
      <c r="K11" s="4201"/>
      <c r="L11" s="4201"/>
      <c r="M11" s="4201"/>
      <c r="N11" s="4201"/>
      <c r="O11" s="4033" t="s">
        <v>974</v>
      </c>
      <c r="P11" s="4033"/>
      <c r="Q11" s="4033"/>
      <c r="R11" s="4033"/>
      <c r="S11" s="4033"/>
      <c r="T11" s="4033"/>
      <c r="U11" s="4033"/>
      <c r="V11" s="4033"/>
      <c r="W11" s="4033"/>
      <c r="X11" s="4033"/>
      <c r="Y11" s="4033"/>
      <c r="Z11" s="4033"/>
      <c r="AA11" s="4033"/>
      <c r="AB11" s="4033"/>
      <c r="AC11" s="4199"/>
      <c r="AD11" s="4199"/>
      <c r="AE11" s="4199"/>
      <c r="AF11" s="4199"/>
      <c r="AG11" s="4199"/>
      <c r="AH11" s="4199"/>
      <c r="AI11" s="4199"/>
      <c r="AJ11" s="4199"/>
      <c r="AK11" s="4199"/>
      <c r="AL11" s="4199"/>
      <c r="AM11" s="4199"/>
      <c r="AN11" s="4199"/>
      <c r="AO11" s="4199"/>
      <c r="AP11" s="4199"/>
      <c r="AQ11" s="4199"/>
      <c r="AR11" s="4199"/>
      <c r="AS11" s="4199"/>
      <c r="AT11" s="4199"/>
      <c r="AU11" s="4199"/>
      <c r="AV11" s="4199"/>
      <c r="AW11" s="4199"/>
      <c r="AX11" s="4199"/>
      <c r="AY11" s="4199"/>
      <c r="AZ11" s="4199"/>
      <c r="BA11" s="4199"/>
      <c r="BB11" s="4199"/>
      <c r="BC11" s="4199"/>
      <c r="BD11" s="4199"/>
      <c r="BE11" s="4199"/>
      <c r="BF11" s="4199"/>
      <c r="BG11" s="4199"/>
      <c r="BH11" s="4199"/>
      <c r="BI11" s="4199"/>
      <c r="BJ11" s="4199"/>
      <c r="BK11" s="4199"/>
      <c r="BL11" s="4199"/>
      <c r="BM11" s="4199"/>
      <c r="BN11" s="4199"/>
      <c r="BO11" s="4199"/>
      <c r="BP11" s="4199"/>
      <c r="BQ11" s="4199"/>
      <c r="BR11" s="4199"/>
      <c r="BS11" s="4216"/>
      <c r="BT11" s="4196" t="s">
        <v>974</v>
      </c>
      <c r="BU11" s="4197"/>
      <c r="BV11" s="4197"/>
      <c r="BW11" s="4197"/>
      <c r="BX11" s="4197"/>
      <c r="BY11" s="4197"/>
      <c r="BZ11" s="4197"/>
      <c r="CA11" s="4197"/>
      <c r="CB11" s="4197"/>
      <c r="CC11" s="4197"/>
      <c r="CD11" s="4197"/>
      <c r="CE11" s="4197"/>
      <c r="CF11" s="4197"/>
      <c r="CG11" s="4197"/>
      <c r="CH11" s="4197"/>
      <c r="CI11" s="4197"/>
      <c r="CJ11" s="4197"/>
      <c r="CK11" s="4198"/>
      <c r="CL11" s="4200"/>
      <c r="CM11" s="4199"/>
      <c r="CN11" s="4199"/>
      <c r="CO11" s="4199"/>
      <c r="CP11" s="4199"/>
      <c r="CQ11" s="4199"/>
      <c r="CR11" s="4199"/>
      <c r="CS11" s="4199"/>
      <c r="CT11" s="4199"/>
      <c r="CU11" s="4199"/>
      <c r="CV11" s="4199"/>
      <c r="CW11" s="4199"/>
      <c r="CX11" s="4216"/>
      <c r="CY11" s="4196" t="s">
        <v>974</v>
      </c>
      <c r="CZ11" s="4197"/>
      <c r="DA11" s="4197"/>
      <c r="DB11" s="4197"/>
      <c r="DC11" s="4197"/>
      <c r="DD11" s="4197"/>
      <c r="DE11" s="4197"/>
      <c r="DF11" s="4197"/>
      <c r="DG11" s="4197"/>
      <c r="DH11" s="4197"/>
      <c r="DI11" s="4197"/>
      <c r="DJ11" s="4198"/>
      <c r="DK11" s="4200"/>
      <c r="DL11" s="4199"/>
      <c r="DM11" s="4199"/>
      <c r="DN11" s="4199"/>
      <c r="DO11" s="4199"/>
      <c r="DP11" s="4199"/>
      <c r="DQ11" s="4199"/>
      <c r="DR11" s="4199"/>
      <c r="DS11" s="4199"/>
      <c r="DT11" s="4199"/>
      <c r="DU11" s="4199"/>
      <c r="DV11" s="4199"/>
      <c r="DW11" s="4199"/>
      <c r="DX11" s="4199"/>
      <c r="DY11" s="4199"/>
      <c r="DZ11" s="4199"/>
      <c r="EA11" s="4199"/>
      <c r="EB11" s="4199"/>
      <c r="EC11" s="4199"/>
      <c r="ED11" s="4199"/>
      <c r="EE11" s="4199"/>
      <c r="EF11" s="4199"/>
      <c r="EG11" s="4199"/>
      <c r="EH11" s="4199"/>
      <c r="EI11" s="4199"/>
      <c r="EJ11" s="4199"/>
      <c r="EK11" s="4199"/>
      <c r="EL11" s="4199"/>
      <c r="EM11" s="4199"/>
      <c r="EN11" s="4199"/>
      <c r="EO11" s="4199"/>
      <c r="EP11" s="4199"/>
      <c r="EQ11" s="4199"/>
      <c r="ER11" s="4199"/>
      <c r="ES11" s="4199"/>
      <c r="ET11" s="4199"/>
      <c r="EU11" s="4199"/>
      <c r="EV11" s="4199"/>
      <c r="EW11" s="4199"/>
      <c r="EX11" s="4199"/>
      <c r="EY11" s="4199"/>
      <c r="EZ11" s="4199"/>
      <c r="FA11" s="4199"/>
      <c r="FB11" s="4199"/>
      <c r="FC11" s="4199"/>
      <c r="FD11" s="4199"/>
      <c r="FE11" s="4199"/>
      <c r="FF11" s="4199"/>
      <c r="FG11" s="4199"/>
      <c r="FH11" s="4199"/>
      <c r="FI11" s="4199"/>
      <c r="FJ11" s="4199"/>
      <c r="FK11" s="4199"/>
      <c r="FL11" s="4199"/>
      <c r="FM11" s="4199"/>
      <c r="FN11" s="4199"/>
      <c r="FO11" s="4199"/>
      <c r="FP11" s="4199"/>
      <c r="FQ11" s="4199"/>
      <c r="FR11" s="4199"/>
      <c r="FS11" s="4199"/>
      <c r="FT11" s="4199"/>
      <c r="FU11" s="4199"/>
      <c r="FV11" s="4199"/>
      <c r="FW11" s="4211"/>
      <c r="FX11" s="679"/>
    </row>
    <row r="12" spans="2:180" ht="12" customHeight="1">
      <c r="D12" s="847"/>
      <c r="E12" s="846"/>
      <c r="F12" s="4028"/>
      <c r="G12" s="4028"/>
      <c r="H12" s="4028"/>
      <c r="I12" s="4028"/>
      <c r="J12" s="4201"/>
      <c r="K12" s="4201"/>
      <c r="L12" s="4201"/>
      <c r="M12" s="4201"/>
      <c r="N12" s="4201"/>
      <c r="O12" s="4033" t="s">
        <v>975</v>
      </c>
      <c r="P12" s="4033"/>
      <c r="Q12" s="4033"/>
      <c r="R12" s="4033"/>
      <c r="S12" s="4033" t="s">
        <v>976</v>
      </c>
      <c r="T12" s="4033"/>
      <c r="U12" s="4033"/>
      <c r="V12" s="4033"/>
      <c r="W12" s="4033"/>
      <c r="X12" s="4033"/>
      <c r="Y12" s="4033"/>
      <c r="Z12" s="4033"/>
      <c r="AA12" s="4033"/>
      <c r="AB12" s="4033"/>
      <c r="AC12" s="4199"/>
      <c r="AD12" s="4199"/>
      <c r="AE12" s="4199"/>
      <c r="AF12" s="4199"/>
      <c r="AG12" s="4199"/>
      <c r="AH12" s="4199"/>
      <c r="AI12" s="4199"/>
      <c r="AJ12" s="4199"/>
      <c r="AK12" s="4199"/>
      <c r="AL12" s="4199"/>
      <c r="AM12" s="4199"/>
      <c r="AN12" s="4199"/>
      <c r="AO12" s="4199"/>
      <c r="AP12" s="4199"/>
      <c r="AQ12" s="4199"/>
      <c r="AR12" s="4199"/>
      <c r="AS12" s="4199"/>
      <c r="AT12" s="4199"/>
      <c r="AU12" s="4199"/>
      <c r="AV12" s="4199"/>
      <c r="AW12" s="4199"/>
      <c r="AX12" s="4199"/>
      <c r="AY12" s="4199"/>
      <c r="AZ12" s="4199"/>
      <c r="BA12" s="4199"/>
      <c r="BB12" s="4199"/>
      <c r="BC12" s="4199"/>
      <c r="BD12" s="4199"/>
      <c r="BE12" s="4199"/>
      <c r="BF12" s="4199"/>
      <c r="BG12" s="4199"/>
      <c r="BH12" s="4199"/>
      <c r="BI12" s="4199"/>
      <c r="BJ12" s="4199"/>
      <c r="BK12" s="4199"/>
      <c r="BL12" s="4199"/>
      <c r="BM12" s="4199"/>
      <c r="BN12" s="4199"/>
      <c r="BO12" s="4199"/>
      <c r="BP12" s="4199"/>
      <c r="BQ12" s="4199"/>
      <c r="BR12" s="4199"/>
      <c r="BS12" s="4216"/>
      <c r="BT12" s="4196" t="s">
        <v>977</v>
      </c>
      <c r="BU12" s="4197"/>
      <c r="BV12" s="4197"/>
      <c r="BW12" s="4198"/>
      <c r="BX12" s="4196" t="s">
        <v>978</v>
      </c>
      <c r="BY12" s="4197"/>
      <c r="BZ12" s="4197"/>
      <c r="CA12" s="4198"/>
      <c r="CB12" s="4196" t="s">
        <v>979</v>
      </c>
      <c r="CC12" s="4198"/>
      <c r="CD12" s="4196" t="s">
        <v>980</v>
      </c>
      <c r="CE12" s="4197"/>
      <c r="CF12" s="4197"/>
      <c r="CG12" s="4197"/>
      <c r="CH12" s="4197"/>
      <c r="CI12" s="4197"/>
      <c r="CJ12" s="4197"/>
      <c r="CK12" s="4198"/>
      <c r="CL12" s="4200"/>
      <c r="CM12" s="4199"/>
      <c r="CN12" s="4199"/>
      <c r="CO12" s="4199"/>
      <c r="CP12" s="4199"/>
      <c r="CQ12" s="4199"/>
      <c r="CR12" s="4199"/>
      <c r="CS12" s="4199"/>
      <c r="CT12" s="4199"/>
      <c r="CU12" s="4199"/>
      <c r="CV12" s="4199"/>
      <c r="CW12" s="4199"/>
      <c r="CX12" s="4216"/>
      <c r="CY12" s="4196" t="s">
        <v>981</v>
      </c>
      <c r="CZ12" s="4197"/>
      <c r="DA12" s="4197"/>
      <c r="DB12" s="4197"/>
      <c r="DC12" s="4197"/>
      <c r="DD12" s="4198"/>
      <c r="DE12" s="4196" t="s">
        <v>982</v>
      </c>
      <c r="DF12" s="4198"/>
      <c r="DG12" s="4196" t="s">
        <v>980</v>
      </c>
      <c r="DH12" s="4197"/>
      <c r="DI12" s="4197"/>
      <c r="DJ12" s="4198"/>
      <c r="DK12" s="4200"/>
      <c r="DL12" s="4199"/>
      <c r="DM12" s="4199"/>
      <c r="DN12" s="4199"/>
      <c r="DO12" s="4199"/>
      <c r="DP12" s="4199"/>
      <c r="DQ12" s="4199"/>
      <c r="DR12" s="4199"/>
      <c r="DS12" s="4199"/>
      <c r="DT12" s="4199"/>
      <c r="DU12" s="4199"/>
      <c r="DV12" s="4199"/>
      <c r="DW12" s="4199"/>
      <c r="DX12" s="4199"/>
      <c r="DY12" s="4199"/>
      <c r="DZ12" s="4199"/>
      <c r="EA12" s="4199"/>
      <c r="EB12" s="4199"/>
      <c r="EC12" s="4199"/>
      <c r="ED12" s="4199"/>
      <c r="EE12" s="4199"/>
      <c r="EF12" s="4199"/>
      <c r="EG12" s="4199"/>
      <c r="EH12" s="4199"/>
      <c r="EI12" s="4199"/>
      <c r="EJ12" s="4199"/>
      <c r="EK12" s="4199"/>
      <c r="EL12" s="4199"/>
      <c r="EM12" s="4199"/>
      <c r="EN12" s="4199"/>
      <c r="EO12" s="4199"/>
      <c r="EP12" s="4199"/>
      <c r="EQ12" s="4199"/>
      <c r="ER12" s="4199"/>
      <c r="ES12" s="4199"/>
      <c r="ET12" s="4199"/>
      <c r="EU12" s="4199"/>
      <c r="EV12" s="4199"/>
      <c r="EW12" s="4199"/>
      <c r="EX12" s="4199"/>
      <c r="EY12" s="4199"/>
      <c r="EZ12" s="4199"/>
      <c r="FA12" s="4199"/>
      <c r="FB12" s="4199"/>
      <c r="FC12" s="4199"/>
      <c r="FD12" s="4199"/>
      <c r="FE12" s="4199"/>
      <c r="FF12" s="4199"/>
      <c r="FG12" s="4199"/>
      <c r="FH12" s="4199"/>
      <c r="FI12" s="4199"/>
      <c r="FJ12" s="4199"/>
      <c r="FK12" s="4199"/>
      <c r="FL12" s="4199"/>
      <c r="FM12" s="4199"/>
      <c r="FN12" s="4199"/>
      <c r="FO12" s="4199"/>
      <c r="FP12" s="4199"/>
      <c r="FQ12" s="4199"/>
      <c r="FR12" s="4199"/>
      <c r="FS12" s="4199"/>
      <c r="FT12" s="4199"/>
      <c r="FU12" s="4199"/>
      <c r="FV12" s="4199"/>
      <c r="FW12" s="4211"/>
      <c r="FX12" s="679"/>
    </row>
    <row r="13" spans="2:180" ht="36" customHeight="1">
      <c r="D13" s="847"/>
      <c r="E13" s="846"/>
      <c r="F13" s="4028"/>
      <c r="G13" s="4028"/>
      <c r="H13" s="4028"/>
      <c r="I13" s="4028"/>
      <c r="J13" s="4201"/>
      <c r="K13" s="4201"/>
      <c r="L13" s="4201"/>
      <c r="M13" s="4201"/>
      <c r="N13" s="4201"/>
      <c r="O13" s="4033" t="s">
        <v>983</v>
      </c>
      <c r="P13" s="4033"/>
      <c r="Q13" s="4033"/>
      <c r="R13" s="4033"/>
      <c r="S13" s="4120" t="s">
        <v>984</v>
      </c>
      <c r="T13" s="4179"/>
      <c r="U13" s="3946" t="s">
        <v>985</v>
      </c>
      <c r="V13" s="3946"/>
      <c r="W13" s="3946"/>
      <c r="X13" s="3946"/>
      <c r="Y13" s="3946" t="s">
        <v>986</v>
      </c>
      <c r="Z13" s="3946"/>
      <c r="AA13" s="3946"/>
      <c r="AB13" s="3946"/>
      <c r="AC13" s="4199"/>
      <c r="AD13" s="4199"/>
      <c r="AE13" s="4199"/>
      <c r="AF13" s="4199"/>
      <c r="AG13" s="4199"/>
      <c r="AH13" s="4199"/>
      <c r="AI13" s="4199"/>
      <c r="AJ13" s="4199"/>
      <c r="AK13" s="4199"/>
      <c r="AL13" s="4199"/>
      <c r="AM13" s="4199"/>
      <c r="AN13" s="4199"/>
      <c r="AO13" s="4199"/>
      <c r="AP13" s="4199"/>
      <c r="AQ13" s="4199"/>
      <c r="AR13" s="4199"/>
      <c r="AS13" s="4199"/>
      <c r="AT13" s="4199"/>
      <c r="AU13" s="4199"/>
      <c r="AV13" s="4199"/>
      <c r="AW13" s="4199"/>
      <c r="AX13" s="4199"/>
      <c r="AY13" s="4199"/>
      <c r="AZ13" s="4199"/>
      <c r="BA13" s="4199"/>
      <c r="BB13" s="4199"/>
      <c r="BC13" s="4199"/>
      <c r="BD13" s="4199"/>
      <c r="BE13" s="4199"/>
      <c r="BF13" s="4199"/>
      <c r="BG13" s="4199"/>
      <c r="BH13" s="4199"/>
      <c r="BI13" s="4199"/>
      <c r="BJ13" s="4199"/>
      <c r="BK13" s="4199"/>
      <c r="BL13" s="4199"/>
      <c r="BM13" s="4199"/>
      <c r="BN13" s="4199"/>
      <c r="BO13" s="4199"/>
      <c r="BP13" s="4199"/>
      <c r="BQ13" s="4199"/>
      <c r="BR13" s="4199"/>
      <c r="BS13" s="4216"/>
      <c r="BT13" s="4120" t="s">
        <v>987</v>
      </c>
      <c r="BU13" s="4179"/>
      <c r="BV13" s="4120" t="s">
        <v>988</v>
      </c>
      <c r="BW13" s="4179"/>
      <c r="BX13" s="4120" t="s">
        <v>989</v>
      </c>
      <c r="BY13" s="4179"/>
      <c r="BZ13" s="4120" t="s">
        <v>990</v>
      </c>
      <c r="CA13" s="4179"/>
      <c r="CB13" s="4120" t="s">
        <v>991</v>
      </c>
      <c r="CC13" s="4179"/>
      <c r="CD13" s="4120" t="s">
        <v>992</v>
      </c>
      <c r="CE13" s="4179"/>
      <c r="CF13" s="4120" t="s">
        <v>993</v>
      </c>
      <c r="CG13" s="4179"/>
      <c r="CH13" s="4196" t="s">
        <v>994</v>
      </c>
      <c r="CI13" s="4197"/>
      <c r="CJ13" s="4197"/>
      <c r="CK13" s="4198"/>
      <c r="CL13" s="4200"/>
      <c r="CM13" s="4199"/>
      <c r="CN13" s="4199"/>
      <c r="CO13" s="4199"/>
      <c r="CP13" s="4199"/>
      <c r="CQ13" s="4199"/>
      <c r="CR13" s="4199"/>
      <c r="CS13" s="4199"/>
      <c r="CT13" s="4199"/>
      <c r="CU13" s="4199"/>
      <c r="CV13" s="4199"/>
      <c r="CW13" s="4199"/>
      <c r="CX13" s="4216"/>
      <c r="CY13" s="4120" t="s">
        <v>995</v>
      </c>
      <c r="CZ13" s="4179"/>
      <c r="DA13" s="4120" t="s">
        <v>996</v>
      </c>
      <c r="DB13" s="4179"/>
      <c r="DC13" s="4120" t="s">
        <v>997</v>
      </c>
      <c r="DD13" s="4179"/>
      <c r="DE13" s="4120" t="s">
        <v>998</v>
      </c>
      <c r="DF13" s="4179"/>
      <c r="DG13" s="4196" t="s">
        <v>999</v>
      </c>
      <c r="DH13" s="4197"/>
      <c r="DI13" s="4197"/>
      <c r="DJ13" s="4198"/>
      <c r="DK13" s="4200"/>
      <c r="DL13" s="4199"/>
      <c r="DM13" s="4199"/>
      <c r="DN13" s="4199"/>
      <c r="DO13" s="4199"/>
      <c r="DP13" s="4199"/>
      <c r="DQ13" s="4199"/>
      <c r="DR13" s="4199"/>
      <c r="DS13" s="4199"/>
      <c r="DT13" s="4199"/>
      <c r="DU13" s="4199"/>
      <c r="DV13" s="4199"/>
      <c r="DW13" s="4199"/>
      <c r="DX13" s="4199"/>
      <c r="DY13" s="4199"/>
      <c r="DZ13" s="4199"/>
      <c r="EA13" s="4199"/>
      <c r="EB13" s="4199"/>
      <c r="EC13" s="4199"/>
      <c r="ED13" s="4199"/>
      <c r="EE13" s="4199"/>
      <c r="EF13" s="4199"/>
      <c r="EG13" s="4199"/>
      <c r="EH13" s="4199"/>
      <c r="EI13" s="4199"/>
      <c r="EJ13" s="4199"/>
      <c r="EK13" s="4199"/>
      <c r="EL13" s="4199"/>
      <c r="EM13" s="4199"/>
      <c r="EN13" s="4199"/>
      <c r="EO13" s="4199"/>
      <c r="EP13" s="4199"/>
      <c r="EQ13" s="4199"/>
      <c r="ER13" s="4199"/>
      <c r="ES13" s="4199"/>
      <c r="ET13" s="4199"/>
      <c r="EU13" s="4199"/>
      <c r="EV13" s="4199"/>
      <c r="EW13" s="4199"/>
      <c r="EX13" s="4199"/>
      <c r="EY13" s="4199"/>
      <c r="EZ13" s="4199"/>
      <c r="FA13" s="4199"/>
      <c r="FB13" s="4199"/>
      <c r="FC13" s="4199"/>
      <c r="FD13" s="4199"/>
      <c r="FE13" s="4199"/>
      <c r="FF13" s="4199"/>
      <c r="FG13" s="4199"/>
      <c r="FH13" s="4199"/>
      <c r="FI13" s="4199"/>
      <c r="FJ13" s="4199"/>
      <c r="FK13" s="4199"/>
      <c r="FL13" s="4199"/>
      <c r="FM13" s="4199"/>
      <c r="FN13" s="4199"/>
      <c r="FO13" s="4199"/>
      <c r="FP13" s="4199"/>
      <c r="FQ13" s="4199"/>
      <c r="FR13" s="4199"/>
      <c r="FS13" s="4199"/>
      <c r="FT13" s="4199"/>
      <c r="FU13" s="4199"/>
      <c r="FV13" s="4199"/>
      <c r="FW13" s="4211"/>
      <c r="FX13" s="679"/>
    </row>
    <row r="14" spans="2:180" ht="36" customHeight="1">
      <c r="D14" s="847"/>
      <c r="E14" s="846"/>
      <c r="F14" s="4028"/>
      <c r="G14" s="4028"/>
      <c r="H14" s="4028"/>
      <c r="I14" s="4028"/>
      <c r="J14" s="4201"/>
      <c r="K14" s="4201"/>
      <c r="L14" s="4201"/>
      <c r="M14" s="4201"/>
      <c r="N14" s="4201"/>
      <c r="O14" s="4120" t="s">
        <v>1000</v>
      </c>
      <c r="P14" s="4179"/>
      <c r="Q14" s="4120" t="s">
        <v>1001</v>
      </c>
      <c r="R14" s="4179"/>
      <c r="S14" s="4121"/>
      <c r="T14" s="4034"/>
      <c r="U14" s="4120" t="s">
        <v>733</v>
      </c>
      <c r="V14" s="4179"/>
      <c r="W14" s="4120" t="s">
        <v>736</v>
      </c>
      <c r="X14" s="4179"/>
      <c r="Y14" s="4120" t="s">
        <v>733</v>
      </c>
      <c r="Z14" s="4179"/>
      <c r="AA14" s="4120" t="s">
        <v>743</v>
      </c>
      <c r="AB14" s="4179"/>
      <c r="AC14" s="4199"/>
      <c r="AD14" s="4199"/>
      <c r="AE14" s="4199"/>
      <c r="AF14" s="4199"/>
      <c r="AG14" s="4199"/>
      <c r="AH14" s="4199"/>
      <c r="AI14" s="4199"/>
      <c r="AJ14" s="4199"/>
      <c r="AK14" s="4199"/>
      <c r="AL14" s="4199"/>
      <c r="AM14" s="4199"/>
      <c r="AN14" s="4199"/>
      <c r="AO14" s="4199"/>
      <c r="AP14" s="4199"/>
      <c r="AQ14" s="4199"/>
      <c r="AR14" s="4199"/>
      <c r="AS14" s="4199"/>
      <c r="AT14" s="4199"/>
      <c r="AU14" s="4199"/>
      <c r="AV14" s="4199"/>
      <c r="AW14" s="4199"/>
      <c r="AX14" s="4199"/>
      <c r="AY14" s="4199"/>
      <c r="AZ14" s="4199"/>
      <c r="BA14" s="4199"/>
      <c r="BB14" s="4199"/>
      <c r="BC14" s="4199"/>
      <c r="BD14" s="4199"/>
      <c r="BE14" s="4199"/>
      <c r="BF14" s="4199"/>
      <c r="BG14" s="4199"/>
      <c r="BH14" s="4199"/>
      <c r="BI14" s="4199"/>
      <c r="BJ14" s="4199"/>
      <c r="BK14" s="4199"/>
      <c r="BL14" s="4199"/>
      <c r="BM14" s="4199"/>
      <c r="BN14" s="4199"/>
      <c r="BO14" s="4199"/>
      <c r="BP14" s="4199"/>
      <c r="BQ14" s="4199"/>
      <c r="BR14" s="4199"/>
      <c r="BS14" s="4216"/>
      <c r="BT14" s="4121"/>
      <c r="BU14" s="4034"/>
      <c r="BV14" s="4121"/>
      <c r="BW14" s="4034"/>
      <c r="BX14" s="4121"/>
      <c r="BY14" s="4034"/>
      <c r="BZ14" s="4121"/>
      <c r="CA14" s="4034"/>
      <c r="CB14" s="4121"/>
      <c r="CC14" s="4034"/>
      <c r="CD14" s="4121"/>
      <c r="CE14" s="4034"/>
      <c r="CF14" s="4121"/>
      <c r="CG14" s="4034"/>
      <c r="CH14" s="4120" t="s">
        <v>1002</v>
      </c>
      <c r="CI14" s="4179"/>
      <c r="CJ14" s="4120" t="s">
        <v>1003</v>
      </c>
      <c r="CK14" s="4179"/>
      <c r="CL14" s="4200"/>
      <c r="CM14" s="4199"/>
      <c r="CN14" s="4199"/>
      <c r="CO14" s="4199"/>
      <c r="CP14" s="4199"/>
      <c r="CQ14" s="4199"/>
      <c r="CR14" s="4199"/>
      <c r="CS14" s="4199"/>
      <c r="CT14" s="4199"/>
      <c r="CU14" s="4199"/>
      <c r="CV14" s="4199"/>
      <c r="CW14" s="4199"/>
      <c r="CX14" s="4216"/>
      <c r="CY14" s="4121"/>
      <c r="CZ14" s="4034"/>
      <c r="DA14" s="4121"/>
      <c r="DB14" s="4034"/>
      <c r="DC14" s="4121"/>
      <c r="DD14" s="4034"/>
      <c r="DE14" s="4121"/>
      <c r="DF14" s="4034"/>
      <c r="DG14" s="4120" t="s">
        <v>1004</v>
      </c>
      <c r="DH14" s="4179"/>
      <c r="DI14" s="4120" t="s">
        <v>1005</v>
      </c>
      <c r="DJ14" s="4179"/>
      <c r="DK14" s="4200"/>
      <c r="DL14" s="4199"/>
      <c r="DM14" s="4199"/>
      <c r="DN14" s="4199"/>
      <c r="DO14" s="4199"/>
      <c r="DP14" s="4199"/>
      <c r="DQ14" s="4199"/>
      <c r="DR14" s="4199"/>
      <c r="DS14" s="4199"/>
      <c r="DT14" s="4199"/>
      <c r="DU14" s="4199"/>
      <c r="DV14" s="4199"/>
      <c r="DW14" s="4199"/>
      <c r="DX14" s="4199"/>
      <c r="DY14" s="4199"/>
      <c r="DZ14" s="4199"/>
      <c r="EA14" s="4199"/>
      <c r="EB14" s="4199"/>
      <c r="EC14" s="4199"/>
      <c r="ED14" s="4199"/>
      <c r="EE14" s="4199"/>
      <c r="EF14" s="4199"/>
      <c r="EG14" s="4199"/>
      <c r="EH14" s="4199"/>
      <c r="EI14" s="4199"/>
      <c r="EJ14" s="4199"/>
      <c r="EK14" s="4199"/>
      <c r="EL14" s="4199"/>
      <c r="EM14" s="4199"/>
      <c r="EN14" s="4199"/>
      <c r="EO14" s="4199"/>
      <c r="EP14" s="4199"/>
      <c r="EQ14" s="4199"/>
      <c r="ER14" s="4199"/>
      <c r="ES14" s="4199"/>
      <c r="ET14" s="4199"/>
      <c r="EU14" s="4199"/>
      <c r="EV14" s="4199"/>
      <c r="EW14" s="4199"/>
      <c r="EX14" s="4199"/>
      <c r="EY14" s="4199"/>
      <c r="EZ14" s="4199"/>
      <c r="FA14" s="4199"/>
      <c r="FB14" s="4199"/>
      <c r="FC14" s="4199"/>
      <c r="FD14" s="4199"/>
      <c r="FE14" s="4199"/>
      <c r="FF14" s="4199"/>
      <c r="FG14" s="4199"/>
      <c r="FH14" s="4199"/>
      <c r="FI14" s="4199"/>
      <c r="FJ14" s="4199"/>
      <c r="FK14" s="4199"/>
      <c r="FL14" s="4199"/>
      <c r="FM14" s="4199"/>
      <c r="FN14" s="4199"/>
      <c r="FO14" s="4199"/>
      <c r="FP14" s="4199"/>
      <c r="FQ14" s="4199"/>
      <c r="FR14" s="4199"/>
      <c r="FS14" s="4199"/>
      <c r="FT14" s="4199"/>
      <c r="FU14" s="4199"/>
      <c r="FV14" s="4199"/>
      <c r="FW14" s="4211"/>
      <c r="FX14" s="679"/>
    </row>
    <row r="15" spans="2:180" ht="36" customHeight="1">
      <c r="D15" s="847"/>
      <c r="E15" s="846"/>
      <c r="F15" s="4028"/>
      <c r="G15" s="4028"/>
      <c r="H15" s="4028"/>
      <c r="I15" s="4028"/>
      <c r="J15" s="4201"/>
      <c r="K15" s="4201"/>
      <c r="L15" s="4201"/>
      <c r="M15" s="4201"/>
      <c r="N15" s="4201"/>
      <c r="O15" s="4122"/>
      <c r="P15" s="4180"/>
      <c r="Q15" s="4122"/>
      <c r="R15" s="4180"/>
      <c r="S15" s="4122"/>
      <c r="T15" s="4180"/>
      <c r="U15" s="4122"/>
      <c r="V15" s="4180"/>
      <c r="W15" s="4122"/>
      <c r="X15" s="4180"/>
      <c r="Y15" s="4122"/>
      <c r="Z15" s="4180"/>
      <c r="AA15" s="4122"/>
      <c r="AB15" s="4180"/>
      <c r="AC15" s="4199"/>
      <c r="AD15" s="4199"/>
      <c r="AE15" s="4199"/>
      <c r="AF15" s="4199"/>
      <c r="AG15" s="4199"/>
      <c r="AH15" s="4199"/>
      <c r="AI15" s="4199"/>
      <c r="AJ15" s="4199"/>
      <c r="AK15" s="4199"/>
      <c r="AL15" s="4199"/>
      <c r="AM15" s="4199"/>
      <c r="AN15" s="4199"/>
      <c r="AO15" s="4199"/>
      <c r="AP15" s="4199"/>
      <c r="AQ15" s="4199"/>
      <c r="AR15" s="4199"/>
      <c r="AS15" s="4199"/>
      <c r="AT15" s="4199"/>
      <c r="AU15" s="4199"/>
      <c r="AV15" s="4199"/>
      <c r="AW15" s="4199"/>
      <c r="AX15" s="4199"/>
      <c r="AY15" s="4199"/>
      <c r="AZ15" s="4199"/>
      <c r="BA15" s="4199"/>
      <c r="BB15" s="4199"/>
      <c r="BC15" s="4199"/>
      <c r="BD15" s="4199"/>
      <c r="BE15" s="4199"/>
      <c r="BF15" s="4199"/>
      <c r="BG15" s="4199"/>
      <c r="BH15" s="4199"/>
      <c r="BI15" s="4199"/>
      <c r="BJ15" s="4199"/>
      <c r="BK15" s="4199"/>
      <c r="BL15" s="4199"/>
      <c r="BM15" s="4199"/>
      <c r="BN15" s="4199"/>
      <c r="BO15" s="4199"/>
      <c r="BP15" s="4199"/>
      <c r="BQ15" s="4199"/>
      <c r="BR15" s="4199"/>
      <c r="BS15" s="4216"/>
      <c r="BT15" s="4122"/>
      <c r="BU15" s="4180"/>
      <c r="BV15" s="4122"/>
      <c r="BW15" s="4180"/>
      <c r="BX15" s="4122"/>
      <c r="BY15" s="4180"/>
      <c r="BZ15" s="4122"/>
      <c r="CA15" s="4180"/>
      <c r="CB15" s="4122"/>
      <c r="CC15" s="4180"/>
      <c r="CD15" s="4122"/>
      <c r="CE15" s="4180"/>
      <c r="CF15" s="4122"/>
      <c r="CG15" s="4180"/>
      <c r="CH15" s="4122"/>
      <c r="CI15" s="4180"/>
      <c r="CJ15" s="4122"/>
      <c r="CK15" s="4180"/>
      <c r="CL15" s="4200"/>
      <c r="CM15" s="4199"/>
      <c r="CN15" s="4199"/>
      <c r="CO15" s="4199"/>
      <c r="CP15" s="4199"/>
      <c r="CQ15" s="4199"/>
      <c r="CR15" s="4199"/>
      <c r="CS15" s="4199"/>
      <c r="CT15" s="4199"/>
      <c r="CU15" s="4199"/>
      <c r="CV15" s="4199"/>
      <c r="CW15" s="4199"/>
      <c r="CX15" s="4216"/>
      <c r="CY15" s="4122"/>
      <c r="CZ15" s="4180"/>
      <c r="DA15" s="4122"/>
      <c r="DB15" s="4180"/>
      <c r="DC15" s="4122"/>
      <c r="DD15" s="4180"/>
      <c r="DE15" s="4122"/>
      <c r="DF15" s="4180"/>
      <c r="DG15" s="4122"/>
      <c r="DH15" s="4180"/>
      <c r="DI15" s="4122"/>
      <c r="DJ15" s="4180"/>
      <c r="DK15" s="4200"/>
      <c r="DL15" s="4199"/>
      <c r="DM15" s="4199"/>
      <c r="DN15" s="4199"/>
      <c r="DO15" s="4199"/>
      <c r="DP15" s="4199"/>
      <c r="DQ15" s="4199"/>
      <c r="DR15" s="4199"/>
      <c r="DS15" s="4199"/>
      <c r="DT15" s="4199"/>
      <c r="DU15" s="4199"/>
      <c r="DV15" s="4199"/>
      <c r="DW15" s="4199"/>
      <c r="DX15" s="4199"/>
      <c r="DY15" s="4199"/>
      <c r="DZ15" s="4199"/>
      <c r="EA15" s="4199"/>
      <c r="EB15" s="4199"/>
      <c r="EC15" s="4199"/>
      <c r="ED15" s="4199"/>
      <c r="EE15" s="4199"/>
      <c r="EF15" s="4199"/>
      <c r="EG15" s="4199"/>
      <c r="EH15" s="4199"/>
      <c r="EI15" s="4199"/>
      <c r="EJ15" s="4199"/>
      <c r="EK15" s="4199"/>
      <c r="EL15" s="4199"/>
      <c r="EM15" s="4199"/>
      <c r="EN15" s="4199"/>
      <c r="EO15" s="4199"/>
      <c r="EP15" s="4199"/>
      <c r="EQ15" s="4199"/>
      <c r="ER15" s="4199"/>
      <c r="ES15" s="4199"/>
      <c r="ET15" s="4199"/>
      <c r="EU15" s="4199"/>
      <c r="EV15" s="4199"/>
      <c r="EW15" s="4199"/>
      <c r="EX15" s="4199"/>
      <c r="EY15" s="4199"/>
      <c r="EZ15" s="4199"/>
      <c r="FA15" s="4199"/>
      <c r="FB15" s="4199"/>
      <c r="FC15" s="4199"/>
      <c r="FD15" s="4199"/>
      <c r="FE15" s="4199"/>
      <c r="FF15" s="4199"/>
      <c r="FG15" s="4199"/>
      <c r="FH15" s="4199"/>
      <c r="FI15" s="4199"/>
      <c r="FJ15" s="4199"/>
      <c r="FK15" s="4199"/>
      <c r="FL15" s="4199"/>
      <c r="FM15" s="4199"/>
      <c r="FN15" s="4199"/>
      <c r="FO15" s="4199"/>
      <c r="FP15" s="4199"/>
      <c r="FQ15" s="4199"/>
      <c r="FR15" s="4199"/>
      <c r="FS15" s="4199"/>
      <c r="FT15" s="4199"/>
      <c r="FU15" s="4199"/>
      <c r="FV15" s="4199"/>
      <c r="FW15" s="4211"/>
      <c r="FX15" s="679"/>
    </row>
    <row r="16" spans="2:180" ht="12" customHeight="1">
      <c r="D16" s="847"/>
      <c r="E16" s="846"/>
      <c r="F16" s="4028"/>
      <c r="G16" s="4028"/>
      <c r="H16" s="4028"/>
      <c r="I16" s="4028"/>
      <c r="J16" s="4201"/>
      <c r="K16" s="4201"/>
      <c r="L16" s="4201"/>
      <c r="M16" s="4201"/>
      <c r="N16" s="4201"/>
      <c r="O16" s="4196" t="s">
        <v>723</v>
      </c>
      <c r="P16" s="4198"/>
      <c r="Q16" s="4196" t="s">
        <v>725</v>
      </c>
      <c r="R16" s="4198"/>
      <c r="S16" s="4196" t="s">
        <v>729</v>
      </c>
      <c r="T16" s="4198"/>
      <c r="U16" s="4196" t="s">
        <v>734</v>
      </c>
      <c r="V16" s="4198"/>
      <c r="W16" s="4196" t="s">
        <v>737</v>
      </c>
      <c r="X16" s="4198"/>
      <c r="Y16" s="4196" t="s">
        <v>741</v>
      </c>
      <c r="Z16" s="4198"/>
      <c r="AA16" s="4196" t="s">
        <v>744</v>
      </c>
      <c r="AB16" s="4198"/>
      <c r="AC16" s="4199"/>
      <c r="AD16" s="4199"/>
      <c r="AE16" s="4199"/>
      <c r="AF16" s="4199"/>
      <c r="AG16" s="4199"/>
      <c r="AH16" s="4199"/>
      <c r="AI16" s="4199"/>
      <c r="AJ16" s="4199"/>
      <c r="AK16" s="4199"/>
      <c r="AL16" s="4199"/>
      <c r="AM16" s="4199"/>
      <c r="AN16" s="4199"/>
      <c r="AO16" s="4199"/>
      <c r="AP16" s="4199"/>
      <c r="AQ16" s="4199"/>
      <c r="AR16" s="4199"/>
      <c r="AS16" s="4199"/>
      <c r="AT16" s="4199"/>
      <c r="AU16" s="4199"/>
      <c r="AV16" s="4199"/>
      <c r="AW16" s="4199"/>
      <c r="AX16" s="4199"/>
      <c r="AY16" s="4199"/>
      <c r="AZ16" s="4199"/>
      <c r="BA16" s="4199"/>
      <c r="BB16" s="4199"/>
      <c r="BC16" s="4199"/>
      <c r="BD16" s="4199"/>
      <c r="BE16" s="4199"/>
      <c r="BF16" s="4199"/>
      <c r="BG16" s="4199"/>
      <c r="BH16" s="4199"/>
      <c r="BI16" s="4199"/>
      <c r="BJ16" s="4199"/>
      <c r="BK16" s="4199"/>
      <c r="BL16" s="4199"/>
      <c r="BM16" s="4199"/>
      <c r="BN16" s="4199"/>
      <c r="BO16" s="4199"/>
      <c r="BP16" s="4199"/>
      <c r="BQ16" s="4199"/>
      <c r="BR16" s="4199"/>
      <c r="BS16" s="4216"/>
      <c r="BT16" s="4196" t="s">
        <v>541</v>
      </c>
      <c r="BU16" s="4198"/>
      <c r="BV16" s="4196" t="s">
        <v>541</v>
      </c>
      <c r="BW16" s="4198"/>
      <c r="BX16" s="4196" t="s">
        <v>541</v>
      </c>
      <c r="BY16" s="4198"/>
      <c r="BZ16" s="4196" t="s">
        <v>541</v>
      </c>
      <c r="CA16" s="4198"/>
      <c r="CB16" s="4196" t="s">
        <v>1006</v>
      </c>
      <c r="CC16" s="4198"/>
      <c r="CD16" s="4196" t="s">
        <v>541</v>
      </c>
      <c r="CE16" s="4198"/>
      <c r="CF16" s="4196" t="s">
        <v>1007</v>
      </c>
      <c r="CG16" s="4198"/>
      <c r="CH16" s="4196" t="s">
        <v>1008</v>
      </c>
      <c r="CI16" s="4198"/>
      <c r="CJ16" s="4196" t="s">
        <v>1008</v>
      </c>
      <c r="CK16" s="4198"/>
      <c r="CL16" s="4200"/>
      <c r="CM16" s="4199"/>
      <c r="CN16" s="4199"/>
      <c r="CO16" s="4199"/>
      <c r="CP16" s="4199"/>
      <c r="CQ16" s="4199"/>
      <c r="CR16" s="4199"/>
      <c r="CS16" s="4199"/>
      <c r="CT16" s="4199"/>
      <c r="CU16" s="4199"/>
      <c r="CV16" s="4199"/>
      <c r="CW16" s="4199"/>
      <c r="CX16" s="4216"/>
      <c r="CY16" s="4120" t="s">
        <v>541</v>
      </c>
      <c r="CZ16" s="4179"/>
      <c r="DA16" s="4120" t="s">
        <v>541</v>
      </c>
      <c r="DB16" s="4179"/>
      <c r="DC16" s="4120" t="s">
        <v>541</v>
      </c>
      <c r="DD16" s="4179"/>
      <c r="DE16" s="4196" t="s">
        <v>1006</v>
      </c>
      <c r="DF16" s="4198"/>
      <c r="DG16" s="4196" t="s">
        <v>1009</v>
      </c>
      <c r="DH16" s="4198"/>
      <c r="DI16" s="4196" t="s">
        <v>1009</v>
      </c>
      <c r="DJ16" s="4198"/>
      <c r="DK16" s="4200"/>
      <c r="DL16" s="4199"/>
      <c r="DM16" s="4199"/>
      <c r="DN16" s="4199"/>
      <c r="DO16" s="4199"/>
      <c r="DP16" s="4199"/>
      <c r="DQ16" s="4199"/>
      <c r="DR16" s="4199"/>
      <c r="DS16" s="4199"/>
      <c r="DT16" s="4199"/>
      <c r="DU16" s="4199"/>
      <c r="DV16" s="4199"/>
      <c r="DW16" s="4199"/>
      <c r="DX16" s="4199"/>
      <c r="DY16" s="4199"/>
      <c r="DZ16" s="4199"/>
      <c r="EA16" s="4199"/>
      <c r="EB16" s="4199"/>
      <c r="EC16" s="4199"/>
      <c r="ED16" s="4199"/>
      <c r="EE16" s="4199"/>
      <c r="EF16" s="4199"/>
      <c r="EG16" s="4199"/>
      <c r="EH16" s="4199"/>
      <c r="EI16" s="4199"/>
      <c r="EJ16" s="4199"/>
      <c r="EK16" s="4199"/>
      <c r="EL16" s="4199"/>
      <c r="EM16" s="4199"/>
      <c r="EN16" s="4199"/>
      <c r="EO16" s="4199"/>
      <c r="EP16" s="4199"/>
      <c r="EQ16" s="4199"/>
      <c r="ER16" s="4199"/>
      <c r="ES16" s="4199"/>
      <c r="ET16" s="4199"/>
      <c r="EU16" s="4199"/>
      <c r="EV16" s="4199"/>
      <c r="EW16" s="4199"/>
      <c r="EX16" s="4199"/>
      <c r="EY16" s="4199"/>
      <c r="EZ16" s="4199"/>
      <c r="FA16" s="4199"/>
      <c r="FB16" s="4199"/>
      <c r="FC16" s="4199"/>
      <c r="FD16" s="4199"/>
      <c r="FE16" s="4199"/>
      <c r="FF16" s="4199"/>
      <c r="FG16" s="4199"/>
      <c r="FH16" s="4199"/>
      <c r="FI16" s="4199"/>
      <c r="FJ16" s="4199"/>
      <c r="FK16" s="4199"/>
      <c r="FL16" s="4199"/>
      <c r="FM16" s="4199"/>
      <c r="FN16" s="4199"/>
      <c r="FO16" s="4199"/>
      <c r="FP16" s="4199"/>
      <c r="FQ16" s="4199"/>
      <c r="FR16" s="4199"/>
      <c r="FS16" s="4199"/>
      <c r="FT16" s="4199"/>
      <c r="FU16" s="4199"/>
      <c r="FV16" s="4199"/>
      <c r="FW16" s="4211"/>
      <c r="FX16" s="679"/>
    </row>
    <row r="17" spans="1:184" ht="15" customHeight="1">
      <c r="E17" s="846"/>
      <c r="F17" s="4028"/>
      <c r="G17" s="4028"/>
      <c r="H17" s="4028"/>
      <c r="I17" s="4028"/>
      <c r="J17" s="4201"/>
      <c r="K17" s="4201"/>
      <c r="L17" s="4201"/>
      <c r="M17" s="4201"/>
      <c r="N17" s="4201"/>
      <c r="O17" s="1093" t="s">
        <v>1010</v>
      </c>
      <c r="P17" s="1093" t="s">
        <v>1011</v>
      </c>
      <c r="Q17" s="1093" t="s">
        <v>1010</v>
      </c>
      <c r="R17" s="1093" t="s">
        <v>1011</v>
      </c>
      <c r="S17" s="1093" t="s">
        <v>1010</v>
      </c>
      <c r="T17" s="1093" t="s">
        <v>1011</v>
      </c>
      <c r="U17" s="1093" t="s">
        <v>1010</v>
      </c>
      <c r="V17" s="1093" t="s">
        <v>1011</v>
      </c>
      <c r="W17" s="1093" t="s">
        <v>1010</v>
      </c>
      <c r="X17" s="1093" t="s">
        <v>1011</v>
      </c>
      <c r="Y17" s="1093" t="s">
        <v>1010</v>
      </c>
      <c r="Z17" s="1093" t="s">
        <v>1011</v>
      </c>
      <c r="AA17" s="1093" t="s">
        <v>1010</v>
      </c>
      <c r="AB17" s="1093" t="s">
        <v>1011</v>
      </c>
      <c r="AC17" s="4199"/>
      <c r="AD17" s="4199"/>
      <c r="AE17" s="4199"/>
      <c r="AF17" s="4199"/>
      <c r="AG17" s="4199"/>
      <c r="AH17" s="4199"/>
      <c r="AI17" s="4199"/>
      <c r="AJ17" s="4199"/>
      <c r="AK17" s="4199"/>
      <c r="AL17" s="4199"/>
      <c r="AM17" s="4199"/>
      <c r="AN17" s="4199"/>
      <c r="AO17" s="4199"/>
      <c r="AP17" s="4199"/>
      <c r="AQ17" s="4199"/>
      <c r="AR17" s="4199"/>
      <c r="AS17" s="4199"/>
      <c r="AT17" s="4199"/>
      <c r="AU17" s="4199"/>
      <c r="AV17" s="4199"/>
      <c r="AW17" s="4199"/>
      <c r="AX17" s="4199"/>
      <c r="AY17" s="4199"/>
      <c r="AZ17" s="4199"/>
      <c r="BA17" s="4199"/>
      <c r="BB17" s="4199"/>
      <c r="BC17" s="4199"/>
      <c r="BD17" s="4199"/>
      <c r="BE17" s="4199"/>
      <c r="BF17" s="4199"/>
      <c r="BG17" s="4199"/>
      <c r="BH17" s="4199"/>
      <c r="BI17" s="4199"/>
      <c r="BJ17" s="4199"/>
      <c r="BK17" s="4199"/>
      <c r="BL17" s="4199"/>
      <c r="BM17" s="4199"/>
      <c r="BN17" s="4199"/>
      <c r="BO17" s="4199"/>
      <c r="BP17" s="4199"/>
      <c r="BQ17" s="4199"/>
      <c r="BR17" s="4199"/>
      <c r="BS17" s="4216"/>
      <c r="BT17" s="1093" t="s">
        <v>1010</v>
      </c>
      <c r="BU17" s="1093" t="s">
        <v>1011</v>
      </c>
      <c r="BV17" s="1093" t="s">
        <v>1010</v>
      </c>
      <c r="BW17" s="1093" t="s">
        <v>1011</v>
      </c>
      <c r="BX17" s="1093" t="s">
        <v>1010</v>
      </c>
      <c r="BY17" s="1093" t="s">
        <v>1011</v>
      </c>
      <c r="BZ17" s="1093" t="s">
        <v>1010</v>
      </c>
      <c r="CA17" s="1093" t="s">
        <v>1011</v>
      </c>
      <c r="CB17" s="1093" t="s">
        <v>1010</v>
      </c>
      <c r="CC17" s="1093" t="s">
        <v>1011</v>
      </c>
      <c r="CD17" s="1093" t="s">
        <v>1010</v>
      </c>
      <c r="CE17" s="1093" t="s">
        <v>1011</v>
      </c>
      <c r="CF17" s="1093" t="s">
        <v>1010</v>
      </c>
      <c r="CG17" s="1093" t="s">
        <v>1011</v>
      </c>
      <c r="CH17" s="1093" t="s">
        <v>1010</v>
      </c>
      <c r="CI17" s="1093" t="s">
        <v>1011</v>
      </c>
      <c r="CJ17" s="1093" t="s">
        <v>1010</v>
      </c>
      <c r="CK17" s="1093" t="s">
        <v>1011</v>
      </c>
      <c r="CL17" s="4200"/>
      <c r="CM17" s="4199"/>
      <c r="CN17" s="4199"/>
      <c r="CO17" s="4199"/>
      <c r="CP17" s="4199"/>
      <c r="CQ17" s="4199"/>
      <c r="CR17" s="4199"/>
      <c r="CS17" s="4199"/>
      <c r="CT17" s="4199"/>
      <c r="CU17" s="4199"/>
      <c r="CV17" s="4199"/>
      <c r="CW17" s="4199"/>
      <c r="CX17" s="4216"/>
      <c r="CY17" s="1093" t="s">
        <v>1010</v>
      </c>
      <c r="CZ17" s="1093" t="s">
        <v>1011</v>
      </c>
      <c r="DA17" s="1093" t="s">
        <v>1010</v>
      </c>
      <c r="DB17" s="1093" t="s">
        <v>1011</v>
      </c>
      <c r="DC17" s="1093" t="s">
        <v>1010</v>
      </c>
      <c r="DD17" s="1093" t="s">
        <v>1011</v>
      </c>
      <c r="DE17" s="1093" t="s">
        <v>1010</v>
      </c>
      <c r="DF17" s="1093" t="s">
        <v>1011</v>
      </c>
      <c r="DG17" s="1093" t="s">
        <v>1010</v>
      </c>
      <c r="DH17" s="1093" t="s">
        <v>1011</v>
      </c>
      <c r="DI17" s="1093" t="s">
        <v>1010</v>
      </c>
      <c r="DJ17" s="1093" t="s">
        <v>1011</v>
      </c>
      <c r="DK17" s="4200"/>
      <c r="DL17" s="4199"/>
      <c r="DM17" s="4199"/>
      <c r="DN17" s="4199"/>
      <c r="DO17" s="4199"/>
      <c r="DP17" s="4199"/>
      <c r="DQ17" s="4199"/>
      <c r="DR17" s="4199"/>
      <c r="DS17" s="4199"/>
      <c r="DT17" s="4199"/>
      <c r="DU17" s="4199"/>
      <c r="DV17" s="4199"/>
      <c r="DW17" s="4199"/>
      <c r="DX17" s="4199"/>
      <c r="DY17" s="4199"/>
      <c r="DZ17" s="4199"/>
      <c r="EA17" s="4199"/>
      <c r="EB17" s="4199"/>
      <c r="EC17" s="4199"/>
      <c r="ED17" s="4199"/>
      <c r="EE17" s="4199"/>
      <c r="EF17" s="4199"/>
      <c r="EG17" s="4199"/>
      <c r="EH17" s="4199"/>
      <c r="EI17" s="4199"/>
      <c r="EJ17" s="4199"/>
      <c r="EK17" s="4199"/>
      <c r="EL17" s="4199"/>
      <c r="EM17" s="4199"/>
      <c r="EN17" s="4199"/>
      <c r="EO17" s="4199"/>
      <c r="EP17" s="4199"/>
      <c r="EQ17" s="4199"/>
      <c r="ER17" s="4199"/>
      <c r="ES17" s="4199"/>
      <c r="ET17" s="4199"/>
      <c r="EU17" s="4199"/>
      <c r="EV17" s="4199"/>
      <c r="EW17" s="4199"/>
      <c r="EX17" s="4199"/>
      <c r="EY17" s="4199"/>
      <c r="EZ17" s="4199"/>
      <c r="FA17" s="4199"/>
      <c r="FB17" s="4199"/>
      <c r="FC17" s="4199"/>
      <c r="FD17" s="4199"/>
      <c r="FE17" s="4199"/>
      <c r="FF17" s="4199"/>
      <c r="FG17" s="4199"/>
      <c r="FH17" s="4199"/>
      <c r="FI17" s="4199"/>
      <c r="FJ17" s="4199"/>
      <c r="FK17" s="4199"/>
      <c r="FL17" s="4199"/>
      <c r="FM17" s="4199"/>
      <c r="FN17" s="4199"/>
      <c r="FO17" s="4199"/>
      <c r="FP17" s="4199"/>
      <c r="FQ17" s="4199"/>
      <c r="FR17" s="4199"/>
      <c r="FS17" s="4199"/>
      <c r="FT17" s="4199"/>
      <c r="FU17" s="4199"/>
      <c r="FV17" s="4199"/>
      <c r="FW17" s="4212"/>
      <c r="FX17" s="679"/>
    </row>
    <row r="18" spans="1:184" s="3831" customFormat="1" ht="12" hidden="1" customHeight="1">
      <c r="B18" s="835"/>
      <c r="E18" s="848"/>
      <c r="F18" s="1094"/>
      <c r="G18" s="1094"/>
      <c r="H18" s="1094"/>
      <c r="I18" s="1094"/>
      <c r="J18" s="1095"/>
      <c r="K18" s="1095"/>
      <c r="L18" s="1095"/>
      <c r="M18" s="1095"/>
      <c r="N18" s="1095"/>
      <c r="O18" s="1094"/>
      <c r="P18" s="1094"/>
      <c r="Q18" s="1094"/>
      <c r="R18" s="1094"/>
      <c r="S18" s="1094"/>
      <c r="T18" s="1094"/>
      <c r="U18" s="1096"/>
      <c r="V18" s="1096"/>
      <c r="W18" s="1096"/>
      <c r="X18" s="1096"/>
      <c r="Y18" s="1096"/>
      <c r="Z18" s="1096"/>
      <c r="AA18" s="1096"/>
      <c r="AB18" s="1094"/>
      <c r="AC18" s="1095"/>
      <c r="AD18" s="1095"/>
      <c r="AE18" s="1095"/>
      <c r="AF18" s="1095"/>
      <c r="AG18" s="1095"/>
      <c r="AH18" s="1095"/>
      <c r="AI18" s="1095"/>
      <c r="AJ18" s="1095"/>
      <c r="AK18" s="1095"/>
      <c r="AL18" s="1095"/>
      <c r="AM18" s="1095"/>
      <c r="AN18" s="1095"/>
      <c r="AO18" s="1095"/>
      <c r="AP18" s="1095"/>
      <c r="AQ18" s="1095"/>
      <c r="AR18" s="1095"/>
      <c r="AS18" s="1095"/>
      <c r="AT18" s="1095"/>
      <c r="AU18" s="1095"/>
      <c r="AV18" s="1095"/>
      <c r="AW18" s="1095"/>
      <c r="AX18" s="1095"/>
      <c r="AY18" s="1095"/>
      <c r="AZ18" s="1095"/>
      <c r="BA18" s="1095"/>
      <c r="BB18" s="1095"/>
      <c r="BC18" s="1095"/>
      <c r="BD18" s="1095"/>
      <c r="BE18" s="1095"/>
      <c r="BF18" s="1095"/>
      <c r="BG18" s="1095"/>
      <c r="BH18" s="1095"/>
      <c r="BI18" s="1095"/>
      <c r="BJ18" s="1095"/>
      <c r="BK18" s="1095"/>
      <c r="BL18" s="1095"/>
      <c r="BM18" s="1095"/>
      <c r="BN18" s="1095"/>
      <c r="BO18" s="1095"/>
      <c r="BP18" s="1095"/>
      <c r="BQ18" s="1095"/>
      <c r="BR18" s="1095"/>
      <c r="BS18" s="1095"/>
      <c r="BT18" s="1097"/>
      <c r="BU18" s="1097"/>
      <c r="BV18" s="1097"/>
      <c r="BW18" s="1097"/>
      <c r="BX18" s="1097"/>
      <c r="BY18" s="1097"/>
      <c r="BZ18" s="1097"/>
      <c r="CA18" s="1097"/>
      <c r="CB18" s="1097"/>
      <c r="CC18" s="1097"/>
      <c r="CD18" s="1097"/>
      <c r="CE18" s="1097"/>
      <c r="CF18" s="1097"/>
      <c r="CG18" s="1097"/>
      <c r="CH18" s="1097"/>
      <c r="CI18" s="1097"/>
      <c r="CJ18" s="1097"/>
      <c r="CK18" s="1097"/>
      <c r="CL18" s="1095"/>
      <c r="CM18" s="1095"/>
      <c r="CN18" s="1095"/>
      <c r="CO18" s="1095"/>
      <c r="CP18" s="1095"/>
      <c r="CQ18" s="1095"/>
      <c r="CR18" s="1095"/>
      <c r="CS18" s="1095"/>
      <c r="CT18" s="1095"/>
      <c r="CU18" s="1095"/>
      <c r="CV18" s="1095"/>
      <c r="CW18" s="1095"/>
      <c r="CX18" s="1095"/>
      <c r="CY18" s="1097"/>
      <c r="CZ18" s="1097"/>
      <c r="DA18" s="1097"/>
      <c r="DB18" s="1097"/>
      <c r="DC18" s="1097"/>
      <c r="DD18" s="1097"/>
      <c r="DE18" s="1097"/>
      <c r="DF18" s="1097"/>
      <c r="DG18" s="1097"/>
      <c r="DH18" s="1097"/>
      <c r="DI18" s="1097"/>
      <c r="DJ18" s="1097"/>
      <c r="DK18" s="1095"/>
      <c r="DL18" s="1095"/>
      <c r="DM18" s="1095"/>
      <c r="DN18" s="1095"/>
      <c r="DO18" s="1095"/>
      <c r="DP18" s="1095"/>
      <c r="DQ18" s="1095"/>
      <c r="DR18" s="1095"/>
      <c r="DS18" s="1095"/>
      <c r="DT18" s="1095"/>
      <c r="DU18" s="1095"/>
      <c r="DV18" s="1095"/>
      <c r="DW18" s="1095"/>
      <c r="DX18" s="1095"/>
      <c r="DY18" s="1095"/>
      <c r="DZ18" s="1095"/>
      <c r="EA18" s="1095"/>
      <c r="EB18" s="1095"/>
      <c r="EC18" s="1095"/>
      <c r="ED18" s="1095"/>
      <c r="EE18" s="1095"/>
      <c r="EF18" s="1095"/>
      <c r="EG18" s="1095"/>
      <c r="EH18" s="1095"/>
      <c r="EI18" s="1095"/>
      <c r="EJ18" s="1095"/>
      <c r="EK18" s="1095"/>
      <c r="EL18" s="1095"/>
      <c r="EM18" s="1095"/>
      <c r="EN18" s="1095"/>
      <c r="EO18" s="1095"/>
      <c r="EP18" s="1095"/>
      <c r="EQ18" s="1095"/>
      <c r="ER18" s="1095"/>
      <c r="ES18" s="1095"/>
      <c r="ET18" s="1095"/>
      <c r="EU18" s="1095"/>
      <c r="EV18" s="1095"/>
      <c r="EW18" s="1095"/>
      <c r="EX18" s="1095"/>
      <c r="EY18" s="1095"/>
      <c r="EZ18" s="1095"/>
      <c r="FA18" s="1095"/>
      <c r="FB18" s="1095"/>
      <c r="FC18" s="1095"/>
      <c r="FD18" s="1095"/>
      <c r="FE18" s="1095"/>
      <c r="FF18" s="1095"/>
      <c r="FG18" s="1095"/>
      <c r="FH18" s="1095"/>
      <c r="FI18" s="1095"/>
      <c r="FJ18" s="1095"/>
      <c r="FK18" s="1095"/>
      <c r="FL18" s="1095"/>
      <c r="FM18" s="1095"/>
      <c r="FN18" s="1095"/>
      <c r="FO18" s="1095"/>
      <c r="FP18" s="1095"/>
      <c r="FQ18" s="1095"/>
      <c r="FR18" s="1095"/>
      <c r="FS18" s="1095"/>
      <c r="FT18" s="1095"/>
      <c r="FU18" s="1095"/>
      <c r="FV18" s="1095"/>
      <c r="FW18" s="1094"/>
      <c r="FX18" s="1098"/>
    </row>
    <row r="19" spans="1:184" s="3831" customFormat="1" ht="11.25" hidden="1" customHeight="1">
      <c r="B19" s="835"/>
      <c r="E19" s="848"/>
      <c r="F19" s="1094"/>
      <c r="G19" s="1094"/>
      <c r="H19" s="1094"/>
      <c r="I19" s="1094"/>
      <c r="J19" s="1094"/>
      <c r="K19" s="1094"/>
      <c r="L19" s="1094"/>
      <c r="M19" s="1094"/>
      <c r="N19" s="1094"/>
      <c r="O19" s="1094"/>
      <c r="P19" s="1094"/>
      <c r="Q19" s="1094"/>
      <c r="R19" s="1094"/>
      <c r="S19" s="1094"/>
      <c r="T19" s="1094"/>
      <c r="U19" s="1096"/>
      <c r="V19" s="1096"/>
      <c r="W19" s="1096"/>
      <c r="X19" s="1096"/>
      <c r="Y19" s="1096"/>
      <c r="Z19" s="1096"/>
      <c r="AA19" s="1096"/>
      <c r="AB19" s="1094"/>
      <c r="AC19" s="1094"/>
      <c r="AD19" s="1094"/>
      <c r="AE19" s="1094"/>
      <c r="AF19" s="1094"/>
      <c r="AG19" s="1094"/>
      <c r="AH19" s="1094"/>
      <c r="AI19" s="1094"/>
      <c r="AJ19" s="1094"/>
      <c r="AK19" s="1094"/>
      <c r="AL19" s="1094"/>
      <c r="AM19" s="1094"/>
      <c r="AN19" s="1094"/>
      <c r="AO19" s="1094"/>
      <c r="AP19" s="1094"/>
      <c r="AQ19" s="1094"/>
      <c r="AR19" s="1094"/>
      <c r="AS19" s="1094"/>
      <c r="AT19" s="1094"/>
      <c r="AU19" s="1094"/>
      <c r="AV19" s="1094"/>
      <c r="AW19" s="1094"/>
      <c r="AX19" s="1094"/>
      <c r="AY19" s="1094"/>
      <c r="AZ19" s="1094"/>
      <c r="BA19" s="1094"/>
      <c r="BB19" s="1094"/>
      <c r="BC19" s="1094"/>
      <c r="BD19" s="1094"/>
      <c r="BE19" s="1094"/>
      <c r="BF19" s="1094"/>
      <c r="BG19" s="1094"/>
      <c r="BH19" s="1094"/>
      <c r="BI19" s="1094"/>
      <c r="BJ19" s="1094"/>
      <c r="BK19" s="1094"/>
      <c r="BL19" s="1094"/>
      <c r="BM19" s="1094"/>
      <c r="BN19" s="1094"/>
      <c r="BO19" s="1094"/>
      <c r="BP19" s="1094"/>
      <c r="BQ19" s="1094"/>
      <c r="BR19" s="1094"/>
      <c r="BS19" s="1094"/>
      <c r="BT19" s="1094"/>
      <c r="BU19" s="1094"/>
      <c r="BV19" s="1094"/>
      <c r="BW19" s="1094"/>
      <c r="BX19" s="1094"/>
      <c r="BY19" s="1094"/>
      <c r="BZ19" s="1094"/>
      <c r="CA19" s="1094"/>
      <c r="CB19" s="1094"/>
      <c r="CC19" s="1094"/>
      <c r="CD19" s="1094"/>
      <c r="CE19" s="1094"/>
      <c r="CF19" s="1094"/>
      <c r="CG19" s="1094"/>
      <c r="CH19" s="1094"/>
      <c r="CI19" s="1094"/>
      <c r="CJ19" s="1094"/>
      <c r="CK19" s="1094"/>
      <c r="CL19" s="1094"/>
      <c r="CM19" s="1094"/>
      <c r="CN19" s="1094"/>
      <c r="CO19" s="1094"/>
      <c r="CP19" s="1094"/>
      <c r="CQ19" s="1094"/>
      <c r="CR19" s="1094"/>
      <c r="CS19" s="1094"/>
      <c r="CT19" s="1094"/>
      <c r="CU19" s="1094"/>
      <c r="CV19" s="1094"/>
      <c r="CW19" s="1094"/>
      <c r="CX19" s="1094"/>
      <c r="CY19" s="1094"/>
      <c r="CZ19" s="1094"/>
      <c r="DA19" s="1094"/>
      <c r="DB19" s="1094"/>
      <c r="DC19" s="1094"/>
      <c r="DD19" s="1094"/>
      <c r="DE19" s="1094"/>
      <c r="DF19" s="1094"/>
      <c r="DG19" s="1094"/>
      <c r="DH19" s="1094"/>
      <c r="DI19" s="1094"/>
      <c r="DJ19" s="1094"/>
      <c r="DK19" s="1094"/>
      <c r="DL19" s="1094"/>
      <c r="DM19" s="1094"/>
      <c r="DN19" s="1094"/>
      <c r="DO19" s="1094"/>
      <c r="DP19" s="1094"/>
      <c r="DQ19" s="1094"/>
      <c r="DR19" s="1094"/>
      <c r="DS19" s="1094"/>
      <c r="DT19" s="1094"/>
      <c r="DU19" s="1094"/>
      <c r="DV19" s="1094"/>
      <c r="DW19" s="1094"/>
      <c r="DX19" s="1094"/>
      <c r="DY19" s="1094"/>
      <c r="DZ19" s="1094"/>
      <c r="EA19" s="1094"/>
      <c r="EB19" s="1094"/>
      <c r="EC19" s="1094"/>
      <c r="ED19" s="1094"/>
      <c r="EE19" s="1094"/>
      <c r="EF19" s="1094"/>
      <c r="EG19" s="1094"/>
      <c r="EH19" s="1094"/>
      <c r="EI19" s="1094"/>
      <c r="EJ19" s="1094"/>
      <c r="EK19" s="1094"/>
      <c r="EL19" s="1094"/>
      <c r="EM19" s="1094"/>
      <c r="EN19" s="1094"/>
      <c r="EO19" s="1094"/>
      <c r="EP19" s="1094"/>
      <c r="EQ19" s="1094"/>
      <c r="ER19" s="1094"/>
      <c r="ES19" s="1094"/>
      <c r="ET19" s="1094"/>
      <c r="EU19" s="1094"/>
      <c r="EV19" s="1094"/>
      <c r="EW19" s="1094"/>
      <c r="EX19" s="1094"/>
      <c r="EY19" s="1094"/>
      <c r="EZ19" s="1094"/>
      <c r="FA19" s="1094"/>
      <c r="FB19" s="1094"/>
      <c r="FC19" s="1094"/>
      <c r="FD19" s="1094"/>
      <c r="FE19" s="1094"/>
      <c r="FF19" s="1094"/>
      <c r="FG19" s="1094"/>
      <c r="FH19" s="1094"/>
      <c r="FI19" s="1094"/>
      <c r="FJ19" s="1094"/>
      <c r="FK19" s="1094"/>
      <c r="FL19" s="1094"/>
      <c r="FM19" s="1094"/>
      <c r="FN19" s="1094"/>
      <c r="FO19" s="1094"/>
      <c r="FP19" s="1094"/>
      <c r="FQ19" s="1094"/>
      <c r="FR19" s="1094"/>
      <c r="FS19" s="1094"/>
      <c r="FT19" s="1094"/>
      <c r="FU19" s="1094"/>
      <c r="FV19" s="1094"/>
      <c r="FW19" s="1094"/>
      <c r="FX19" s="1098"/>
    </row>
    <row r="20" spans="1:184" s="3830" customFormat="1" ht="11.25" hidden="1" customHeight="1">
      <c r="B20" s="849"/>
      <c r="D20" s="836"/>
      <c r="E20" s="848"/>
      <c r="F20" s="1099" t="s">
        <v>368</v>
      </c>
      <c r="G20" s="1100"/>
      <c r="H20" s="1101"/>
      <c r="I20" s="1101"/>
      <c r="J20" s="1101"/>
      <c r="K20" s="1101"/>
      <c r="L20" s="1101"/>
      <c r="M20" s="1101"/>
      <c r="N20" s="1101"/>
      <c r="O20" s="1100"/>
      <c r="P20" s="1100"/>
      <c r="Q20" s="1100"/>
      <c r="R20" s="1100"/>
      <c r="S20" s="1100"/>
      <c r="T20" s="1100"/>
      <c r="U20" s="1102"/>
      <c r="V20" s="1102"/>
      <c r="W20" s="1102"/>
      <c r="X20" s="1102"/>
      <c r="Y20" s="1102"/>
      <c r="Z20" s="1102"/>
      <c r="AA20" s="1102"/>
      <c r="AB20" s="1100"/>
      <c r="AC20" s="1101"/>
      <c r="AD20" s="1101"/>
      <c r="AE20" s="1101"/>
      <c r="AF20" s="1101"/>
      <c r="AG20" s="1101"/>
      <c r="AH20" s="1101"/>
      <c r="AI20" s="1101"/>
      <c r="AJ20" s="1101"/>
      <c r="AK20" s="1101"/>
      <c r="AL20" s="1101"/>
      <c r="AM20" s="1101"/>
      <c r="AN20" s="1101"/>
      <c r="AO20" s="1101"/>
      <c r="AP20" s="1101"/>
      <c r="AQ20" s="1101"/>
      <c r="AR20" s="1101"/>
      <c r="AS20" s="1101"/>
      <c r="AT20" s="1101"/>
      <c r="AU20" s="1101"/>
      <c r="AV20" s="1101"/>
      <c r="AW20" s="1101"/>
      <c r="AX20" s="1101"/>
      <c r="AY20" s="1101"/>
      <c r="AZ20" s="1101"/>
      <c r="BA20" s="1101"/>
      <c r="BB20" s="1101"/>
      <c r="BC20" s="1101"/>
      <c r="BD20" s="1101"/>
      <c r="BE20" s="1101"/>
      <c r="BF20" s="1101"/>
      <c r="BG20" s="1101"/>
      <c r="BH20" s="1101"/>
      <c r="BI20" s="1101"/>
      <c r="BJ20" s="1101"/>
      <c r="BK20" s="1101"/>
      <c r="BL20" s="1101"/>
      <c r="BM20" s="1101"/>
      <c r="BN20" s="1101"/>
      <c r="BO20" s="1101"/>
      <c r="BP20" s="1101"/>
      <c r="BQ20" s="1101"/>
      <c r="BR20" s="1101"/>
      <c r="BS20" s="1101"/>
      <c r="BT20" s="1101"/>
      <c r="BU20" s="1101"/>
      <c r="BV20" s="1101"/>
      <c r="BW20" s="1101"/>
      <c r="BX20" s="1101"/>
      <c r="BY20" s="1101"/>
      <c r="BZ20" s="1101"/>
      <c r="CA20" s="1101"/>
      <c r="CB20" s="1101"/>
      <c r="CC20" s="1101"/>
      <c r="CD20" s="1101"/>
      <c r="CE20" s="1101"/>
      <c r="CF20" s="1101"/>
      <c r="CG20" s="1101"/>
      <c r="CH20" s="1101"/>
      <c r="CI20" s="1101"/>
      <c r="CJ20" s="1101"/>
      <c r="CK20" s="1101"/>
      <c r="CL20" s="1103"/>
      <c r="CM20" s="1103"/>
      <c r="CN20" s="1103"/>
      <c r="CO20" s="1103"/>
      <c r="CP20" s="1103"/>
      <c r="CQ20" s="1103"/>
      <c r="CR20" s="1103"/>
      <c r="CS20" s="1103"/>
      <c r="CT20" s="1103"/>
      <c r="CU20" s="1103"/>
      <c r="CV20" s="1103"/>
      <c r="CW20" s="1103"/>
      <c r="CX20" s="1103"/>
      <c r="CY20" s="1103"/>
      <c r="CZ20" s="1103"/>
      <c r="DA20" s="1103"/>
      <c r="DB20" s="1103"/>
      <c r="DC20" s="1103"/>
      <c r="DD20" s="1103"/>
      <c r="DE20" s="1103"/>
      <c r="DF20" s="1103"/>
      <c r="DG20" s="1103"/>
      <c r="DH20" s="1103"/>
      <c r="DI20" s="1103"/>
      <c r="DJ20" s="1103"/>
      <c r="DK20" s="1103"/>
      <c r="DL20" s="1103"/>
      <c r="DM20" s="1103"/>
      <c r="DN20" s="1103"/>
      <c r="DO20" s="1103"/>
      <c r="DP20" s="1103"/>
      <c r="DQ20" s="1103"/>
      <c r="DR20" s="1103"/>
      <c r="DS20" s="1103"/>
      <c r="DT20" s="1103"/>
      <c r="DU20" s="1103"/>
      <c r="DV20" s="1103"/>
      <c r="DW20" s="1103"/>
      <c r="DX20" s="1103"/>
      <c r="DY20" s="1103"/>
      <c r="DZ20" s="1103"/>
      <c r="EA20" s="1103"/>
      <c r="EB20" s="1103"/>
      <c r="EC20" s="1103"/>
      <c r="ED20" s="1103"/>
      <c r="EE20" s="1103"/>
      <c r="EF20" s="1103"/>
      <c r="EG20" s="1103"/>
      <c r="EH20" s="1103"/>
      <c r="EI20" s="1103"/>
      <c r="EJ20" s="1103"/>
      <c r="EK20" s="1103"/>
      <c r="EL20" s="1103"/>
      <c r="EM20" s="1103"/>
      <c r="EN20" s="1103"/>
      <c r="EO20" s="1103"/>
      <c r="EP20" s="1103"/>
      <c r="EQ20" s="1103"/>
      <c r="ER20" s="1103"/>
      <c r="ES20" s="1103"/>
      <c r="ET20" s="1103"/>
      <c r="EU20" s="1103"/>
      <c r="EV20" s="1103"/>
      <c r="EW20" s="1103"/>
      <c r="EX20" s="1103"/>
      <c r="EY20" s="1103"/>
      <c r="EZ20" s="1103"/>
      <c r="FA20" s="1103"/>
      <c r="FB20" s="1103"/>
      <c r="FC20" s="1103"/>
      <c r="FD20" s="1103"/>
      <c r="FE20" s="1103"/>
      <c r="FF20" s="1103"/>
      <c r="FG20" s="1103"/>
      <c r="FH20" s="1103"/>
      <c r="FI20" s="1103"/>
      <c r="FJ20" s="1103"/>
      <c r="FK20" s="1103"/>
      <c r="FL20" s="1103"/>
      <c r="FM20" s="1103"/>
      <c r="FN20" s="1103"/>
      <c r="FO20" s="1103"/>
      <c r="FP20" s="1103"/>
      <c r="FQ20" s="1103"/>
      <c r="FR20" s="1103"/>
      <c r="FS20" s="1103"/>
      <c r="FT20" s="1103"/>
      <c r="FU20" s="1103"/>
      <c r="FV20" s="1103"/>
      <c r="FW20" s="1103"/>
      <c r="FX20" s="1104"/>
    </row>
    <row r="21" spans="1:184" s="3830" customFormat="1" ht="12" customHeight="1">
      <c r="A21" s="850"/>
      <c r="B21" s="850"/>
      <c r="C21" s="850"/>
      <c r="D21" s="850"/>
      <c r="E21" s="850"/>
      <c r="F21" s="848"/>
      <c r="G21" s="848"/>
      <c r="H21" s="848"/>
      <c r="I21" s="848"/>
      <c r="J21" s="848"/>
      <c r="K21" s="848"/>
      <c r="L21" s="848"/>
      <c r="M21" s="848"/>
      <c r="N21" s="848"/>
      <c r="O21" s="848"/>
      <c r="P21" s="848"/>
      <c r="Q21" s="848"/>
      <c r="R21" s="848"/>
      <c r="S21" s="851"/>
      <c r="T21" s="851"/>
      <c r="U21" s="848"/>
      <c r="V21" s="848"/>
      <c r="W21" s="848"/>
      <c r="X21" s="848"/>
      <c r="Y21" s="848"/>
      <c r="Z21" s="848"/>
      <c r="AA21" s="848"/>
      <c r="AB21" s="848"/>
      <c r="AC21" s="848"/>
      <c r="AD21" s="848"/>
      <c r="AE21" s="848"/>
      <c r="AF21" s="848"/>
      <c r="AG21" s="848"/>
      <c r="AH21" s="848"/>
      <c r="AI21" s="848"/>
      <c r="AJ21" s="848"/>
      <c r="AK21" s="848"/>
      <c r="AL21" s="848"/>
      <c r="AM21" s="848"/>
      <c r="AN21" s="848"/>
      <c r="AO21" s="848"/>
      <c r="AP21" s="848"/>
      <c r="AQ21" s="848"/>
      <c r="AR21" s="848"/>
      <c r="AS21" s="848"/>
      <c r="AT21" s="848"/>
      <c r="AU21" s="848"/>
      <c r="AV21" s="848"/>
      <c r="AW21" s="848"/>
      <c r="AX21" s="848"/>
      <c r="AY21" s="848"/>
      <c r="AZ21" s="848"/>
      <c r="BA21" s="848"/>
      <c r="BB21" s="848"/>
      <c r="BC21" s="848"/>
      <c r="BD21" s="848"/>
      <c r="BE21" s="848"/>
      <c r="BF21" s="848"/>
      <c r="BG21" s="848"/>
      <c r="BH21" s="848"/>
      <c r="BI21" s="848"/>
      <c r="BJ21" s="848"/>
      <c r="BK21" s="848"/>
      <c r="BL21" s="848"/>
      <c r="BM21" s="848"/>
      <c r="BN21" s="848"/>
      <c r="BO21" s="848"/>
      <c r="BP21" s="848"/>
      <c r="BQ21" s="848"/>
      <c r="BR21" s="848"/>
      <c r="BS21" s="848"/>
      <c r="BT21" s="848"/>
      <c r="BU21" s="848"/>
      <c r="BV21" s="848"/>
      <c r="BW21" s="848"/>
      <c r="BX21" s="848"/>
      <c r="BY21" s="848"/>
      <c r="BZ21" s="848"/>
      <c r="CA21" s="848"/>
      <c r="CB21" s="848"/>
      <c r="CC21" s="848"/>
      <c r="CD21" s="848"/>
      <c r="CE21" s="848"/>
      <c r="CF21" s="848"/>
      <c r="CG21" s="848"/>
      <c r="CH21" s="848"/>
      <c r="CI21" s="848"/>
      <c r="CJ21" s="848"/>
      <c r="CK21" s="848"/>
      <c r="CL21" s="848"/>
      <c r="CM21" s="848"/>
      <c r="CN21" s="848"/>
      <c r="CO21" s="848"/>
      <c r="CP21" s="848"/>
      <c r="CQ21" s="848"/>
      <c r="CR21" s="848"/>
      <c r="CS21" s="848"/>
      <c r="CT21" s="848"/>
      <c r="CU21" s="848"/>
      <c r="CV21" s="848"/>
      <c r="CW21" s="848"/>
      <c r="CX21" s="848"/>
      <c r="CY21" s="848"/>
      <c r="CZ21" s="848"/>
      <c r="DA21" s="848"/>
      <c r="DB21" s="848"/>
      <c r="DC21" s="848"/>
      <c r="DD21" s="848"/>
      <c r="DE21" s="848"/>
      <c r="DF21" s="848"/>
      <c r="DG21" s="848"/>
      <c r="DH21" s="848"/>
      <c r="DI21" s="848"/>
      <c r="DJ21" s="848"/>
      <c r="DK21" s="848"/>
      <c r="DL21" s="848"/>
      <c r="DM21" s="848"/>
      <c r="DN21" s="848"/>
      <c r="DO21" s="848"/>
      <c r="DP21" s="848"/>
      <c r="DQ21" s="848"/>
      <c r="DR21" s="848"/>
      <c r="DS21" s="848"/>
      <c r="DT21" s="848"/>
      <c r="DU21" s="848"/>
      <c r="DV21" s="848"/>
      <c r="DW21" s="848"/>
      <c r="DX21" s="848"/>
      <c r="DY21" s="848"/>
      <c r="DZ21" s="848"/>
      <c r="EA21" s="848"/>
      <c r="EB21" s="848"/>
      <c r="EC21" s="848"/>
      <c r="ED21" s="848"/>
      <c r="EE21" s="848"/>
      <c r="EF21" s="848"/>
      <c r="EG21" s="848"/>
      <c r="EH21" s="848"/>
      <c r="EI21" s="848"/>
      <c r="EJ21" s="848"/>
      <c r="EK21" s="848"/>
      <c r="EL21" s="848"/>
      <c r="EM21" s="848"/>
      <c r="EN21" s="848"/>
      <c r="EO21" s="848"/>
      <c r="EP21" s="848"/>
      <c r="EQ21" s="848"/>
      <c r="ER21" s="848"/>
      <c r="ES21" s="848"/>
      <c r="ET21" s="848"/>
      <c r="EU21" s="848"/>
      <c r="EV21" s="848"/>
      <c r="EW21" s="848"/>
      <c r="EX21" s="848"/>
      <c r="EY21" s="848"/>
      <c r="EZ21" s="848"/>
      <c r="FA21" s="848"/>
      <c r="FB21" s="848"/>
      <c r="FC21" s="848"/>
      <c r="FD21" s="848"/>
      <c r="FE21" s="848"/>
      <c r="FF21" s="848"/>
      <c r="FG21" s="848"/>
      <c r="FH21" s="848"/>
      <c r="FI21" s="848"/>
      <c r="FJ21" s="848"/>
      <c r="FK21" s="848"/>
      <c r="FL21" s="848"/>
      <c r="FM21" s="848"/>
      <c r="FN21" s="848"/>
      <c r="FO21" s="848"/>
      <c r="FP21" s="848"/>
      <c r="FQ21" s="848"/>
      <c r="FR21" s="848"/>
      <c r="FS21" s="848"/>
      <c r="FT21" s="848"/>
      <c r="FU21" s="848"/>
      <c r="FV21" s="848"/>
      <c r="FW21" s="848"/>
      <c r="FX21" s="850"/>
      <c r="FY21" s="850"/>
      <c r="FZ21" s="850"/>
      <c r="GA21" s="850"/>
      <c r="GB21" s="850"/>
    </row>
    <row r="22" spans="1:184" s="3830" customFormat="1" ht="12" customHeight="1">
      <c r="A22" s="850"/>
      <c r="B22" s="850"/>
      <c r="C22" s="850"/>
      <c r="D22" s="850"/>
      <c r="E22" s="850"/>
      <c r="FX22" s="850"/>
      <c r="FY22" s="850"/>
      <c r="FZ22" s="850"/>
      <c r="GA22" s="850"/>
      <c r="GB22" s="850"/>
    </row>
    <row r="23" spans="1:184" s="3836" customFormat="1" ht="12" customHeight="1">
      <c r="A23" s="969"/>
      <c r="B23" s="969"/>
      <c r="C23" s="969"/>
      <c r="D23" s="969"/>
      <c r="E23" s="969"/>
      <c r="O23" s="970"/>
      <c r="P23" s="970"/>
      <c r="Q23" s="970"/>
      <c r="R23" s="970"/>
      <c r="S23" s="970"/>
      <c r="T23" s="970"/>
      <c r="U23" s="970"/>
      <c r="V23" s="970"/>
      <c r="W23" s="970"/>
      <c r="X23" s="970"/>
      <c r="Y23" s="970"/>
      <c r="Z23" s="970"/>
      <c r="AA23" s="970"/>
      <c r="AB23" s="970"/>
      <c r="AC23" s="970"/>
      <c r="AD23" s="970"/>
      <c r="AE23" s="970"/>
      <c r="AF23" s="970"/>
      <c r="AG23" s="970"/>
      <c r="AH23" s="970"/>
      <c r="AI23" s="970"/>
      <c r="AJ23" s="970"/>
      <c r="AK23" s="970"/>
      <c r="AL23" s="970"/>
      <c r="AM23" s="970"/>
      <c r="AN23" s="970"/>
      <c r="AO23" s="970"/>
      <c r="AP23" s="970"/>
      <c r="AQ23" s="970"/>
      <c r="AR23" s="970"/>
      <c r="AS23" s="970"/>
      <c r="AT23" s="970"/>
      <c r="AU23" s="970"/>
      <c r="AV23" s="970"/>
      <c r="AW23" s="970"/>
      <c r="AX23" s="970"/>
      <c r="AY23" s="970"/>
      <c r="AZ23" s="970"/>
      <c r="BA23" s="970"/>
      <c r="BB23" s="970"/>
      <c r="BC23" s="970"/>
      <c r="BD23" s="970"/>
      <c r="BE23" s="970"/>
      <c r="BF23" s="970"/>
      <c r="BG23" s="970"/>
      <c r="BH23" s="970"/>
      <c r="BI23" s="970"/>
      <c r="BJ23" s="970"/>
      <c r="BK23" s="970"/>
      <c r="BL23" s="970"/>
      <c r="BM23" s="970"/>
      <c r="BN23" s="970"/>
      <c r="BO23" s="970"/>
      <c r="BP23" s="970"/>
      <c r="BQ23" s="970"/>
      <c r="BR23" s="970"/>
      <c r="BS23" s="970"/>
      <c r="BT23" s="971"/>
      <c r="BU23" s="971"/>
      <c r="BV23" s="971"/>
      <c r="BW23" s="971"/>
      <c r="BX23" s="971"/>
      <c r="BY23" s="971"/>
      <c r="BZ23" s="971"/>
      <c r="CA23" s="971"/>
      <c r="CB23" s="971"/>
      <c r="CC23" s="971"/>
      <c r="CD23" s="971"/>
      <c r="CE23" s="971"/>
      <c r="CF23" s="971"/>
      <c r="CG23" s="971"/>
      <c r="CH23" s="971"/>
      <c r="CI23" s="971"/>
      <c r="CJ23" s="971"/>
      <c r="CK23" s="971"/>
      <c r="CL23" s="971"/>
      <c r="CM23" s="971"/>
      <c r="CN23" s="971"/>
      <c r="CO23" s="971"/>
      <c r="CP23" s="971"/>
      <c r="CQ23" s="971"/>
      <c r="CR23" s="971"/>
      <c r="CS23" s="971"/>
      <c r="CT23" s="971"/>
      <c r="CU23" s="971"/>
      <c r="CV23" s="971"/>
      <c r="CW23" s="971"/>
      <c r="CX23" s="971"/>
      <c r="CY23" s="971"/>
      <c r="CZ23" s="971"/>
      <c r="DA23" s="971"/>
      <c r="DB23" s="971"/>
      <c r="DC23" s="971"/>
      <c r="DD23" s="971"/>
      <c r="DE23" s="971"/>
      <c r="DF23" s="971"/>
      <c r="DG23" s="971"/>
      <c r="DH23" s="971"/>
      <c r="DI23" s="971"/>
      <c r="DJ23" s="971"/>
      <c r="DK23" s="971"/>
      <c r="DL23" s="971"/>
      <c r="DM23" s="971"/>
      <c r="DN23" s="971"/>
      <c r="DO23" s="971"/>
      <c r="DP23" s="971"/>
      <c r="DQ23" s="971"/>
      <c r="DR23" s="971"/>
      <c r="DS23" s="971"/>
      <c r="DT23" s="971"/>
      <c r="DU23" s="971"/>
      <c r="DV23" s="971"/>
      <c r="DW23" s="971"/>
      <c r="DX23" s="971"/>
      <c r="FX23" s="969"/>
      <c r="FY23" s="969"/>
      <c r="FZ23" s="969"/>
      <c r="GA23" s="969"/>
      <c r="GB23" s="969"/>
    </row>
    <row r="24" spans="1:184" ht="12" customHeight="1">
      <c r="S24" s="847"/>
      <c r="T24" s="847"/>
      <c r="U24" s="847"/>
      <c r="V24" s="847"/>
      <c r="W24" s="847"/>
      <c r="X24" s="847"/>
      <c r="Y24" s="847"/>
      <c r="Z24" s="847"/>
      <c r="AA24" s="847"/>
      <c r="AB24" s="847"/>
      <c r="FX24" s="847"/>
      <c r="FY24" s="847"/>
      <c r="FZ24" s="847"/>
      <c r="GA24" s="847"/>
      <c r="GB24" s="847"/>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935" hidden="1" customWidth="1"/>
    <col min="2" max="2" width="9.140625" style="1937" hidden="1" customWidth="1"/>
    <col min="3" max="3" width="4.7109375" style="3824" customWidth="1"/>
    <col min="4" max="4" width="6.28515625" style="1937" customWidth="1"/>
    <col min="5" max="5" width="36.7109375" style="1937" customWidth="1"/>
    <col min="6" max="6" width="9.5703125" style="1937" customWidth="1"/>
    <col min="7" max="7" width="42.42578125" style="1824" hidden="1" customWidth="1"/>
    <col min="8" max="8" width="40.7109375" style="1937" customWidth="1"/>
    <col min="9" max="9" width="93.42578125" style="1825" customWidth="1"/>
    <col min="10" max="17" width="10.5703125" style="1937"/>
    <col min="18" max="18" width="10.5703125" style="3823"/>
  </cols>
  <sheetData>
    <row r="1" spans="1:18" s="1825" customFormat="1" ht="15" hidden="1" customHeight="1">
      <c r="C1" s="593"/>
      <c r="H1" s="351">
        <v>4</v>
      </c>
      <c r="R1" s="353"/>
    </row>
    <row r="2" spans="1:18" ht="22.5" hidden="1" customHeight="1">
      <c r="D2" s="464"/>
      <c r="E2" s="584"/>
      <c r="F2" s="1671" t="str">
        <f>IF(TEMPLATE_SPHERE="HEAT","Гкал/час","тыс. куб. м/сутки")</f>
        <v>Гкал/час</v>
      </c>
      <c r="G2" s="601"/>
      <c r="H2" s="601"/>
      <c r="I2" s="208"/>
    </row>
    <row r="3" spans="1:18" s="1825" customFormat="1" ht="15" hidden="1" customHeight="1">
      <c r="C3" s="593"/>
      <c r="R3" s="353"/>
    </row>
    <row r="4" spans="1:18" ht="15" customHeight="1">
      <c r="C4" s="97"/>
      <c r="D4" s="435"/>
      <c r="E4" s="435"/>
      <c r="F4" s="435"/>
      <c r="G4" s="435"/>
      <c r="H4" s="435"/>
    </row>
    <row r="5" spans="1:18" ht="37.5" customHeight="1">
      <c r="C5" s="97"/>
      <c r="D5" s="405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4058"/>
      <c r="F5" s="4058"/>
      <c r="G5" s="4058"/>
      <c r="H5" s="4058"/>
      <c r="I5" s="462"/>
    </row>
    <row r="6" spans="1:18" ht="15" customHeight="1">
      <c r="C6" s="97"/>
      <c r="D6" s="4004" t="str">
        <f>IF(org=0,"Не определено",org)</f>
        <v>ООО «РИР-Сахалин»</v>
      </c>
      <c r="E6" s="4004"/>
      <c r="F6" s="4004"/>
      <c r="G6" s="4004"/>
      <c r="H6" s="4004"/>
      <c r="I6" s="462"/>
    </row>
    <row r="7" spans="1:18" s="1824" customFormat="1" ht="15" customHeight="1">
      <c r="A7" s="676"/>
      <c r="C7" s="97"/>
      <c r="D7" s="597"/>
      <c r="E7" s="597"/>
      <c r="F7" s="597"/>
      <c r="G7" s="597"/>
      <c r="H7" s="669"/>
      <c r="I7" s="462"/>
      <c r="R7" s="596"/>
    </row>
    <row r="8" spans="1:18" ht="0.75" customHeight="1">
      <c r="C8" s="97"/>
      <c r="D8" s="435"/>
      <c r="E8" s="435"/>
      <c r="F8" s="435"/>
      <c r="G8" s="435"/>
      <c r="H8" s="462" t="s">
        <v>115</v>
      </c>
    </row>
    <row r="9" spans="1:18" ht="15" customHeight="1">
      <c r="C9" s="97"/>
      <c r="D9" s="630"/>
      <c r="E9" s="4148" t="s">
        <v>103</v>
      </c>
      <c r="F9" s="4149"/>
      <c r="G9" s="733" t="str">
        <f>IF(G8="","",INDEX(DIFFERENTIATION_UNMERGE_VD,MATCH(G8,DIFFERENTIATION_ID_DIFF,0)))</f>
        <v/>
      </c>
      <c r="H9" s="733">
        <f>IF(H8="","",INDEX(DIFFERENTIATION_UNMERGE_VD,MATCH(H8,DIFFERENTIATION_ID_DIFF,0)))</f>
        <v>0</v>
      </c>
      <c r="I9" s="3946" t="s">
        <v>291</v>
      </c>
    </row>
    <row r="10" spans="1:18" s="1824" customFormat="1" ht="15" customHeight="1">
      <c r="A10" s="676"/>
      <c r="C10" s="97"/>
      <c r="D10" s="630"/>
      <c r="E10" s="4148" t="s">
        <v>547</v>
      </c>
      <c r="F10" s="4149"/>
      <c r="G10" s="733" t="str">
        <f>IF(G8="","",INDEX(DIFFERENTIATION_UNMERGE_AREA,MATCH(G8,DIFFERENTIATION_ID_DIFF,0)))</f>
        <v/>
      </c>
      <c r="H10" s="733" t="str">
        <f>IF(H8="","",INDEX(DIFFERENTIATION_UNMERGE_AREA,MATCH(H8,DIFFERENTIATION_ID_DIFF,0)))</f>
        <v/>
      </c>
      <c r="I10" s="3946"/>
      <c r="R10" s="596"/>
    </row>
    <row r="11" spans="1:18" s="1824" customFormat="1" ht="15" customHeight="1">
      <c r="A11" s="676"/>
      <c r="C11" s="97"/>
      <c r="D11" s="630"/>
      <c r="E11" s="4148" t="s">
        <v>548</v>
      </c>
      <c r="F11" s="4149"/>
      <c r="G11" s="733" t="str">
        <f>IF(G8="","",INDEX(DIFFERENTIATION_UNMERGE_SYSTEM,MATCH(G8,DIFFERENTIATION_ID_DIFF,0)))</f>
        <v/>
      </c>
      <c r="H11" s="733" t="str">
        <f>IF(H8="","",INDEX(DIFFERENTIATION_UNMERGE_SYSTEM,MATCH(H8,DIFFERENTIATION_ID_DIFF,0)))</f>
        <v>без дифференциации</v>
      </c>
      <c r="I11" s="3946"/>
      <c r="R11" s="596"/>
    </row>
    <row r="12" spans="1:18" s="1824" customFormat="1" ht="15" customHeight="1">
      <c r="A12" s="676"/>
      <c r="C12" s="97"/>
      <c r="D12" s="4150" t="s">
        <v>290</v>
      </c>
      <c r="E12" s="4151"/>
      <c r="F12" s="4151"/>
      <c r="G12" s="800"/>
      <c r="H12" s="800"/>
      <c r="I12" s="3946"/>
      <c r="R12" s="596"/>
    </row>
    <row r="13" spans="1:18" ht="33.75" customHeight="1">
      <c r="C13" s="97"/>
      <c r="D13" s="678" t="s">
        <v>86</v>
      </c>
      <c r="E13" s="677" t="s">
        <v>292</v>
      </c>
      <c r="F13" s="677" t="s">
        <v>549</v>
      </c>
      <c r="G13" s="725" t="s">
        <v>293</v>
      </c>
      <c r="H13" s="671" t="s">
        <v>293</v>
      </c>
      <c r="I13" s="3946"/>
    </row>
    <row r="14" spans="1:18" ht="15" hidden="1" customHeight="1">
      <c r="C14" s="97"/>
      <c r="D14" s="516" t="s">
        <v>107</v>
      </c>
      <c r="E14" s="516" t="s">
        <v>108</v>
      </c>
      <c r="F14" s="516" t="s">
        <v>88</v>
      </c>
      <c r="G14" s="580" t="str">
        <f>G1&amp;".1"</f>
        <v>.1</v>
      </c>
      <c r="H14" s="580" t="str">
        <f>H1&amp;".1"</f>
        <v>4.1</v>
      </c>
      <c r="I14" s="208"/>
    </row>
    <row r="15" spans="1:18" ht="15" customHeight="1">
      <c r="A15" s="431"/>
      <c r="C15" s="452"/>
      <c r="D15" s="447">
        <v>1</v>
      </c>
      <c r="E15" s="598" t="str">
        <f>TP_P_A</f>
        <v>Количество поданных заявок</v>
      </c>
      <c r="F15" s="447" t="s">
        <v>1012</v>
      </c>
      <c r="G15" s="605"/>
      <c r="H15" s="605"/>
      <c r="I15" s="1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31"/>
      <c r="C16" s="452"/>
      <c r="D16" s="447">
        <v>2</v>
      </c>
      <c r="E16" s="199" t="str">
        <f>TP_P_B</f>
        <v>Количество рассмотренных заявок</v>
      </c>
      <c r="F16" s="447" t="s">
        <v>1012</v>
      </c>
      <c r="G16" s="605"/>
      <c r="H16" s="605"/>
      <c r="I16" s="1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31"/>
      <c r="C17" s="452"/>
      <c r="D17" s="447">
        <v>3</v>
      </c>
      <c r="E17" s="19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7" t="s">
        <v>1012</v>
      </c>
      <c r="G17" s="605"/>
      <c r="H17" s="605"/>
      <c r="I17" s="129" t="str">
        <f>TP_P_NOTE_V</f>
        <v>Указывается количество заявок с решением об отказе в течение отчетного квартала.</v>
      </c>
    </row>
    <row r="18" spans="1:18" ht="36" customHeight="1">
      <c r="A18" s="431"/>
      <c r="C18" s="452"/>
      <c r="D18" s="447">
        <v>4</v>
      </c>
      <c r="E18" s="199" t="str">
        <f>TP_P_V_1</f>
        <v>Причины отказа в заключении договора о подключении (технологическом присоединении) к системе теплоснабжения</v>
      </c>
      <c r="F18" s="447" t="s">
        <v>296</v>
      </c>
      <c r="G18" s="606"/>
      <c r="H18" s="606"/>
      <c r="I18" s="755"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1"/>
      <c r="C19" s="452"/>
      <c r="D19" s="447">
        <v>5</v>
      </c>
      <c r="E19" s="199" t="str">
        <f>TP_P_G</f>
        <v>Резерв мощности источников тепловой энергии, входящих в систему теплоснабжения, в течение одного квартала, в том числе:</v>
      </c>
      <c r="F19" s="447" t="str">
        <f>IF(TEMPLATE_SPHERE="HEAT","Гкал/час","тыс. куб. м/сутки")</f>
        <v>Гкал/час</v>
      </c>
      <c r="G19" s="607">
        <f>SUM(G20:G22)</f>
        <v>0</v>
      </c>
      <c r="H19" s="607">
        <f>SUM(H20:H22)</f>
        <v>0</v>
      </c>
      <c r="I19" s="12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5" t="s">
        <v>1013</v>
      </c>
      <c r="E20" s="608"/>
      <c r="F20" s="435"/>
      <c r="G20" s="435"/>
      <c r="H20" s="435"/>
      <c r="I20" s="1673"/>
    </row>
    <row r="21" spans="1:18" ht="27.75" customHeight="1">
      <c r="C21" s="382"/>
      <c r="D21" s="464" t="s">
        <v>305</v>
      </c>
      <c r="E21" s="591"/>
      <c r="F21" s="1671" t="str">
        <f>IF(TEMPLATE_SPHERE="HEAT","Гкал/час","тыс. куб. м/сутки")</f>
        <v>Гкал/час</v>
      </c>
      <c r="G21" s="601"/>
      <c r="H21" s="601"/>
      <c r="I21" s="3990"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31"/>
      <c r="C22" s="431"/>
      <c r="D22" s="273"/>
      <c r="E22" s="505" t="s">
        <v>1014</v>
      </c>
      <c r="F22" s="497"/>
      <c r="G22" s="497"/>
      <c r="H22" s="497"/>
      <c r="I22" s="3992"/>
      <c r="R22" s="431"/>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3842" hidden="1" customWidth="1"/>
    <col min="2" max="2" width="9.140625" style="3840" hidden="1" customWidth="1"/>
    <col min="3" max="3" width="3.7109375" style="3843" customWidth="1"/>
    <col min="4" max="4" width="6.28515625" style="1835" customWidth="1"/>
    <col min="5" max="6" width="64.140625" style="1835" customWidth="1"/>
    <col min="7" max="7" width="141.140625" style="1835" customWidth="1"/>
    <col min="8" max="8" width="10.5703125" style="1835"/>
    <col min="9" max="10" width="10.5703125" style="1827"/>
    <col min="11" max="16" width="10.5703125" style="1835"/>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397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3979"/>
      <c r="F5" s="3979"/>
      <c r="G5" s="3980"/>
    </row>
    <row r="6" spans="1:16" s="1824" customFormat="1" ht="18" customHeight="1">
      <c r="A6" s="795"/>
      <c r="B6" s="351"/>
      <c r="C6" s="305"/>
      <c r="D6" s="4038" t="str">
        <f>IF(org=0,"Не определено",org)</f>
        <v>ООО «РИР-Сахалин»</v>
      </c>
      <c r="E6" s="4039"/>
      <c r="F6" s="4039"/>
      <c r="G6" s="4040"/>
      <c r="I6" s="426"/>
      <c r="J6" s="426"/>
    </row>
    <row r="7" spans="1:16" ht="14.25" customHeight="1">
      <c r="C7" s="30"/>
      <c r="D7" s="18"/>
      <c r="E7" s="29"/>
      <c r="F7" s="669"/>
      <c r="G7" s="114"/>
    </row>
    <row r="8" spans="1:16" s="1923" customFormat="1" ht="0.75" customHeight="1">
      <c r="A8" s="1580"/>
      <c r="B8" s="1060"/>
      <c r="C8" s="305"/>
      <c r="D8" s="290"/>
      <c r="E8" s="323"/>
      <c r="F8" s="669"/>
      <c r="G8" s="114"/>
      <c r="I8" s="1536"/>
      <c r="J8" s="1536"/>
    </row>
    <row r="9" spans="1:16" ht="14.25" customHeight="1">
      <c r="C9" s="30"/>
      <c r="D9" s="4033" t="s">
        <v>290</v>
      </c>
      <c r="E9" s="4033"/>
      <c r="F9" s="4033"/>
      <c r="G9" s="4217" t="s">
        <v>291</v>
      </c>
    </row>
    <row r="10" spans="1:16" ht="14.25" customHeight="1">
      <c r="C10" s="30"/>
      <c r="D10" s="36" t="s">
        <v>86</v>
      </c>
      <c r="E10" s="39" t="s">
        <v>292</v>
      </c>
      <c r="F10" s="39" t="s">
        <v>382</v>
      </c>
      <c r="G10" s="4217"/>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9" t="s">
        <v>296</v>
      </c>
      <c r="G12" s="75"/>
    </row>
    <row r="13" spans="1:16" ht="22.5" customHeight="1">
      <c r="A13" s="113"/>
      <c r="C13" s="30"/>
      <c r="D13" s="71" t="s">
        <v>919</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296</v>
      </c>
      <c r="G13" s="75"/>
    </row>
    <row r="14" spans="1:16" ht="14.25" customHeight="1">
      <c r="A14" s="113"/>
      <c r="C14" s="30"/>
      <c r="D14" s="71" t="s">
        <v>955</v>
      </c>
      <c r="E14" s="116"/>
      <c r="F14" s="134"/>
      <c r="G14" s="399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4" t="s">
        <v>1015</v>
      </c>
      <c r="F15" s="122"/>
      <c r="G15" s="3992"/>
    </row>
    <row r="16" spans="1:16" ht="14.25" customHeight="1">
      <c r="A16" s="113"/>
      <c r="C16" s="30"/>
      <c r="D16" s="71" t="s">
        <v>921</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9" t="s">
        <v>296</v>
      </c>
      <c r="G16" s="264"/>
    </row>
    <row r="17" spans="1:16" ht="14.25" customHeight="1">
      <c r="A17" s="113"/>
      <c r="C17" s="30"/>
      <c r="D17" s="71" t="s">
        <v>963</v>
      </c>
      <c r="E17" s="116"/>
      <c r="F17" s="319"/>
      <c r="G17" s="399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3839" customFormat="1" ht="21" customHeight="1">
      <c r="A18" s="269"/>
      <c r="B18" s="70"/>
      <c r="C18" s="227"/>
      <c r="D18" s="273"/>
      <c r="E18" s="274" t="s">
        <v>1016</v>
      </c>
      <c r="F18" s="265"/>
      <c r="G18" s="3992"/>
      <c r="I18" s="275"/>
      <c r="J18" s="275"/>
    </row>
    <row r="19" spans="1:16" s="1824" customFormat="1" ht="256.5" hidden="1" customHeight="1">
      <c r="A19" s="269"/>
      <c r="B19" s="351"/>
      <c r="C19" s="305"/>
      <c r="D19" s="797" t="s">
        <v>923</v>
      </c>
      <c r="E19" s="796" t="s">
        <v>1017</v>
      </c>
      <c r="F19" s="319"/>
      <c r="G19" s="264" t="s">
        <v>1018</v>
      </c>
      <c r="I19" s="426"/>
      <c r="J19" s="426"/>
    </row>
    <row r="20" spans="1:16" s="3839" customFormat="1" ht="14.25" customHeight="1">
      <c r="A20" s="269"/>
      <c r="B20" s="70"/>
      <c r="C20" s="227"/>
      <c r="D20" s="798">
        <v>2</v>
      </c>
      <c r="E20" s="257" t="s">
        <v>1019</v>
      </c>
      <c r="F20" s="119" t="s">
        <v>296</v>
      </c>
      <c r="G20" s="264"/>
      <c r="I20" s="275"/>
      <c r="J20" s="275"/>
    </row>
    <row r="21" spans="1:16" s="3839" customFormat="1" ht="18.75" hidden="1" customHeight="1">
      <c r="A21" s="269"/>
      <c r="B21" s="70"/>
      <c r="C21" s="227"/>
      <c r="D21" s="260" t="s">
        <v>849</v>
      </c>
      <c r="E21" s="259"/>
      <c r="F21" s="258"/>
      <c r="G21" s="268"/>
      <c r="H21" s="261"/>
      <c r="I21" s="275"/>
      <c r="J21" s="275"/>
    </row>
    <row r="22" spans="1:16" ht="15" customHeight="1">
      <c r="A22" s="113"/>
      <c r="C22" s="30"/>
      <c r="D22" s="40"/>
      <c r="E22" s="124" t="s">
        <v>1020</v>
      </c>
      <c r="F22" s="265"/>
      <c r="G22" s="266"/>
    </row>
    <row r="23" spans="1:16" s="1923" customFormat="1" ht="22.5" hidden="1" customHeight="1">
      <c r="A23" s="269"/>
      <c r="B23" s="1060"/>
      <c r="C23" s="305"/>
      <c r="D23" s="1584" t="s">
        <v>108</v>
      </c>
      <c r="E23" s="118" t="s">
        <v>1021</v>
      </c>
      <c r="F23" s="1581" t="s">
        <v>296</v>
      </c>
      <c r="G23" s="271"/>
      <c r="I23" s="1536"/>
      <c r="J23" s="1536"/>
    </row>
    <row r="24" spans="1:16" s="1923" customFormat="1" ht="14.25" hidden="1" customHeight="1">
      <c r="A24" s="269"/>
      <c r="B24" s="1060"/>
      <c r="C24" s="305"/>
      <c r="D24" s="1584" t="s">
        <v>605</v>
      </c>
      <c r="E24" s="1583" t="s">
        <v>1022</v>
      </c>
      <c r="F24" s="1581" t="s">
        <v>296</v>
      </c>
      <c r="G24" s="264"/>
      <c r="I24" s="1536"/>
      <c r="J24" s="1536"/>
    </row>
    <row r="25" spans="1:16" s="1923" customFormat="1" ht="14.25" hidden="1" customHeight="1">
      <c r="A25" s="269"/>
      <c r="B25" s="1060"/>
      <c r="C25" s="305"/>
      <c r="D25" s="1584" t="s">
        <v>608</v>
      </c>
      <c r="E25" s="116"/>
      <c r="F25" s="319"/>
      <c r="G25" s="3990" t="s">
        <v>1023</v>
      </c>
      <c r="I25" s="1536"/>
      <c r="J25" s="1536"/>
    </row>
    <row r="26" spans="1:16" s="1923" customFormat="1" ht="22.5" hidden="1" customHeight="1">
      <c r="A26" s="269"/>
      <c r="B26" s="1060"/>
      <c r="C26" s="305"/>
      <c r="D26" s="273"/>
      <c r="E26" s="274" t="s">
        <v>1024</v>
      </c>
      <c r="F26" s="265"/>
      <c r="G26" s="3992"/>
      <c r="I26" s="1536"/>
      <c r="J26" s="1536"/>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7"/>
    </row>
    <row r="31" spans="1:16" ht="14.25" customHeight="1">
      <c r="E31" s="675"/>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2555" hidden="1" customWidth="1"/>
    <col min="2" max="2" width="9.140625" style="3840" hidden="1" customWidth="1"/>
    <col min="3" max="3" width="3.7109375" style="3843" customWidth="1"/>
    <col min="4" max="4" width="6.28515625" style="1835" customWidth="1"/>
    <col min="5" max="5" width="63.42578125" style="1835" customWidth="1"/>
    <col min="6" max="6" width="1.7109375" style="1835" hidden="1" customWidth="1"/>
    <col min="7" max="8" width="35.7109375" style="1835" customWidth="1"/>
    <col min="9" max="9" width="91.5703125" style="1835" customWidth="1"/>
    <col min="10" max="10" width="68.85546875" style="1835" customWidth="1"/>
    <col min="11" max="12" width="10.5703125" style="1827"/>
  </cols>
  <sheetData>
    <row r="1" spans="1:12" ht="14.25" hidden="1" customHeight="1"/>
    <row r="2" spans="1:12" s="1923" customFormat="1" ht="18.75" hidden="1" customHeight="1">
      <c r="A2" s="1594"/>
      <c r="B2" s="1060"/>
      <c r="C2" s="1640" t="s">
        <v>417</v>
      </c>
      <c r="D2" s="1584"/>
      <c r="E2" s="120"/>
      <c r="F2" s="1581"/>
      <c r="G2" s="1581" t="s">
        <v>296</v>
      </c>
      <c r="H2" s="1061"/>
      <c r="K2" s="1536"/>
      <c r="L2" s="1536"/>
    </row>
    <row r="3" spans="1:12" s="1923" customFormat="1" ht="14.25" hidden="1" customHeight="1">
      <c r="A3" s="1278"/>
      <c r="B3" s="1060"/>
      <c r="C3" s="270"/>
      <c r="K3" s="1536"/>
      <c r="L3" s="1536"/>
    </row>
    <row r="4" spans="1:12" s="1923" customFormat="1" ht="18.75" hidden="1" customHeight="1">
      <c r="A4" s="1594"/>
      <c r="B4" s="1060"/>
      <c r="C4" s="1640" t="s">
        <v>417</v>
      </c>
      <c r="D4" s="1584"/>
      <c r="E4" s="126" t="s">
        <v>1025</v>
      </c>
      <c r="F4" s="1581"/>
      <c r="G4" s="176"/>
      <c r="H4" s="1581" t="s">
        <v>296</v>
      </c>
      <c r="K4" s="1536"/>
      <c r="L4" s="1536"/>
    </row>
    <row r="5" spans="1:12" s="1923" customFormat="1" ht="14.25" hidden="1" customHeight="1">
      <c r="A5" s="1278"/>
      <c r="B5" s="1060"/>
      <c r="C5" s="270"/>
      <c r="K5" s="1536"/>
      <c r="L5" s="1536"/>
    </row>
    <row r="6" spans="1:12" s="1923" customFormat="1" ht="18.75" hidden="1" customHeight="1">
      <c r="A6" s="1594"/>
      <c r="B6" s="1060"/>
      <c r="C6" s="1640" t="s">
        <v>417</v>
      </c>
      <c r="D6" s="1584"/>
      <c r="E6" s="127" t="s">
        <v>1026</v>
      </c>
      <c r="F6" s="1581"/>
      <c r="G6" s="176"/>
      <c r="H6" s="1581" t="s">
        <v>296</v>
      </c>
      <c r="K6" s="1536"/>
      <c r="L6" s="1536"/>
    </row>
    <row r="7" spans="1:12" s="1923" customFormat="1" ht="14.25" hidden="1" customHeight="1">
      <c r="A7" s="1278"/>
      <c r="B7" s="1060"/>
      <c r="C7" s="270"/>
      <c r="K7" s="1536"/>
      <c r="L7" s="1536"/>
    </row>
    <row r="8" spans="1:12" s="1923" customFormat="1" ht="18.75" hidden="1" customHeight="1">
      <c r="A8" s="1594"/>
      <c r="B8" s="1060"/>
      <c r="C8" s="1640" t="s">
        <v>417</v>
      </c>
      <c r="D8" s="1584"/>
      <c r="E8" s="127" t="s">
        <v>1027</v>
      </c>
      <c r="F8" s="1581"/>
      <c r="G8" s="176"/>
      <c r="H8" s="1581" t="s">
        <v>296</v>
      </c>
      <c r="K8" s="1536"/>
      <c r="L8" s="1536"/>
    </row>
    <row r="9" spans="1:12" s="1923" customFormat="1" ht="14.25" hidden="1" customHeight="1">
      <c r="A9" s="1278"/>
      <c r="B9" s="1060"/>
      <c r="C9" s="270"/>
      <c r="K9" s="1536"/>
      <c r="L9" s="1536"/>
    </row>
    <row r="10" spans="1:12" s="1923" customFormat="1" ht="18.75" hidden="1" customHeight="1">
      <c r="A10" s="1594"/>
      <c r="B10" s="1060"/>
      <c r="C10" s="1640" t="s">
        <v>417</v>
      </c>
      <c r="D10" s="1584"/>
      <c r="E10" s="127" t="s">
        <v>1028</v>
      </c>
      <c r="F10" s="1581"/>
      <c r="G10" s="1585"/>
      <c r="H10" s="1581" t="s">
        <v>296</v>
      </c>
      <c r="K10" s="1536"/>
      <c r="L10" s="1536" t="s">
        <v>1029</v>
      </c>
    </row>
    <row r="11" spans="1:12" ht="14.25" hidden="1" customHeight="1"/>
    <row r="12" spans="1:12" ht="14.25" hidden="1" customHeight="1"/>
    <row r="13" spans="1:12" ht="14.25" customHeight="1">
      <c r="C13" s="30"/>
      <c r="D13" s="18"/>
      <c r="E13" s="18"/>
      <c r="F13" s="18"/>
      <c r="G13" s="18"/>
      <c r="H13" s="19"/>
      <c r="I13" s="19"/>
    </row>
    <row r="14" spans="1:12" ht="27.75" customHeight="1">
      <c r="C14" s="30"/>
      <c r="D14" s="397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3979"/>
      <c r="F14" s="3979"/>
      <c r="G14" s="3979"/>
      <c r="H14" s="3980"/>
      <c r="J14" s="1543"/>
    </row>
    <row r="15" spans="1:12" s="1923" customFormat="1" ht="14.25" customHeight="1">
      <c r="A15" s="1278"/>
      <c r="B15" s="1060"/>
      <c r="C15" s="305"/>
      <c r="D15" s="4038" t="str">
        <f>IF(org=0,"Не определено",org)</f>
        <v>ООО «РИР-Сахалин»</v>
      </c>
      <c r="E15" s="4039"/>
      <c r="F15" s="4039"/>
      <c r="G15" s="4039"/>
      <c r="H15" s="4040"/>
      <c r="J15" s="765"/>
      <c r="K15" s="1536"/>
      <c r="L15" s="1536"/>
    </row>
    <row r="16" spans="1:12" ht="14.25" customHeight="1">
      <c r="C16" s="30"/>
      <c r="D16" s="18"/>
      <c r="E16" s="29"/>
      <c r="F16" s="29"/>
      <c r="G16" s="29"/>
      <c r="H16" s="669"/>
      <c r="I16" s="114"/>
    </row>
    <row r="17" spans="1:12" s="1923" customFormat="1" ht="14.25" hidden="1" customHeight="1">
      <c r="A17" s="1278"/>
      <c r="B17" s="1060"/>
      <c r="C17" s="305"/>
      <c r="D17" s="290"/>
      <c r="E17" s="323"/>
      <c r="F17" s="323"/>
      <c r="G17" s="323"/>
      <c r="H17" s="669"/>
      <c r="I17" s="114"/>
      <c r="K17" s="1536"/>
      <c r="L17" s="1536"/>
    </row>
    <row r="18" spans="1:12" ht="21" customHeight="1">
      <c r="C18" s="30"/>
      <c r="D18" s="4033" t="s">
        <v>290</v>
      </c>
      <c r="E18" s="4033"/>
      <c r="F18" s="4033"/>
      <c r="G18" s="4033"/>
      <c r="H18" s="4033"/>
      <c r="I18" s="4217" t="s">
        <v>291</v>
      </c>
    </row>
    <row r="19" spans="1:12" ht="21" customHeight="1">
      <c r="C19" s="30"/>
      <c r="D19" s="36" t="s">
        <v>86</v>
      </c>
      <c r="E19" s="39" t="s">
        <v>292</v>
      </c>
      <c r="F19" s="39"/>
      <c r="G19" s="39" t="s">
        <v>293</v>
      </c>
      <c r="H19" s="39" t="s">
        <v>382</v>
      </c>
      <c r="I19" s="4217"/>
    </row>
    <row r="20" spans="1:12" ht="12" hidden="1" customHeight="1">
      <c r="C20" s="30"/>
      <c r="D20" s="21"/>
      <c r="E20" s="21"/>
      <c r="F20" s="21"/>
      <c r="G20" s="21"/>
      <c r="H20" s="21"/>
      <c r="I20" s="21"/>
    </row>
    <row r="21" spans="1:12" ht="14.25" customHeight="1">
      <c r="A21" s="1594"/>
      <c r="C21" s="30"/>
      <c r="D21" s="71">
        <v>1</v>
      </c>
      <c r="E21" s="4218" t="s">
        <v>1030</v>
      </c>
      <c r="F21" s="4218"/>
      <c r="G21" s="4218"/>
      <c r="H21" s="4218"/>
      <c r="I21" s="129"/>
    </row>
    <row r="22" spans="1:12" ht="20.25" customHeight="1">
      <c r="A22" s="1594"/>
      <c r="C22" s="30"/>
      <c r="D22" s="71" t="s">
        <v>919</v>
      </c>
      <c r="E22" s="115" t="s">
        <v>1031</v>
      </c>
      <c r="F22" s="119"/>
      <c r="G22" s="1647"/>
      <c r="H22" s="119" t="s">
        <v>296</v>
      </c>
      <c r="I22" s="75" t="s">
        <v>1032</v>
      </c>
    </row>
    <row r="23" spans="1:12" ht="45" customHeight="1">
      <c r="A23" s="1594"/>
      <c r="C23" s="30"/>
      <c r="D23" s="71" t="s">
        <v>921</v>
      </c>
      <c r="E23" s="115" t="s">
        <v>1033</v>
      </c>
      <c r="F23" s="119"/>
      <c r="G23" s="176"/>
      <c r="H23" s="134"/>
      <c r="I23" s="177" t="s">
        <v>1034</v>
      </c>
    </row>
    <row r="24" spans="1:12" ht="14.25" customHeight="1">
      <c r="A24" s="1594"/>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9"/>
      <c r="G24" s="119" t="s">
        <v>296</v>
      </c>
      <c r="H24" s="134"/>
      <c r="I24" s="178" t="s">
        <v>786</v>
      </c>
    </row>
    <row r="25" spans="1:12" ht="46.5" customHeight="1">
      <c r="A25" s="1594"/>
      <c r="C25" s="30"/>
      <c r="D25" s="71">
        <v>3</v>
      </c>
      <c r="E25" s="421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4218"/>
      <c r="G25" s="4218"/>
      <c r="H25" s="4218"/>
      <c r="I25" s="175"/>
    </row>
    <row r="26" spans="1:12" ht="14.25" customHeight="1">
      <c r="A26" s="1594"/>
      <c r="C26" s="30"/>
      <c r="D26" s="71" t="s">
        <v>316</v>
      </c>
      <c r="E26" s="120"/>
      <c r="F26" s="119"/>
      <c r="G26" s="119" t="s">
        <v>296</v>
      </c>
      <c r="H26" s="134"/>
      <c r="I26" s="3990" t="s">
        <v>1035</v>
      </c>
    </row>
    <row r="27" spans="1:12" ht="15" customHeight="1">
      <c r="A27" s="1594" t="s">
        <v>107</v>
      </c>
      <c r="C27" s="30"/>
      <c r="D27" s="40"/>
      <c r="E27" s="124" t="s">
        <v>1020</v>
      </c>
      <c r="F27" s="125"/>
      <c r="G27" s="125"/>
      <c r="H27" s="122"/>
      <c r="I27" s="3992"/>
    </row>
    <row r="28" spans="1:12" ht="38.25" customHeight="1">
      <c r="A28" s="1594"/>
      <c r="B28" s="70">
        <v>3</v>
      </c>
      <c r="C28" s="30"/>
      <c r="D28" s="71">
        <v>4</v>
      </c>
      <c r="E28" s="421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4218"/>
      <c r="G28" s="4218"/>
      <c r="H28" s="4218"/>
      <c r="I28" s="175"/>
    </row>
    <row r="29" spans="1:12" ht="20.25" customHeight="1">
      <c r="A29" s="1594"/>
      <c r="C29" s="30"/>
      <c r="D29" s="71" t="s">
        <v>650</v>
      </c>
      <c r="E29" s="126" t="s">
        <v>1025</v>
      </c>
      <c r="F29" s="119"/>
      <c r="G29" s="176"/>
      <c r="H29" s="119" t="s">
        <v>296</v>
      </c>
      <c r="I29" s="3990" t="s">
        <v>1036</v>
      </c>
    </row>
    <row r="30" spans="1:12" ht="15" customHeight="1">
      <c r="A30" s="1594" t="s">
        <v>108</v>
      </c>
      <c r="C30" s="30"/>
      <c r="D30" s="40"/>
      <c r="E30" s="124" t="s">
        <v>1020</v>
      </c>
      <c r="F30" s="125"/>
      <c r="G30" s="125"/>
      <c r="H30" s="122"/>
      <c r="I30" s="3992"/>
    </row>
    <row r="31" spans="1:12" ht="30" customHeight="1">
      <c r="A31" s="1594"/>
      <c r="B31" s="70">
        <v>3</v>
      </c>
      <c r="C31" s="30"/>
      <c r="D31" s="71">
        <v>5</v>
      </c>
      <c r="E31" s="421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4218"/>
      <c r="G31" s="4218"/>
      <c r="H31" s="4218"/>
      <c r="I31" s="175"/>
    </row>
    <row r="32" spans="1:12" ht="26.25" customHeight="1">
      <c r="A32" s="1594"/>
      <c r="C32" s="30"/>
      <c r="D32" s="71" t="s">
        <v>305</v>
      </c>
      <c r="E32" s="417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4174"/>
      <c r="G32" s="4174"/>
      <c r="H32" s="4174"/>
      <c r="I32" s="175"/>
    </row>
    <row r="33" spans="1:12" ht="14.25" customHeight="1">
      <c r="A33" s="1594"/>
      <c r="C33" s="30"/>
      <c r="D33" s="71" t="s">
        <v>1037</v>
      </c>
      <c r="E33" s="127" t="s">
        <v>1026</v>
      </c>
      <c r="F33" s="119"/>
      <c r="G33" s="176"/>
      <c r="H33" s="119" t="s">
        <v>296</v>
      </c>
      <c r="I33" s="3990" t="s">
        <v>1038</v>
      </c>
    </row>
    <row r="34" spans="1:12" ht="15" customHeight="1">
      <c r="A34" s="1594" t="s">
        <v>88</v>
      </c>
      <c r="C34" s="30"/>
      <c r="D34" s="40"/>
      <c r="E34" s="125" t="s">
        <v>1020</v>
      </c>
      <c r="F34" s="121"/>
      <c r="G34" s="121"/>
      <c r="H34" s="122"/>
      <c r="I34" s="3992"/>
    </row>
    <row r="35" spans="1:12" ht="24" customHeight="1">
      <c r="A35" s="1594"/>
      <c r="C35" s="30"/>
      <c r="D35" s="71" t="s">
        <v>307</v>
      </c>
      <c r="E35" s="417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4174"/>
      <c r="G35" s="4174"/>
      <c r="H35" s="4174"/>
      <c r="I35" s="175"/>
    </row>
    <row r="36" spans="1:12" ht="14.25" customHeight="1">
      <c r="A36" s="1594"/>
      <c r="C36" s="30"/>
      <c r="D36" s="71" t="s">
        <v>1039</v>
      </c>
      <c r="E36" s="127" t="s">
        <v>1027</v>
      </c>
      <c r="F36" s="119"/>
      <c r="G36" s="176"/>
      <c r="H36" s="119" t="s">
        <v>296</v>
      </c>
      <c r="I36" s="3962" t="s">
        <v>1040</v>
      </c>
    </row>
    <row r="37" spans="1:12" ht="15" customHeight="1">
      <c r="A37" s="1594" t="s">
        <v>89</v>
      </c>
      <c r="C37" s="30"/>
      <c r="D37" s="40"/>
      <c r="E37" s="125" t="s">
        <v>1020</v>
      </c>
      <c r="F37" s="121"/>
      <c r="G37" s="121"/>
      <c r="H37" s="122"/>
      <c r="I37" s="3962"/>
    </row>
    <row r="38" spans="1:12" ht="26.25" customHeight="1">
      <c r="A38" s="1594"/>
      <c r="C38" s="30"/>
      <c r="D38" s="71" t="s">
        <v>310</v>
      </c>
      <c r="E38" s="417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4174"/>
      <c r="G38" s="4174"/>
      <c r="H38" s="4174"/>
      <c r="I38" s="175"/>
    </row>
    <row r="39" spans="1:12" ht="14.25" customHeight="1">
      <c r="A39" s="1594"/>
      <c r="C39" s="30"/>
      <c r="D39" s="71" t="s">
        <v>779</v>
      </c>
      <c r="E39" s="127" t="s">
        <v>1028</v>
      </c>
      <c r="F39" s="119"/>
      <c r="G39" s="128"/>
      <c r="H39" s="119" t="s">
        <v>296</v>
      </c>
      <c r="I39" s="3990" t="s">
        <v>1041</v>
      </c>
      <c r="L39" s="77" t="s">
        <v>1029</v>
      </c>
    </row>
    <row r="40" spans="1:12" ht="15" customHeight="1">
      <c r="A40" s="1594" t="s">
        <v>109</v>
      </c>
      <c r="C40" s="30"/>
      <c r="D40" s="40"/>
      <c r="E40" s="125" t="s">
        <v>1020</v>
      </c>
      <c r="F40" s="121"/>
      <c r="G40" s="121"/>
      <c r="H40" s="122"/>
      <c r="I40" s="3992"/>
    </row>
    <row r="41" spans="1:12" s="3844" customFormat="1" ht="3" customHeight="1">
      <c r="A41" s="1594"/>
      <c r="K41" s="117"/>
      <c r="L41" s="117"/>
    </row>
    <row r="42" spans="1:12" ht="24.75" customHeight="1">
      <c r="D42" s="1592" t="s">
        <v>701</v>
      </c>
      <c r="E42" s="409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4094"/>
      <c r="G42" s="4094"/>
      <c r="H42" s="4094"/>
      <c r="I42" s="4094"/>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441"/>
  <sheetViews>
    <sheetView showGridLines="0" topLeftCell="D52" zoomScale="90" workbookViewId="0">
      <selection activeCell="N105" sqref="N105"/>
    </sheetView>
  </sheetViews>
  <sheetFormatPr defaultColWidth="10.5703125" defaultRowHeight="14.25" customHeight="1"/>
  <cols>
    <col min="1" max="2" width="25.140625" style="3845" hidden="1" customWidth="1"/>
    <col min="3" max="3" width="9.140625" style="3816" hidden="1" customWidth="1"/>
    <col min="4" max="4" width="3.7109375" style="3173" customWidth="1"/>
    <col min="5" max="5" width="6.28515625" style="3856" customWidth="1"/>
    <col min="6" max="6" width="46.7109375" style="3856" customWidth="1"/>
    <col min="7" max="7" width="35.7109375" style="3856" customWidth="1"/>
    <col min="8" max="8" width="3.7109375" style="3856" customWidth="1"/>
    <col min="9" max="9" width="13.85546875" style="3856" customWidth="1"/>
    <col min="10" max="10" width="14" style="3856" customWidth="1"/>
    <col min="11" max="12" width="35.7109375" style="3856" customWidth="1"/>
    <col min="13" max="13" width="84.85546875" style="3856" customWidth="1"/>
    <col min="14" max="14" width="10.5703125" style="3856"/>
    <col min="15" max="16" width="10.5703125" style="3841"/>
    <col min="17" max="33" width="10.5703125" style="3856"/>
  </cols>
  <sheetData>
    <row r="1" spans="1:33" s="1923" customFormat="1" ht="14.25" hidden="1" customHeight="1">
      <c r="A1" s="1690"/>
      <c r="B1" s="1690"/>
      <c r="C1" s="297"/>
      <c r="D1" s="270"/>
      <c r="N1" s="1548">
        <f>IFERROR(MATCH("метод экономически обоснованных расходов (затрат)",OFFER_METHOD,0),0)</f>
        <v>0</v>
      </c>
      <c r="O1" s="1536"/>
      <c r="P1" s="1536"/>
      <c r="T1" s="748"/>
      <c r="AG1" s="174"/>
    </row>
    <row r="2" spans="1:33" s="1923" customFormat="1" ht="18.75" hidden="1" customHeight="1">
      <c r="A2" s="1691" t="s">
        <v>153</v>
      </c>
      <c r="B2" s="1691" t="s">
        <v>154</v>
      </c>
      <c r="C2" s="297"/>
      <c r="D2" s="270"/>
      <c r="E2" s="938"/>
      <c r="F2" s="938"/>
      <c r="G2" s="4191" t="str">
        <f>INDEX(PT_DIFFERENTIATION_NTAR,MATCH(B2,PT_DIFFERENTIATION_NTAR_ID,0))</f>
        <v/>
      </c>
      <c r="H2" s="1775"/>
      <c r="I2" s="1649"/>
      <c r="J2" s="1684"/>
      <c r="K2" s="1776"/>
      <c r="L2" s="1775" t="s">
        <v>296</v>
      </c>
      <c r="M2" s="1785"/>
      <c r="N2" s="261"/>
      <c r="O2" s="1536"/>
      <c r="P2" s="1536"/>
    </row>
    <row r="3" spans="1:33" s="1923" customFormat="1" ht="18.75" hidden="1" customHeight="1">
      <c r="A3" s="1691"/>
      <c r="B3" s="1691"/>
      <c r="C3" s="297" t="s">
        <v>1042</v>
      </c>
      <c r="D3" s="270"/>
      <c r="E3" s="938"/>
      <c r="F3" s="938"/>
      <c r="G3" s="4191"/>
      <c r="H3" s="1410"/>
      <c r="I3" s="572" t="s">
        <v>1043</v>
      </c>
      <c r="J3" s="496"/>
      <c r="K3" s="1410"/>
      <c r="L3" s="135"/>
      <c r="M3" s="1785"/>
      <c r="N3" s="261"/>
      <c r="O3" s="1536"/>
      <c r="P3" s="1536"/>
    </row>
    <row r="4" spans="1:33" s="1923" customFormat="1" ht="14.25" hidden="1" customHeight="1">
      <c r="A4" s="1690"/>
      <c r="B4" s="1690"/>
      <c r="C4" s="297"/>
      <c r="D4" s="270"/>
      <c r="N4" s="1548">
        <f>IFERROR(MATCH("метод экономически обоснованных расходов (затрат)",OFFER_METHOD,0),0)</f>
        <v>0</v>
      </c>
      <c r="O4" s="1536"/>
      <c r="P4" s="1536"/>
      <c r="T4" s="748"/>
      <c r="AG4" s="174"/>
    </row>
    <row r="5" spans="1:33" s="1923" customFormat="1" ht="18.75" hidden="1" customHeight="1">
      <c r="A5" s="1691" t="s">
        <v>153</v>
      </c>
      <c r="B5" s="1691" t="s">
        <v>154</v>
      </c>
      <c r="C5" s="297"/>
      <c r="D5" s="270"/>
      <c r="E5" s="938"/>
      <c r="F5" s="938"/>
      <c r="G5" s="4191" t="str">
        <f>INDEX(PT_DIFFERENTIATION_NTAR,MATCH(B5,PT_DIFFERENTIATION_NTAR_ID,0))</f>
        <v/>
      </c>
      <c r="H5" s="1775"/>
      <c r="I5" s="1649"/>
      <c r="J5" s="1684"/>
      <c r="K5" s="1689"/>
      <c r="L5" s="1775" t="s">
        <v>296</v>
      </c>
      <c r="M5" s="1785"/>
      <c r="N5" s="261"/>
      <c r="O5" s="1536"/>
      <c r="P5" s="1536"/>
    </row>
    <row r="6" spans="1:33" s="1923" customFormat="1" ht="18.75" hidden="1" customHeight="1">
      <c r="A6" s="1691"/>
      <c r="B6" s="1691"/>
      <c r="C6" s="297" t="s">
        <v>1044</v>
      </c>
      <c r="D6" s="270"/>
      <c r="E6" s="938"/>
      <c r="F6" s="938"/>
      <c r="G6" s="4191"/>
      <c r="H6" s="1410"/>
      <c r="I6" s="572" t="s">
        <v>1043</v>
      </c>
      <c r="J6" s="496"/>
      <c r="K6" s="1410"/>
      <c r="L6" s="135"/>
      <c r="M6" s="1785"/>
      <c r="N6" s="261"/>
      <c r="O6" s="1536"/>
      <c r="P6" s="1536"/>
    </row>
    <row r="7" spans="1:33" s="1923" customFormat="1" ht="14.25" hidden="1" customHeight="1">
      <c r="A7" s="1690"/>
      <c r="B7" s="1690"/>
      <c r="C7" s="297"/>
      <c r="D7" s="270"/>
      <c r="N7" s="1548">
        <f>IFERROR(MATCH("метод экономически обоснованных расходов (затрат)",OFFER_METHOD,0),0)</f>
        <v>0</v>
      </c>
      <c r="O7" s="1536"/>
      <c r="P7" s="1536"/>
      <c r="T7" s="748"/>
      <c r="AG7" s="174"/>
    </row>
    <row r="8" spans="1:33" s="1923" customFormat="1" ht="56.25" hidden="1" customHeight="1">
      <c r="A8" s="1691"/>
      <c r="B8" s="1691"/>
      <c r="C8" s="297"/>
      <c r="D8" s="270"/>
      <c r="E8" s="938"/>
      <c r="F8" s="938"/>
      <c r="G8" s="938"/>
      <c r="H8" s="1682"/>
      <c r="I8" s="1649"/>
      <c r="J8" s="1684"/>
      <c r="K8" s="1776"/>
      <c r="L8" s="1682" t="s">
        <v>296</v>
      </c>
      <c r="M8" s="1785"/>
      <c r="N8" s="261"/>
      <c r="O8" s="1536"/>
      <c r="P8" s="1536"/>
    </row>
    <row r="9" spans="1:33" ht="14.25" hidden="1" customHeight="1">
      <c r="T9" s="331"/>
      <c r="AG9" s="174"/>
    </row>
    <row r="10" spans="1:33" s="1923" customFormat="1" ht="56.25" hidden="1" customHeight="1">
      <c r="A10" s="1691"/>
      <c r="B10" s="1691"/>
      <c r="C10" s="297"/>
      <c r="D10" s="270"/>
      <c r="E10" s="938"/>
      <c r="F10" s="938"/>
      <c r="G10" s="938"/>
      <c r="H10" s="1681"/>
      <c r="I10" s="1649"/>
      <c r="J10" s="1684"/>
      <c r="K10" s="1689"/>
      <c r="L10" s="1682" t="s">
        <v>296</v>
      </c>
      <c r="M10" s="1785"/>
      <c r="N10" s="261"/>
      <c r="O10" s="1536"/>
      <c r="P10" s="1536"/>
    </row>
    <row r="11" spans="1:33" ht="14.25" hidden="1" customHeight="1"/>
    <row r="12" spans="1:33" ht="14.25" hidden="1" customHeight="1"/>
    <row r="13" spans="1:33" ht="6" customHeight="1">
      <c r="D13" s="305"/>
      <c r="E13" s="290"/>
      <c r="F13" s="290"/>
      <c r="G13" s="290"/>
      <c r="H13" s="290"/>
      <c r="I13" s="290"/>
      <c r="J13" s="290"/>
      <c r="K13" s="290"/>
      <c r="L13" s="19"/>
      <c r="M13" s="19"/>
    </row>
    <row r="14" spans="1:33" ht="14.25" customHeight="1">
      <c r="D14" s="305"/>
      <c r="E14" s="422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4224"/>
      <c r="G14" s="4224"/>
      <c r="H14" s="4224"/>
      <c r="I14" s="4224"/>
      <c r="J14" s="4224"/>
      <c r="K14" s="4224"/>
      <c r="L14" s="4224"/>
      <c r="M14" s="141"/>
    </row>
    <row r="15" spans="1:33" ht="6" customHeight="1">
      <c r="D15" s="305"/>
      <c r="E15" s="290"/>
      <c r="F15" s="323"/>
      <c r="G15" s="323"/>
      <c r="H15" s="323"/>
      <c r="I15" s="323"/>
      <c r="J15" s="323"/>
      <c r="K15" s="323"/>
      <c r="L15" s="247"/>
      <c r="M15" s="114"/>
    </row>
    <row r="16" spans="1:33" ht="18.75" customHeight="1">
      <c r="D16" s="305"/>
      <c r="E16" s="290"/>
      <c r="F16" s="225" t="str">
        <f>"Дата подачи заявления об "&amp;IF(TITLE_DATE_PR_CHANGE="","утверждении","изменении")&amp;" тарифов"</f>
        <v>Дата подачи заявления об изменении тарифов</v>
      </c>
      <c r="G16" s="4076">
        <f>IF(TITLE_DATE_PR_CHANGE="",IF(TITLE_DATE_PR="","",TITLE_DATE_PR),TITLE_DATE_PR_CHANGE)</f>
        <v>45289.465104166666</v>
      </c>
      <c r="H16" s="4076"/>
      <c r="I16" s="4076"/>
      <c r="J16" s="4076"/>
      <c r="K16" s="4076"/>
      <c r="L16" s="4076"/>
      <c r="M16" s="332"/>
      <c r="N16" s="253"/>
    </row>
    <row r="17" spans="1:16" ht="18.75" customHeight="1">
      <c r="D17" s="305"/>
      <c r="E17" s="290"/>
      <c r="F17" s="225" t="str">
        <f>"Номер подачи заявления об "&amp;IF(TITLE_DATE_PR_CHANGE="","утверждении","изменении")&amp;" тарифов"</f>
        <v>Номер подачи заявления об изменении тарифов</v>
      </c>
      <c r="G17" s="4067" t="str">
        <f>IF(TITLE_NUMBER_PR_CHANGE="",IF(TITLE_NUMBER_PR="","",TITLE_NUMBER_PR),TITLE_NUMBER_PR_CHANGE)</f>
        <v>761-1/201-1</v>
      </c>
      <c r="H17" s="4067"/>
      <c r="I17" s="4067"/>
      <c r="J17" s="4067"/>
      <c r="K17" s="4067"/>
      <c r="L17" s="4067"/>
      <c r="M17" s="332"/>
      <c r="N17" s="253"/>
    </row>
    <row r="18" spans="1:16" ht="14.25" customHeight="1">
      <c r="D18" s="305"/>
      <c r="E18" s="290"/>
      <c r="F18" s="323"/>
      <c r="G18" s="323"/>
      <c r="H18" s="323"/>
      <c r="I18" s="323"/>
      <c r="J18" s="323"/>
      <c r="K18" s="323"/>
      <c r="L18" s="669"/>
      <c r="M18" s="114"/>
    </row>
    <row r="19" spans="1:16" ht="21" customHeight="1">
      <c r="D19" s="305"/>
      <c r="E19" s="4033" t="s">
        <v>290</v>
      </c>
      <c r="F19" s="4033"/>
      <c r="G19" s="4033"/>
      <c r="H19" s="4033"/>
      <c r="I19" s="4033"/>
      <c r="J19" s="4033"/>
      <c r="K19" s="4033"/>
      <c r="L19" s="4033"/>
      <c r="M19" s="4217" t="s">
        <v>291</v>
      </c>
    </row>
    <row r="20" spans="1:16" ht="21" customHeight="1">
      <c r="D20" s="305"/>
      <c r="E20" s="4086" t="s">
        <v>86</v>
      </c>
      <c r="F20" s="4047" t="s">
        <v>120</v>
      </c>
      <c r="G20" s="4047" t="s">
        <v>121</v>
      </c>
      <c r="H20" s="4196" t="s">
        <v>1045</v>
      </c>
      <c r="I20" s="4197"/>
      <c r="J20" s="4198"/>
      <c r="K20" s="4047" t="s">
        <v>293</v>
      </c>
      <c r="L20" s="4047" t="s">
        <v>382</v>
      </c>
      <c r="M20" s="4217"/>
    </row>
    <row r="21" spans="1:16" ht="21" customHeight="1">
      <c r="D21" s="305"/>
      <c r="E21" s="4088"/>
      <c r="F21" s="4048"/>
      <c r="G21" s="4048"/>
      <c r="H21" s="4042" t="s">
        <v>1046</v>
      </c>
      <c r="I21" s="4044"/>
      <c r="J21" s="39" t="s">
        <v>1047</v>
      </c>
      <c r="K21" s="4048"/>
      <c r="L21" s="4048"/>
      <c r="M21" s="4217"/>
    </row>
    <row r="22" spans="1:16" ht="12" customHeight="1">
      <c r="D22" s="305"/>
      <c r="E22" s="201"/>
      <c r="F22" s="201"/>
      <c r="G22" s="201"/>
      <c r="H22" s="4226"/>
      <c r="I22" s="4226"/>
      <c r="J22" s="201"/>
      <c r="K22" s="201"/>
      <c r="L22" s="201"/>
      <c r="M22" s="201"/>
    </row>
    <row r="23" spans="1:16" ht="18.75" customHeight="1">
      <c r="A23" s="1691"/>
      <c r="B23" s="1691"/>
      <c r="D23" s="305"/>
      <c r="E23" s="1777" t="s">
        <v>107</v>
      </c>
      <c r="F23" s="4227" t="str">
        <f>"Предлагаемый метод регулирования"&amp;IF(TEMPLATE_SPHERE="HEAT"," в сфере "&amp;TEMPLATE_SPHERE_RUS,"")</f>
        <v>Предлагаемый метод регулирования в сфере теплоснабжения</v>
      </c>
      <c r="G23" s="4227"/>
      <c r="H23" s="4218"/>
      <c r="I23" s="4218"/>
      <c r="J23" s="4218"/>
      <c r="K23" s="4227" t="s">
        <v>296</v>
      </c>
      <c r="L23" s="4218"/>
      <c r="M23" s="1680"/>
      <c r="N23" s="261"/>
    </row>
    <row r="24" spans="1:16" ht="60.75" hidden="1" customHeight="1">
      <c r="A24" s="1691" t="s">
        <v>153</v>
      </c>
      <c r="B24" s="1691" t="s">
        <v>154</v>
      </c>
      <c r="D24" s="4225"/>
      <c r="E24" s="4027"/>
      <c r="F24" s="422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4191" t="str">
        <f>INDEX(PT_DIFFERENTIATION_NTAR,MATCH(B24,PT_DIFFERENTIATION_NTAR_ID,0))</f>
        <v/>
      </c>
      <c r="H24" s="1773"/>
      <c r="I24" s="3846">
        <v>45200.660798611112</v>
      </c>
      <c r="J24" s="3847">
        <v>45291.660868055558</v>
      </c>
      <c r="K24" s="1776" t="s">
        <v>1048</v>
      </c>
      <c r="L24" s="1679" t="s">
        <v>296</v>
      </c>
      <c r="M24" s="39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945" customFormat="1" ht="56.25" hidden="1" customHeight="1">
      <c r="A25" s="3848"/>
      <c r="B25" s="3848"/>
      <c r="C25" s="3849"/>
      <c r="D25" s="4221"/>
      <c r="E25" s="4219"/>
      <c r="F25" s="4219"/>
      <c r="G25" s="4219"/>
      <c r="H25" s="2568" t="s">
        <v>417</v>
      </c>
      <c r="I25" s="3846">
        <v>45292.660925925928</v>
      </c>
      <c r="J25" s="3847">
        <v>45657.661076388889</v>
      </c>
      <c r="K25" s="3850" t="s">
        <v>1048</v>
      </c>
      <c r="L25" s="2568" t="s">
        <v>296</v>
      </c>
      <c r="M25" s="4109"/>
      <c r="N25" s="3852"/>
      <c r="O25" s="3853"/>
      <c r="P25" s="3853"/>
    </row>
    <row r="26" spans="1:16" s="1945" customFormat="1" ht="56.25" hidden="1" customHeight="1">
      <c r="A26" s="3848"/>
      <c r="B26" s="3848"/>
      <c r="C26" s="3849"/>
      <c r="D26" s="4221"/>
      <c r="E26" s="4219"/>
      <c r="F26" s="4219"/>
      <c r="G26" s="4219"/>
      <c r="H26" s="2568" t="s">
        <v>417</v>
      </c>
      <c r="I26" s="3846">
        <v>45658.662685185183</v>
      </c>
      <c r="J26" s="3847">
        <v>46022.661226851851</v>
      </c>
      <c r="K26" s="3850" t="s">
        <v>1048</v>
      </c>
      <c r="L26" s="2568" t="s">
        <v>296</v>
      </c>
      <c r="M26" s="4109"/>
      <c r="N26" s="3852"/>
      <c r="O26" s="3853"/>
      <c r="P26" s="3853"/>
    </row>
    <row r="27" spans="1:16" s="1945" customFormat="1" ht="56.25" hidden="1" customHeight="1">
      <c r="A27" s="3848"/>
      <c r="B27" s="3848"/>
      <c r="C27" s="3849"/>
      <c r="D27" s="4221"/>
      <c r="E27" s="4219"/>
      <c r="F27" s="4219"/>
      <c r="G27" s="4219"/>
      <c r="H27" s="2568" t="s">
        <v>417</v>
      </c>
      <c r="I27" s="3846">
        <v>46023.662881944445</v>
      </c>
      <c r="J27" s="3847">
        <v>46387.66133101852</v>
      </c>
      <c r="K27" s="3850" t="s">
        <v>1048</v>
      </c>
      <c r="L27" s="2568" t="s">
        <v>296</v>
      </c>
      <c r="M27" s="4109"/>
      <c r="N27" s="3852"/>
      <c r="O27" s="3853"/>
      <c r="P27" s="3853"/>
    </row>
    <row r="28" spans="1:16" s="1945" customFormat="1" ht="56.25" hidden="1" customHeight="1">
      <c r="A28" s="3848"/>
      <c r="B28" s="3848"/>
      <c r="C28" s="3849"/>
      <c r="D28" s="4221"/>
      <c r="E28" s="4219"/>
      <c r="F28" s="4219"/>
      <c r="G28" s="4219"/>
      <c r="H28" s="2568" t="s">
        <v>417</v>
      </c>
      <c r="I28" s="3846">
        <v>46388.662986111114</v>
      </c>
      <c r="J28" s="3847">
        <v>46752.661446759259</v>
      </c>
      <c r="K28" s="3850" t="s">
        <v>1048</v>
      </c>
      <c r="L28" s="2568" t="s">
        <v>296</v>
      </c>
      <c r="M28" s="4109"/>
      <c r="N28" s="3852"/>
      <c r="O28" s="3853"/>
      <c r="P28" s="3853"/>
    </row>
    <row r="29" spans="1:16" s="1945" customFormat="1" ht="56.25" hidden="1" customHeight="1">
      <c r="A29" s="3848"/>
      <c r="B29" s="3848"/>
      <c r="C29" s="3849"/>
      <c r="D29" s="4221"/>
      <c r="E29" s="4219"/>
      <c r="F29" s="4219"/>
      <c r="G29" s="4219"/>
      <c r="H29" s="2568" t="s">
        <v>417</v>
      </c>
      <c r="I29" s="3846">
        <v>46753.663078703707</v>
      </c>
      <c r="J29" s="3847">
        <v>47118.661562499998</v>
      </c>
      <c r="K29" s="3850" t="s">
        <v>1048</v>
      </c>
      <c r="L29" s="2568" t="s">
        <v>296</v>
      </c>
      <c r="M29" s="4109"/>
      <c r="N29" s="3852"/>
      <c r="O29" s="3853"/>
      <c r="P29" s="3853"/>
    </row>
    <row r="30" spans="1:16" s="1945" customFormat="1" ht="56.25" hidden="1" customHeight="1">
      <c r="A30" s="3848"/>
      <c r="B30" s="3848"/>
      <c r="C30" s="3849"/>
      <c r="D30" s="4221"/>
      <c r="E30" s="4219"/>
      <c r="F30" s="4219"/>
      <c r="G30" s="4219"/>
      <c r="H30" s="2568" t="s">
        <v>417</v>
      </c>
      <c r="I30" s="3846">
        <v>47119.663530092592</v>
      </c>
      <c r="J30" s="3847">
        <v>47483.661770833336</v>
      </c>
      <c r="K30" s="3850" t="s">
        <v>1048</v>
      </c>
      <c r="L30" s="2568" t="s">
        <v>296</v>
      </c>
      <c r="M30" s="4109"/>
      <c r="N30" s="3852"/>
      <c r="O30" s="3853"/>
      <c r="P30" s="3853"/>
    </row>
    <row r="31" spans="1:16" s="1945" customFormat="1" ht="56.25" hidden="1" customHeight="1">
      <c r="A31" s="3848"/>
      <c r="B31" s="3848"/>
      <c r="C31" s="3849"/>
      <c r="D31" s="4221"/>
      <c r="E31" s="4219"/>
      <c r="F31" s="4219"/>
      <c r="G31" s="4219"/>
      <c r="H31" s="2568" t="s">
        <v>417</v>
      </c>
      <c r="I31" s="3846">
        <v>47484.665995370371</v>
      </c>
      <c r="J31" s="3847">
        <v>47848.661874999998</v>
      </c>
      <c r="K31" s="3850" t="s">
        <v>1048</v>
      </c>
      <c r="L31" s="2568" t="s">
        <v>296</v>
      </c>
      <c r="M31" s="4109"/>
      <c r="N31" s="3852"/>
      <c r="O31" s="3853"/>
      <c r="P31" s="3853"/>
    </row>
    <row r="32" spans="1:16" s="1945" customFormat="1" ht="56.25" hidden="1" customHeight="1">
      <c r="A32" s="3848"/>
      <c r="B32" s="3848"/>
      <c r="C32" s="3849"/>
      <c r="D32" s="4221"/>
      <c r="E32" s="4219"/>
      <c r="F32" s="4219"/>
      <c r="G32" s="4219"/>
      <c r="H32" s="2568" t="s">
        <v>417</v>
      </c>
      <c r="I32" s="3846">
        <v>47849.666122685187</v>
      </c>
      <c r="J32" s="3847">
        <v>48213.66196759259</v>
      </c>
      <c r="K32" s="3850" t="s">
        <v>1048</v>
      </c>
      <c r="L32" s="2568" t="s">
        <v>296</v>
      </c>
      <c r="M32" s="4109"/>
      <c r="N32" s="3852"/>
      <c r="O32" s="3853"/>
      <c r="P32" s="3853"/>
    </row>
    <row r="33" spans="1:16" s="1945" customFormat="1" ht="56.25" hidden="1" customHeight="1">
      <c r="A33" s="3848"/>
      <c r="B33" s="3848"/>
      <c r="C33" s="3849"/>
      <c r="D33" s="4221"/>
      <c r="E33" s="4219"/>
      <c r="F33" s="4219"/>
      <c r="G33" s="4219"/>
      <c r="H33" s="2568" t="s">
        <v>417</v>
      </c>
      <c r="I33" s="3846">
        <v>48214.666226851848</v>
      </c>
      <c r="J33" s="3847">
        <v>48579.662141203706</v>
      </c>
      <c r="K33" s="3850" t="s">
        <v>1048</v>
      </c>
      <c r="L33" s="2568" t="s">
        <v>296</v>
      </c>
      <c r="M33" s="4109"/>
      <c r="N33" s="3852"/>
      <c r="O33" s="3853"/>
      <c r="P33" s="3853"/>
    </row>
    <row r="34" spans="1:16" s="1945" customFormat="1" ht="56.25" hidden="1" customHeight="1">
      <c r="A34" s="3848"/>
      <c r="B34" s="3848"/>
      <c r="C34" s="3849"/>
      <c r="D34" s="4221"/>
      <c r="E34" s="4219"/>
      <c r="F34" s="4219"/>
      <c r="G34" s="4219"/>
      <c r="H34" s="2568" t="s">
        <v>417</v>
      </c>
      <c r="I34" s="3846">
        <v>48580.666342592594</v>
      </c>
      <c r="J34" s="3847">
        <v>48944.662314814814</v>
      </c>
      <c r="K34" s="3850" t="s">
        <v>1048</v>
      </c>
      <c r="L34" s="2568" t="s">
        <v>296</v>
      </c>
      <c r="M34" s="4109"/>
      <c r="N34" s="3852"/>
      <c r="O34" s="3853"/>
      <c r="P34" s="3853"/>
    </row>
    <row r="35" spans="1:16" s="1945" customFormat="1" ht="56.25" hidden="1" customHeight="1">
      <c r="A35" s="3848"/>
      <c r="B35" s="3848"/>
      <c r="C35" s="3849"/>
      <c r="D35" s="4221"/>
      <c r="E35" s="4219"/>
      <c r="F35" s="4219"/>
      <c r="G35" s="4219"/>
      <c r="H35" s="2568" t="s">
        <v>417</v>
      </c>
      <c r="I35" s="3846">
        <v>48945.666481481479</v>
      </c>
      <c r="J35" s="3847">
        <v>49309.662523148145</v>
      </c>
      <c r="K35" s="3850" t="s">
        <v>1048</v>
      </c>
      <c r="L35" s="2568" t="s">
        <v>296</v>
      </c>
      <c r="M35" s="4109"/>
      <c r="N35" s="3852"/>
      <c r="O35" s="3853"/>
      <c r="P35" s="3853"/>
    </row>
    <row r="36" spans="1:16" s="1945" customFormat="1" ht="56.25" hidden="1" customHeight="1">
      <c r="A36" s="3848"/>
      <c r="B36" s="3848"/>
      <c r="C36" s="3849"/>
      <c r="D36" s="4221"/>
      <c r="E36" s="4219"/>
      <c r="F36" s="4219"/>
      <c r="G36" s="4219"/>
      <c r="H36" s="2568" t="s">
        <v>417</v>
      </c>
      <c r="I36" s="3846">
        <v>49310.666631944441</v>
      </c>
      <c r="J36" s="3847">
        <v>49674.665648148148</v>
      </c>
      <c r="K36" s="3850" t="s">
        <v>1048</v>
      </c>
      <c r="L36" s="2568" t="s">
        <v>296</v>
      </c>
      <c r="M36" s="4109"/>
      <c r="N36" s="3852"/>
      <c r="O36" s="3853"/>
      <c r="P36" s="3853"/>
    </row>
    <row r="37" spans="1:16" s="1945" customFormat="1" ht="56.25" hidden="1" customHeight="1">
      <c r="A37" s="3848"/>
      <c r="B37" s="3848"/>
      <c r="C37" s="3849"/>
      <c r="D37" s="4221"/>
      <c r="E37" s="4219"/>
      <c r="F37" s="4219"/>
      <c r="G37" s="4219"/>
      <c r="H37" s="2568" t="s">
        <v>417</v>
      </c>
      <c r="I37" s="3846">
        <v>49675.66673611111</v>
      </c>
      <c r="J37" s="3847">
        <v>49856.665798611109</v>
      </c>
      <c r="K37" s="3850" t="s">
        <v>1048</v>
      </c>
      <c r="L37" s="2568" t="s">
        <v>296</v>
      </c>
      <c r="M37" s="4109"/>
      <c r="N37" s="3852"/>
      <c r="O37" s="3853"/>
      <c r="P37" s="3853"/>
    </row>
    <row r="38" spans="1:16" s="1923" customFormat="1" ht="18.75" hidden="1" customHeight="1">
      <c r="A38" s="1691"/>
      <c r="B38" s="1691"/>
      <c r="C38" s="297" t="s">
        <v>1042</v>
      </c>
      <c r="D38" s="4225"/>
      <c r="E38" s="4027"/>
      <c r="F38" s="4228"/>
      <c r="G38" s="4191"/>
      <c r="H38" s="1410"/>
      <c r="I38" s="572" t="s">
        <v>1043</v>
      </c>
      <c r="J38" s="496"/>
      <c r="K38" s="1410"/>
      <c r="L38" s="135"/>
      <c r="M38" s="3991"/>
      <c r="N38" s="261"/>
      <c r="O38" s="1536"/>
      <c r="P38" s="1536"/>
    </row>
    <row r="39" spans="1:16" ht="0.75" hidden="1" customHeight="1">
      <c r="A39" s="1691"/>
      <c r="B39" s="1691"/>
      <c r="C39" s="297" t="s">
        <v>1049</v>
      </c>
      <c r="D39" s="4225"/>
      <c r="E39" s="4027"/>
      <c r="F39" s="4162"/>
      <c r="G39" s="334"/>
      <c r="H39" s="1410"/>
      <c r="I39" s="329"/>
      <c r="J39" s="274"/>
      <c r="K39" s="1410"/>
      <c r="L39" s="122"/>
      <c r="M39" s="3991"/>
      <c r="N39" s="261"/>
    </row>
    <row r="40" spans="1:16" s="1923" customFormat="1" ht="45" customHeight="1">
      <c r="A40" s="1691" t="s">
        <v>161</v>
      </c>
      <c r="B40" s="1691" t="s">
        <v>162</v>
      </c>
      <c r="C40" s="297"/>
      <c r="D40" s="4220"/>
      <c r="E40" s="4222"/>
      <c r="F40" s="4223" t="str">
        <f>INDEX(PT_DIFFERENTIATION_VTAR,MATCH(A40,PT_DIFFERENTIATION_VTAR_ID,0))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40" s="4191" t="str">
        <f>INDEX(PT_DIFFERENTIATION_NTAR,MATCH(B40,PT_DIFFERENTIATION_NTAR_ID,0))</f>
        <v>Тарифы на тепловую энергию (мощность) на коллекторах источника тепловой энергии, поставляемую потребителям ООО "РИР-Сахалин"</v>
      </c>
      <c r="H40" s="1773"/>
      <c r="I40" s="3846">
        <v>45292.427245370367</v>
      </c>
      <c r="J40" s="3847">
        <v>45657.427303240744</v>
      </c>
      <c r="K40" s="1776" t="s">
        <v>1048</v>
      </c>
      <c r="L40" s="1773" t="s">
        <v>296</v>
      </c>
      <c r="M40" s="3991"/>
      <c r="N40" s="261"/>
      <c r="O40" s="1536"/>
      <c r="P40" s="1536"/>
    </row>
    <row r="41" spans="1:16" s="1945" customFormat="1" ht="56.25" customHeight="1">
      <c r="A41" s="3848"/>
      <c r="B41" s="3848"/>
      <c r="C41" s="3849"/>
      <c r="D41" s="4221"/>
      <c r="E41" s="4219"/>
      <c r="F41" s="4219"/>
      <c r="G41" s="4219"/>
      <c r="H41" s="2568" t="s">
        <v>417</v>
      </c>
      <c r="I41" s="3846">
        <v>45658.427453703705</v>
      </c>
      <c r="J41" s="3847">
        <v>46022.427557870367</v>
      </c>
      <c r="K41" s="3850" t="s">
        <v>1048</v>
      </c>
      <c r="L41" s="2568" t="s">
        <v>296</v>
      </c>
      <c r="M41" s="4109"/>
      <c r="N41" s="3852"/>
      <c r="O41" s="3853"/>
      <c r="P41" s="3853"/>
    </row>
    <row r="42" spans="1:16" s="1945" customFormat="1" ht="56.25" customHeight="1">
      <c r="A42" s="3848"/>
      <c r="B42" s="3848"/>
      <c r="C42" s="3849"/>
      <c r="D42" s="4221"/>
      <c r="E42" s="4219"/>
      <c r="F42" s="4219"/>
      <c r="G42" s="4219"/>
      <c r="H42" s="2568" t="s">
        <v>417</v>
      </c>
      <c r="I42" s="3846">
        <v>46023.427673611113</v>
      </c>
      <c r="J42" s="3847">
        <v>46387.428067129629</v>
      </c>
      <c r="K42" s="3850" t="s">
        <v>1048</v>
      </c>
      <c r="L42" s="2568" t="s">
        <v>296</v>
      </c>
      <c r="M42" s="4109"/>
      <c r="N42" s="3852"/>
      <c r="O42" s="3853"/>
      <c r="P42" s="3853"/>
    </row>
    <row r="43" spans="1:16" s="1945" customFormat="1" ht="56.25" customHeight="1">
      <c r="A43" s="3848"/>
      <c r="B43" s="3848"/>
      <c r="C43" s="3849"/>
      <c r="D43" s="4221"/>
      <c r="E43" s="4219"/>
      <c r="F43" s="4219"/>
      <c r="G43" s="4219"/>
      <c r="H43" s="2568" t="s">
        <v>417</v>
      </c>
      <c r="I43" s="3846">
        <v>46388.428182870368</v>
      </c>
      <c r="J43" s="3847">
        <v>46752.428287037037</v>
      </c>
      <c r="K43" s="3850" t="s">
        <v>1048</v>
      </c>
      <c r="L43" s="2568" t="s">
        <v>296</v>
      </c>
      <c r="M43" s="4109"/>
      <c r="N43" s="3852"/>
      <c r="O43" s="3853"/>
      <c r="P43" s="3853"/>
    </row>
    <row r="44" spans="1:16" s="1945" customFormat="1" ht="56.25" customHeight="1">
      <c r="A44" s="3848"/>
      <c r="B44" s="3848"/>
      <c r="C44" s="3849"/>
      <c r="D44" s="4221"/>
      <c r="E44" s="4219"/>
      <c r="F44" s="4219"/>
      <c r="G44" s="4219"/>
      <c r="H44" s="2568" t="s">
        <v>417</v>
      </c>
      <c r="I44" s="3846">
        <v>46753.428368055553</v>
      </c>
      <c r="J44" s="3847">
        <v>47118.428530092591</v>
      </c>
      <c r="K44" s="3850" t="s">
        <v>1048</v>
      </c>
      <c r="L44" s="2568" t="s">
        <v>296</v>
      </c>
      <c r="M44" s="4109"/>
      <c r="N44" s="3852"/>
      <c r="O44" s="3853"/>
      <c r="P44" s="3853"/>
    </row>
    <row r="45" spans="1:16" s="1945" customFormat="1" ht="56.25" customHeight="1">
      <c r="A45" s="3848"/>
      <c r="B45" s="3848"/>
      <c r="C45" s="3849"/>
      <c r="D45" s="4221"/>
      <c r="E45" s="4219"/>
      <c r="F45" s="4219"/>
      <c r="G45" s="4219"/>
      <c r="H45" s="2568" t="s">
        <v>417</v>
      </c>
      <c r="I45" s="3846">
        <v>47119.428680555553</v>
      </c>
      <c r="J45" s="3847">
        <v>47483.428912037038</v>
      </c>
      <c r="K45" s="3850" t="s">
        <v>1048</v>
      </c>
      <c r="L45" s="2568" t="s">
        <v>296</v>
      </c>
      <c r="M45" s="4109"/>
      <c r="N45" s="3852"/>
      <c r="O45" s="3853"/>
      <c r="P45" s="3853"/>
    </row>
    <row r="46" spans="1:16" s="1945" customFormat="1" ht="56.25" customHeight="1">
      <c r="A46" s="3848"/>
      <c r="B46" s="3848"/>
      <c r="C46" s="3849"/>
      <c r="D46" s="4221"/>
      <c r="E46" s="4219"/>
      <c r="F46" s="4219"/>
      <c r="G46" s="4219"/>
      <c r="H46" s="2568" t="s">
        <v>417</v>
      </c>
      <c r="I46" s="3846">
        <v>47484.429027777776</v>
      </c>
      <c r="J46" s="3847">
        <v>47848.429143518515</v>
      </c>
      <c r="K46" s="3850" t="s">
        <v>1048</v>
      </c>
      <c r="L46" s="2568" t="s">
        <v>296</v>
      </c>
      <c r="M46" s="4109"/>
      <c r="N46" s="3852"/>
      <c r="O46" s="3853"/>
      <c r="P46" s="3853"/>
    </row>
    <row r="47" spans="1:16" s="1945" customFormat="1" ht="56.25" customHeight="1">
      <c r="A47" s="3848"/>
      <c r="B47" s="3848"/>
      <c r="C47" s="3849"/>
      <c r="D47" s="4221"/>
      <c r="E47" s="4219"/>
      <c r="F47" s="4219"/>
      <c r="G47" s="4219"/>
      <c r="H47" s="2568" t="s">
        <v>417</v>
      </c>
      <c r="I47" s="3846">
        <v>47849.429791666669</v>
      </c>
      <c r="J47" s="3847">
        <v>48213.435335648152</v>
      </c>
      <c r="K47" s="3850" t="s">
        <v>1048</v>
      </c>
      <c r="L47" s="2568" t="s">
        <v>296</v>
      </c>
      <c r="M47" s="4109"/>
      <c r="N47" s="3852"/>
      <c r="O47" s="3853"/>
      <c r="P47" s="3853"/>
    </row>
    <row r="48" spans="1:16" s="1945" customFormat="1" ht="56.25" customHeight="1">
      <c r="A48" s="3848"/>
      <c r="B48" s="3848"/>
      <c r="C48" s="3849"/>
      <c r="D48" s="4221"/>
      <c r="E48" s="4219"/>
      <c r="F48" s="4219"/>
      <c r="G48" s="4219"/>
      <c r="H48" s="2568" t="s">
        <v>417</v>
      </c>
      <c r="I48" s="3846">
        <v>48214.43577546296</v>
      </c>
      <c r="J48" s="3847">
        <v>48579.435972222222</v>
      </c>
      <c r="K48" s="3850" t="s">
        <v>1048</v>
      </c>
      <c r="L48" s="2568" t="s">
        <v>296</v>
      </c>
      <c r="M48" s="4109"/>
      <c r="N48" s="3852"/>
      <c r="O48" s="3853"/>
      <c r="P48" s="3853"/>
    </row>
    <row r="49" spans="1:16" s="1945" customFormat="1" ht="56.25" customHeight="1">
      <c r="A49" s="3848"/>
      <c r="B49" s="3848"/>
      <c r="C49" s="3849"/>
      <c r="D49" s="4221"/>
      <c r="E49" s="4219"/>
      <c r="F49" s="4219"/>
      <c r="G49" s="4219"/>
      <c r="H49" s="2568" t="s">
        <v>417</v>
      </c>
      <c r="I49" s="3846">
        <v>48580.436585648145</v>
      </c>
      <c r="J49" s="3847">
        <v>48944.440763888888</v>
      </c>
      <c r="K49" s="3850" t="s">
        <v>1048</v>
      </c>
      <c r="L49" s="2568" t="s">
        <v>296</v>
      </c>
      <c r="M49" s="4109"/>
      <c r="N49" s="3852"/>
      <c r="O49" s="3853"/>
      <c r="P49" s="3853"/>
    </row>
    <row r="50" spans="1:16" s="1945" customFormat="1" ht="56.25" customHeight="1">
      <c r="A50" s="3848"/>
      <c r="B50" s="3848"/>
      <c r="C50" s="3849"/>
      <c r="D50" s="4221"/>
      <c r="E50" s="4219"/>
      <c r="F50" s="4219"/>
      <c r="G50" s="4219"/>
      <c r="H50" s="2568" t="s">
        <v>417</v>
      </c>
      <c r="I50" s="3846">
        <v>48945.440868055557</v>
      </c>
      <c r="J50" s="3847">
        <v>49309.440995370373</v>
      </c>
      <c r="K50" s="3850" t="s">
        <v>1048</v>
      </c>
      <c r="L50" s="2568" t="s">
        <v>296</v>
      </c>
      <c r="M50" s="4109"/>
      <c r="N50" s="3852"/>
      <c r="O50" s="3853"/>
      <c r="P50" s="3853"/>
    </row>
    <row r="51" spans="1:16" s="1945" customFormat="1" ht="56.25" customHeight="1">
      <c r="A51" s="3848"/>
      <c r="B51" s="3848"/>
      <c r="C51" s="3849"/>
      <c r="D51" s="4221"/>
      <c r="E51" s="4219"/>
      <c r="F51" s="4219"/>
      <c r="G51" s="4219"/>
      <c r="H51" s="2568" t="s">
        <v>417</v>
      </c>
      <c r="I51" s="3846">
        <v>49310.441122685188</v>
      </c>
      <c r="J51" s="3847">
        <v>49674.441354166665</v>
      </c>
      <c r="K51" s="3850" t="s">
        <v>1048</v>
      </c>
      <c r="L51" s="2568" t="s">
        <v>296</v>
      </c>
      <c r="M51" s="4109"/>
      <c r="N51" s="3852"/>
      <c r="O51" s="3853"/>
      <c r="P51" s="3853"/>
    </row>
    <row r="52" spans="1:16" s="1945" customFormat="1" ht="56.25" customHeight="1">
      <c r="A52" s="3848"/>
      <c r="B52" s="3848"/>
      <c r="C52" s="3849"/>
      <c r="D52" s="4221"/>
      <c r="E52" s="4219"/>
      <c r="F52" s="4219"/>
      <c r="G52" s="4219"/>
      <c r="H52" s="2568" t="s">
        <v>417</v>
      </c>
      <c r="I52" s="3846">
        <v>49675.443645833337</v>
      </c>
      <c r="J52" s="3847">
        <v>49856.444074074076</v>
      </c>
      <c r="K52" s="3850" t="s">
        <v>1048</v>
      </c>
      <c r="L52" s="2568" t="s">
        <v>296</v>
      </c>
      <c r="M52" s="4109"/>
      <c r="N52" s="3852"/>
      <c r="O52" s="3853"/>
      <c r="P52" s="3853"/>
    </row>
    <row r="53" spans="1:16" s="1923" customFormat="1" ht="18.75" customHeight="1">
      <c r="A53" s="1691"/>
      <c r="B53" s="1691"/>
      <c r="C53" s="297" t="s">
        <v>1042</v>
      </c>
      <c r="D53" s="4220"/>
      <c r="E53" s="4222"/>
      <c r="F53" s="4223"/>
      <c r="G53" s="4191"/>
      <c r="H53" s="1410"/>
      <c r="I53" s="572" t="s">
        <v>1043</v>
      </c>
      <c r="J53" s="496"/>
      <c r="K53" s="1410"/>
      <c r="L53" s="135"/>
      <c r="M53" s="3991"/>
      <c r="N53" s="261"/>
      <c r="O53" s="1536"/>
      <c r="P53" s="1536"/>
    </row>
    <row r="54" spans="1:16" s="1923" customFormat="1" ht="0.75" customHeight="1">
      <c r="A54" s="1691"/>
      <c r="B54" s="1691"/>
      <c r="C54" s="297" t="s">
        <v>1049</v>
      </c>
      <c r="D54" s="4220"/>
      <c r="E54" s="4027"/>
      <c r="F54" s="4162"/>
      <c r="G54" s="334"/>
      <c r="H54" s="1410"/>
      <c r="I54" s="572"/>
      <c r="J54" s="496"/>
      <c r="K54" s="1410"/>
      <c r="L54" s="135"/>
      <c r="M54" s="3991"/>
      <c r="N54" s="261"/>
      <c r="O54" s="1536"/>
      <c r="P54" s="1536"/>
    </row>
    <row r="55" spans="1:16" s="1923" customFormat="1" ht="45" hidden="1" customHeight="1">
      <c r="A55" s="1691" t="s">
        <v>171</v>
      </c>
      <c r="B55" s="1691" t="s">
        <v>172</v>
      </c>
      <c r="C55" s="297"/>
      <c r="D55" s="4220"/>
      <c r="E55" s="4027"/>
      <c r="F55" s="4162" t="str">
        <f>INDEX(PT_DIFFERENTIATION_VTAR,MATCH(A55,PT_DIFFERENTIATION_VTAR_ID,0))</f>
        <v>Тарифы на теплоноситель, поставляемый теплоснабжающими организациями потребителям, другим теплоснабжающим организациям</v>
      </c>
      <c r="G55" s="4191" t="str">
        <f>INDEX(PT_DIFFERENTIATION_NTAR,MATCH(B55,PT_DIFFERENTIATION_NTAR_ID,0))</f>
        <v/>
      </c>
      <c r="H55" s="1773"/>
      <c r="I55" s="1649"/>
      <c r="J55" s="1684"/>
      <c r="K55" s="1776"/>
      <c r="L55" s="1773" t="s">
        <v>296</v>
      </c>
      <c r="M55" s="3991"/>
      <c r="N55" s="261"/>
      <c r="O55" s="1536"/>
      <c r="P55" s="1536"/>
    </row>
    <row r="56" spans="1:16" s="1923" customFormat="1" ht="18.75" hidden="1" customHeight="1">
      <c r="A56" s="1691"/>
      <c r="B56" s="1691"/>
      <c r="C56" s="297" t="s">
        <v>1042</v>
      </c>
      <c r="D56" s="4220"/>
      <c r="E56" s="4027"/>
      <c r="F56" s="4162"/>
      <c r="G56" s="4191"/>
      <c r="H56" s="1410"/>
      <c r="I56" s="572" t="s">
        <v>1043</v>
      </c>
      <c r="J56" s="496"/>
      <c r="K56" s="1410"/>
      <c r="L56" s="135"/>
      <c r="M56" s="3991"/>
      <c r="N56" s="261"/>
      <c r="O56" s="1536"/>
      <c r="P56" s="1536"/>
    </row>
    <row r="57" spans="1:16" s="1923" customFormat="1" ht="0.75" hidden="1" customHeight="1">
      <c r="A57" s="1691"/>
      <c r="B57" s="1691"/>
      <c r="C57" s="297" t="s">
        <v>1049</v>
      </c>
      <c r="D57" s="4220"/>
      <c r="E57" s="4027"/>
      <c r="F57" s="4162"/>
      <c r="G57" s="334"/>
      <c r="H57" s="1410"/>
      <c r="I57" s="572"/>
      <c r="J57" s="496"/>
      <c r="K57" s="1410"/>
      <c r="L57" s="135"/>
      <c r="M57" s="3991"/>
      <c r="N57" s="261"/>
      <c r="O57" s="1536"/>
      <c r="P57" s="1536"/>
    </row>
    <row r="58" spans="1:16" s="1923" customFormat="1" ht="45" hidden="1" customHeight="1">
      <c r="A58" s="1691" t="s">
        <v>177</v>
      </c>
      <c r="B58" s="1691" t="s">
        <v>178</v>
      </c>
      <c r="C58" s="297"/>
      <c r="D58" s="4220"/>
      <c r="E58" s="4027"/>
      <c r="F58" s="4162" t="str">
        <f>INDEX(PT_DIFFERENTIATION_VTAR,MATCH(A58,PT_DIFFERENTIATION_VTAR_ID,0))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58" s="4191" t="str">
        <f>INDEX(PT_DIFFERENTIATION_NTAR,MATCH(B58,PT_DIFFERENTIATION_NTAR_ID,0))</f>
        <v/>
      </c>
      <c r="H58" s="1773"/>
      <c r="I58" s="1649"/>
      <c r="J58" s="1684"/>
      <c r="K58" s="1776"/>
      <c r="L58" s="1773" t="s">
        <v>296</v>
      </c>
      <c r="M58" s="3991"/>
      <c r="N58" s="261"/>
      <c r="O58" s="1536"/>
      <c r="P58" s="1536"/>
    </row>
    <row r="59" spans="1:16" s="1923" customFormat="1" ht="18.75" hidden="1" customHeight="1">
      <c r="A59" s="1691"/>
      <c r="B59" s="1691"/>
      <c r="C59" s="297" t="s">
        <v>1042</v>
      </c>
      <c r="D59" s="4220"/>
      <c r="E59" s="4027"/>
      <c r="F59" s="4162"/>
      <c r="G59" s="4191"/>
      <c r="H59" s="1410"/>
      <c r="I59" s="572" t="s">
        <v>1043</v>
      </c>
      <c r="J59" s="496"/>
      <c r="K59" s="1410"/>
      <c r="L59" s="135"/>
      <c r="M59" s="3991"/>
      <c r="N59" s="261"/>
      <c r="O59" s="1536"/>
      <c r="P59" s="1536"/>
    </row>
    <row r="60" spans="1:16" s="1923" customFormat="1" ht="0.75" hidden="1" customHeight="1">
      <c r="A60" s="1691"/>
      <c r="B60" s="1691"/>
      <c r="C60" s="297" t="s">
        <v>1049</v>
      </c>
      <c r="D60" s="4220"/>
      <c r="E60" s="4027"/>
      <c r="F60" s="4162"/>
      <c r="G60" s="334"/>
      <c r="H60" s="1410"/>
      <c r="I60" s="572"/>
      <c r="J60" s="496"/>
      <c r="K60" s="1410"/>
      <c r="L60" s="135"/>
      <c r="M60" s="3991"/>
      <c r="N60" s="261"/>
      <c r="O60" s="1536"/>
      <c r="P60" s="1536"/>
    </row>
    <row r="61" spans="1:16" s="1923" customFormat="1" ht="18.75" hidden="1" customHeight="1">
      <c r="A61" s="1691" t="s">
        <v>183</v>
      </c>
      <c r="B61" s="1691" t="s">
        <v>184</v>
      </c>
      <c r="C61" s="297"/>
      <c r="D61" s="4220"/>
      <c r="E61" s="4027"/>
      <c r="F61" s="4162" t="str">
        <f>INDEX(PT_DIFFERENTIATION_VTAR,MATCH(A61,PT_DIFFERENTIATION_VTAR_ID,0))</f>
        <v>Тарифы на услуги по передаче тепловой энергии</v>
      </c>
      <c r="G61" s="4191" t="str">
        <f>INDEX(PT_DIFFERENTIATION_NTAR,MATCH(B61,PT_DIFFERENTIATION_NTAR_ID,0))</f>
        <v/>
      </c>
      <c r="H61" s="1773"/>
      <c r="I61" s="1649"/>
      <c r="J61" s="1684"/>
      <c r="K61" s="1776"/>
      <c r="L61" s="1773" t="s">
        <v>296</v>
      </c>
      <c r="M61" s="3991"/>
      <c r="N61" s="261"/>
      <c r="O61" s="1536"/>
      <c r="P61" s="1536"/>
    </row>
    <row r="62" spans="1:16" s="1923" customFormat="1" ht="18.75" hidden="1" customHeight="1">
      <c r="A62" s="1691"/>
      <c r="B62" s="1691"/>
      <c r="C62" s="297" t="s">
        <v>1042</v>
      </c>
      <c r="D62" s="4220"/>
      <c r="E62" s="4027"/>
      <c r="F62" s="4162"/>
      <c r="G62" s="4191"/>
      <c r="H62" s="1410"/>
      <c r="I62" s="572" t="s">
        <v>1043</v>
      </c>
      <c r="J62" s="496"/>
      <c r="K62" s="1410"/>
      <c r="L62" s="135"/>
      <c r="M62" s="3991"/>
      <c r="N62" s="261"/>
      <c r="O62" s="1536"/>
      <c r="P62" s="1536"/>
    </row>
    <row r="63" spans="1:16" s="1923" customFormat="1" ht="0.75" hidden="1" customHeight="1">
      <c r="A63" s="1691"/>
      <c r="B63" s="1691"/>
      <c r="C63" s="297" t="s">
        <v>1049</v>
      </c>
      <c r="D63" s="4220"/>
      <c r="E63" s="4027"/>
      <c r="F63" s="4162"/>
      <c r="G63" s="334"/>
      <c r="H63" s="1410"/>
      <c r="I63" s="572"/>
      <c r="J63" s="496"/>
      <c r="K63" s="1410"/>
      <c r="L63" s="135"/>
      <c r="M63" s="3991"/>
      <c r="N63" s="261"/>
      <c r="O63" s="1536"/>
      <c r="P63" s="1536"/>
    </row>
    <row r="64" spans="1:16" s="1923" customFormat="1" ht="18.75" hidden="1" customHeight="1">
      <c r="A64" s="1691" t="s">
        <v>189</v>
      </c>
      <c r="B64" s="1691" t="s">
        <v>190</v>
      </c>
      <c r="C64" s="297"/>
      <c r="D64" s="4220"/>
      <c r="E64" s="4027"/>
      <c r="F64" s="4162" t="str">
        <f>INDEX(PT_DIFFERENTIATION_VTAR,MATCH(A64,PT_DIFFERENTIATION_VTAR_ID,0))</f>
        <v>Тарифы на услуги по передаче теплоносителя</v>
      </c>
      <c r="G64" s="4191" t="str">
        <f>INDEX(PT_DIFFERENTIATION_NTAR,MATCH(B64,PT_DIFFERENTIATION_NTAR_ID,0))</f>
        <v/>
      </c>
      <c r="H64" s="1773"/>
      <c r="I64" s="1649"/>
      <c r="J64" s="1684"/>
      <c r="K64" s="1776"/>
      <c r="L64" s="1773" t="s">
        <v>296</v>
      </c>
      <c r="M64" s="3991"/>
      <c r="N64" s="261"/>
      <c r="O64" s="1536"/>
      <c r="P64" s="1536"/>
    </row>
    <row r="65" spans="1:16" s="1923" customFormat="1" ht="18.75" hidden="1" customHeight="1">
      <c r="A65" s="1691"/>
      <c r="B65" s="1691"/>
      <c r="C65" s="297" t="s">
        <v>1042</v>
      </c>
      <c r="D65" s="4220"/>
      <c r="E65" s="4027"/>
      <c r="F65" s="4162"/>
      <c r="G65" s="4191"/>
      <c r="H65" s="1410"/>
      <c r="I65" s="572" t="s">
        <v>1043</v>
      </c>
      <c r="J65" s="496"/>
      <c r="K65" s="1410"/>
      <c r="L65" s="135"/>
      <c r="M65" s="3991"/>
      <c r="N65" s="261"/>
      <c r="O65" s="1536"/>
      <c r="P65" s="1536"/>
    </row>
    <row r="66" spans="1:16" s="1923" customFormat="1" ht="0.75" hidden="1" customHeight="1">
      <c r="A66" s="1691"/>
      <c r="B66" s="1691"/>
      <c r="C66" s="297" t="s">
        <v>1049</v>
      </c>
      <c r="D66" s="4220"/>
      <c r="E66" s="4027"/>
      <c r="F66" s="4162"/>
      <c r="G66" s="334"/>
      <c r="H66" s="1410"/>
      <c r="I66" s="572"/>
      <c r="J66" s="496"/>
      <c r="K66" s="1410"/>
      <c r="L66" s="135"/>
      <c r="M66" s="3991"/>
      <c r="N66" s="261"/>
      <c r="O66" s="1536"/>
      <c r="P66" s="1536"/>
    </row>
    <row r="67" spans="1:16" s="1923" customFormat="1" ht="18.75" hidden="1" customHeight="1">
      <c r="A67" s="1691" t="s">
        <v>195</v>
      </c>
      <c r="B67" s="1691" t="s">
        <v>196</v>
      </c>
      <c r="C67" s="297"/>
      <c r="D67" s="4220"/>
      <c r="E67" s="4027"/>
      <c r="F67" s="4162" t="str">
        <f>INDEX(PT_DIFFERENTIATION_VTAR,MATCH(A67,PT_DIFFERENTIATION_VTAR_ID,0))</f>
        <v>Плата за услуги по поддержанию резервной тепловой мощности при отсутствии потребления тепловой энергии</v>
      </c>
      <c r="G67" s="4191" t="str">
        <f>INDEX(PT_DIFFERENTIATION_NTAR,MATCH(B67,PT_DIFFERENTIATION_NTAR_ID,0))</f>
        <v/>
      </c>
      <c r="H67" s="1773"/>
      <c r="I67" s="1649"/>
      <c r="J67" s="1684"/>
      <c r="K67" s="1776"/>
      <c r="L67" s="1773" t="s">
        <v>296</v>
      </c>
      <c r="M67" s="3991"/>
      <c r="N67" s="261"/>
      <c r="O67" s="1536"/>
      <c r="P67" s="1536"/>
    </row>
    <row r="68" spans="1:16" s="1923" customFormat="1" ht="18.75" hidden="1" customHeight="1">
      <c r="A68" s="1691"/>
      <c r="B68" s="1691"/>
      <c r="C68" s="297" t="s">
        <v>1042</v>
      </c>
      <c r="D68" s="4220"/>
      <c r="E68" s="4027"/>
      <c r="F68" s="4162"/>
      <c r="G68" s="4191"/>
      <c r="H68" s="1410"/>
      <c r="I68" s="572" t="s">
        <v>1043</v>
      </c>
      <c r="J68" s="496"/>
      <c r="K68" s="1410"/>
      <c r="L68" s="135"/>
      <c r="M68" s="3991"/>
      <c r="N68" s="261"/>
      <c r="O68" s="1536"/>
      <c r="P68" s="1536"/>
    </row>
    <row r="69" spans="1:16" s="1923" customFormat="1" ht="0.75" hidden="1" customHeight="1">
      <c r="A69" s="1691"/>
      <c r="B69" s="1691"/>
      <c r="C69" s="297" t="s">
        <v>1049</v>
      </c>
      <c r="D69" s="4220"/>
      <c r="E69" s="4027"/>
      <c r="F69" s="4162"/>
      <c r="G69" s="334"/>
      <c r="H69" s="1410"/>
      <c r="I69" s="572"/>
      <c r="J69" s="496"/>
      <c r="K69" s="1410"/>
      <c r="L69" s="135"/>
      <c r="M69" s="3991"/>
      <c r="N69" s="261"/>
      <c r="O69" s="1536"/>
      <c r="P69" s="1536"/>
    </row>
    <row r="70" spans="1:16" s="1923" customFormat="1" ht="18.75" hidden="1" customHeight="1">
      <c r="A70" s="1691" t="s">
        <v>201</v>
      </c>
      <c r="B70" s="1691" t="s">
        <v>202</v>
      </c>
      <c r="C70" s="297"/>
      <c r="D70" s="4220"/>
      <c r="E70" s="4027"/>
      <c r="F70" s="4162" t="str">
        <f>INDEX(PT_DIFFERENTIATION_VTAR,MATCH(A70,PT_DIFFERENTIATION_VTAR_ID,0))</f>
        <v>Плата за подключение (технологическое присоединение) к системе теплоснабжения</v>
      </c>
      <c r="G70" s="4191" t="str">
        <f>INDEX(PT_DIFFERENTIATION_NTAR,MATCH(B70,PT_DIFFERENTIATION_NTAR_ID,0))</f>
        <v/>
      </c>
      <c r="H70" s="1773"/>
      <c r="I70" s="1649"/>
      <c r="J70" s="1684"/>
      <c r="K70" s="1776"/>
      <c r="L70" s="1773" t="s">
        <v>296</v>
      </c>
      <c r="M70" s="3991"/>
      <c r="N70" s="261"/>
      <c r="O70" s="1536"/>
      <c r="P70" s="1536"/>
    </row>
    <row r="71" spans="1:16" s="1923" customFormat="1" ht="18.75" hidden="1" customHeight="1">
      <c r="A71" s="1691"/>
      <c r="B71" s="1691"/>
      <c r="C71" s="297" t="s">
        <v>1042</v>
      </c>
      <c r="D71" s="4220"/>
      <c r="E71" s="4027"/>
      <c r="F71" s="4162"/>
      <c r="G71" s="4191"/>
      <c r="H71" s="1410"/>
      <c r="I71" s="572" t="s">
        <v>1043</v>
      </c>
      <c r="J71" s="496"/>
      <c r="K71" s="1410"/>
      <c r="L71" s="135"/>
      <c r="M71" s="3991"/>
      <c r="N71" s="261"/>
      <c r="O71" s="1536"/>
      <c r="P71" s="1536"/>
    </row>
    <row r="72" spans="1:16" s="1923" customFormat="1" ht="0.75" hidden="1" customHeight="1">
      <c r="A72" s="1691"/>
      <c r="B72" s="1691"/>
      <c r="C72" s="297" t="s">
        <v>1049</v>
      </c>
      <c r="D72" s="4220"/>
      <c r="E72" s="4027"/>
      <c r="F72" s="4162"/>
      <c r="G72" s="334"/>
      <c r="H72" s="1410"/>
      <c r="I72" s="572"/>
      <c r="J72" s="496"/>
      <c r="K72" s="1410"/>
      <c r="L72" s="135"/>
      <c r="M72" s="3991"/>
      <c r="N72" s="261"/>
      <c r="O72" s="1536"/>
      <c r="P72" s="1536"/>
    </row>
    <row r="73" spans="1:16" s="1923" customFormat="1" ht="18.75" hidden="1" customHeight="1">
      <c r="A73" s="1691" t="s">
        <v>215</v>
      </c>
      <c r="B73" s="1691" t="s">
        <v>216</v>
      </c>
      <c r="C73" s="297"/>
      <c r="D73" s="4220"/>
      <c r="E73" s="4027"/>
      <c r="F73" s="4162" t="str">
        <f>INDEX(PT_DIFFERENTIATION_VTAR,MATCH(A73,PT_DIFFERENTIATION_VTAR_ID,0))</f>
        <v>Тариф на питьевую воду (питьевое водоснабжение)</v>
      </c>
      <c r="G73" s="4191" t="str">
        <f>INDEX(PT_DIFFERENTIATION_NTAR,MATCH(B73,PT_DIFFERENTIATION_NTAR_ID,0))</f>
        <v/>
      </c>
      <c r="H73" s="1773"/>
      <c r="I73" s="1649"/>
      <c r="J73" s="1684"/>
      <c r="K73" s="1776"/>
      <c r="L73" s="1773" t="s">
        <v>296</v>
      </c>
      <c r="M73" s="3991"/>
      <c r="N73" s="261"/>
      <c r="O73" s="1536"/>
      <c r="P73" s="1536"/>
    </row>
    <row r="74" spans="1:16" s="1923" customFormat="1" ht="18.75" hidden="1" customHeight="1">
      <c r="A74" s="1691"/>
      <c r="B74" s="1691"/>
      <c r="C74" s="297" t="s">
        <v>1042</v>
      </c>
      <c r="D74" s="4220"/>
      <c r="E74" s="4027"/>
      <c r="F74" s="4162"/>
      <c r="G74" s="4191"/>
      <c r="H74" s="1410"/>
      <c r="I74" s="572" t="s">
        <v>1043</v>
      </c>
      <c r="J74" s="496"/>
      <c r="K74" s="1410"/>
      <c r="L74" s="135"/>
      <c r="M74" s="3991"/>
      <c r="N74" s="261"/>
      <c r="O74" s="1536"/>
      <c r="P74" s="1536"/>
    </row>
    <row r="75" spans="1:16" s="1923" customFormat="1" ht="0.75" hidden="1" customHeight="1">
      <c r="A75" s="1691"/>
      <c r="B75" s="1691"/>
      <c r="C75" s="297" t="s">
        <v>1049</v>
      </c>
      <c r="D75" s="4220"/>
      <c r="E75" s="4027"/>
      <c r="F75" s="4162"/>
      <c r="G75" s="334"/>
      <c r="H75" s="1410"/>
      <c r="I75" s="572"/>
      <c r="J75" s="496"/>
      <c r="K75" s="1410"/>
      <c r="L75" s="135"/>
      <c r="M75" s="3991"/>
      <c r="N75" s="261"/>
      <c r="O75" s="1536"/>
      <c r="P75" s="1536"/>
    </row>
    <row r="76" spans="1:16" s="1923" customFormat="1" ht="18.75" hidden="1" customHeight="1">
      <c r="A76" s="1691" t="s">
        <v>220</v>
      </c>
      <c r="B76" s="1691" t="s">
        <v>221</v>
      </c>
      <c r="C76" s="297"/>
      <c r="D76" s="4220"/>
      <c r="E76" s="4027"/>
      <c r="F76" s="4162" t="str">
        <f>INDEX(PT_DIFFERENTIATION_VTAR,MATCH(A76,PT_DIFFERENTIATION_VTAR_ID,0))</f>
        <v>Тариф на техническую воду</v>
      </c>
      <c r="G76" s="4191" t="str">
        <f>INDEX(PT_DIFFERENTIATION_NTAR,MATCH(B76,PT_DIFFERENTIATION_NTAR_ID,0))</f>
        <v/>
      </c>
      <c r="H76" s="1773"/>
      <c r="I76" s="1649"/>
      <c r="J76" s="1684"/>
      <c r="K76" s="1776"/>
      <c r="L76" s="1773" t="s">
        <v>296</v>
      </c>
      <c r="M76" s="3991"/>
      <c r="N76" s="261"/>
      <c r="O76" s="1536"/>
      <c r="P76" s="1536"/>
    </row>
    <row r="77" spans="1:16" s="1923" customFormat="1" ht="18.75" hidden="1" customHeight="1">
      <c r="A77" s="1691"/>
      <c r="B77" s="1691"/>
      <c r="C77" s="297" t="s">
        <v>1042</v>
      </c>
      <c r="D77" s="4220"/>
      <c r="E77" s="4027"/>
      <c r="F77" s="4162"/>
      <c r="G77" s="4191"/>
      <c r="H77" s="1410"/>
      <c r="I77" s="572" t="s">
        <v>1043</v>
      </c>
      <c r="J77" s="496"/>
      <c r="K77" s="1410"/>
      <c r="L77" s="135"/>
      <c r="M77" s="3991"/>
      <c r="N77" s="261"/>
      <c r="O77" s="1536"/>
      <c r="P77" s="1536"/>
    </row>
    <row r="78" spans="1:16" s="1923" customFormat="1" ht="0.75" hidden="1" customHeight="1">
      <c r="A78" s="1691"/>
      <c r="B78" s="1691"/>
      <c r="C78" s="297" t="s">
        <v>1049</v>
      </c>
      <c r="D78" s="4220"/>
      <c r="E78" s="4027"/>
      <c r="F78" s="4162"/>
      <c r="G78" s="334"/>
      <c r="H78" s="1410"/>
      <c r="I78" s="572"/>
      <c r="J78" s="496"/>
      <c r="K78" s="1410"/>
      <c r="L78" s="135"/>
      <c r="M78" s="3991"/>
      <c r="N78" s="261"/>
      <c r="O78" s="1536"/>
      <c r="P78" s="1536"/>
    </row>
    <row r="79" spans="1:16" s="1923" customFormat="1" ht="18.75" hidden="1" customHeight="1">
      <c r="A79" s="1691" t="s">
        <v>225</v>
      </c>
      <c r="B79" s="1691" t="s">
        <v>226</v>
      </c>
      <c r="C79" s="297"/>
      <c r="D79" s="4220"/>
      <c r="E79" s="4027"/>
      <c r="F79" s="4162" t="str">
        <f>INDEX(PT_DIFFERENTIATION_VTAR,MATCH(A79,PT_DIFFERENTIATION_VTAR_ID,0))</f>
        <v>Тариф на транспортировку воды</v>
      </c>
      <c r="G79" s="4191" t="str">
        <f>INDEX(PT_DIFFERENTIATION_NTAR,MATCH(B79,PT_DIFFERENTIATION_NTAR_ID,0))</f>
        <v/>
      </c>
      <c r="H79" s="1773"/>
      <c r="I79" s="1649"/>
      <c r="J79" s="1684"/>
      <c r="K79" s="1776"/>
      <c r="L79" s="1773" t="s">
        <v>296</v>
      </c>
      <c r="M79" s="3991"/>
      <c r="N79" s="261"/>
      <c r="O79" s="1536"/>
      <c r="P79" s="1536"/>
    </row>
    <row r="80" spans="1:16" s="1923" customFormat="1" ht="18.75" hidden="1" customHeight="1">
      <c r="A80" s="1691"/>
      <c r="B80" s="1691"/>
      <c r="C80" s="297" t="s">
        <v>1042</v>
      </c>
      <c r="D80" s="4220"/>
      <c r="E80" s="4027"/>
      <c r="F80" s="4162"/>
      <c r="G80" s="4191"/>
      <c r="H80" s="1410"/>
      <c r="I80" s="572" t="s">
        <v>1043</v>
      </c>
      <c r="J80" s="496"/>
      <c r="K80" s="1410"/>
      <c r="L80" s="135"/>
      <c r="M80" s="3991"/>
      <c r="N80" s="261"/>
      <c r="O80" s="1536"/>
      <c r="P80" s="1536"/>
    </row>
    <row r="81" spans="1:16" s="1923" customFormat="1" ht="0.75" hidden="1" customHeight="1">
      <c r="A81" s="1691"/>
      <c r="B81" s="1691"/>
      <c r="C81" s="297" t="s">
        <v>1049</v>
      </c>
      <c r="D81" s="4220"/>
      <c r="E81" s="4027"/>
      <c r="F81" s="4162"/>
      <c r="G81" s="334"/>
      <c r="H81" s="1410"/>
      <c r="I81" s="572"/>
      <c r="J81" s="496"/>
      <c r="K81" s="1410"/>
      <c r="L81" s="135"/>
      <c r="M81" s="3991"/>
      <c r="N81" s="261"/>
      <c r="O81" s="1536"/>
      <c r="P81" s="1536"/>
    </row>
    <row r="82" spans="1:16" s="1923" customFormat="1" ht="18.75" hidden="1" customHeight="1">
      <c r="A82" s="1691" t="s">
        <v>230</v>
      </c>
      <c r="B82" s="1691" t="s">
        <v>231</v>
      </c>
      <c r="C82" s="297"/>
      <c r="D82" s="4220"/>
      <c r="E82" s="4027"/>
      <c r="F82" s="4162" t="str">
        <f>INDEX(PT_DIFFERENTIATION_VTAR,MATCH(A82,PT_DIFFERENTIATION_VTAR_ID,0))</f>
        <v>Тариф на подвоз воды</v>
      </c>
      <c r="G82" s="4191" t="str">
        <f>INDEX(PT_DIFFERENTIATION_NTAR,MATCH(B82,PT_DIFFERENTIATION_NTAR_ID,0))</f>
        <v/>
      </c>
      <c r="H82" s="1773"/>
      <c r="I82" s="1649"/>
      <c r="J82" s="1684"/>
      <c r="K82" s="1776"/>
      <c r="L82" s="1773" t="s">
        <v>296</v>
      </c>
      <c r="M82" s="3991"/>
      <c r="N82" s="261"/>
      <c r="O82" s="1536"/>
      <c r="P82" s="1536"/>
    </row>
    <row r="83" spans="1:16" s="1923" customFormat="1" ht="18.75" hidden="1" customHeight="1">
      <c r="A83" s="1691"/>
      <c r="B83" s="1691"/>
      <c r="C83" s="297" t="s">
        <v>1042</v>
      </c>
      <c r="D83" s="4220"/>
      <c r="E83" s="4027"/>
      <c r="F83" s="4162"/>
      <c r="G83" s="4191"/>
      <c r="H83" s="1410"/>
      <c r="I83" s="572" t="s">
        <v>1043</v>
      </c>
      <c r="J83" s="496"/>
      <c r="K83" s="1410"/>
      <c r="L83" s="135"/>
      <c r="M83" s="3991"/>
      <c r="N83" s="261"/>
      <c r="O83" s="1536"/>
      <c r="P83" s="1536"/>
    </row>
    <row r="84" spans="1:16" s="1923" customFormat="1" ht="0.75" hidden="1" customHeight="1">
      <c r="A84" s="1691"/>
      <c r="B84" s="1691"/>
      <c r="C84" s="297" t="s">
        <v>1049</v>
      </c>
      <c r="D84" s="4220"/>
      <c r="E84" s="4027"/>
      <c r="F84" s="4162"/>
      <c r="G84" s="334"/>
      <c r="H84" s="1410"/>
      <c r="I84" s="572"/>
      <c r="J84" s="496"/>
      <c r="K84" s="1410"/>
      <c r="L84" s="135"/>
      <c r="M84" s="3991"/>
      <c r="N84" s="261"/>
      <c r="O84" s="1536"/>
      <c r="P84" s="1536"/>
    </row>
    <row r="85" spans="1:16" s="1923" customFormat="1" ht="18.75" hidden="1" customHeight="1">
      <c r="A85" s="1691" t="s">
        <v>235</v>
      </c>
      <c r="B85" s="1691" t="s">
        <v>236</v>
      </c>
      <c r="C85" s="297"/>
      <c r="D85" s="4220"/>
      <c r="E85" s="4027"/>
      <c r="F85" s="4162" t="str">
        <f>INDEX(PT_DIFFERENTIATION_VTAR,MATCH(A85,PT_DIFFERENTIATION_VTAR_ID,0))</f>
        <v>Тариф на подключение (технологическое присоединение) к централизованной системе холодного водоснабжения</v>
      </c>
      <c r="G85" s="4191" t="str">
        <f>INDEX(PT_DIFFERENTIATION_NTAR,MATCH(B85,PT_DIFFERENTIATION_NTAR_ID,0))</f>
        <v/>
      </c>
      <c r="H85" s="1773"/>
      <c r="I85" s="1649"/>
      <c r="J85" s="1684"/>
      <c r="K85" s="1776"/>
      <c r="L85" s="1773" t="s">
        <v>296</v>
      </c>
      <c r="M85" s="3991"/>
      <c r="N85" s="261"/>
      <c r="O85" s="1536"/>
      <c r="P85" s="1536"/>
    </row>
    <row r="86" spans="1:16" s="1923" customFormat="1" ht="18.75" hidden="1" customHeight="1">
      <c r="A86" s="1691"/>
      <c r="B86" s="1691"/>
      <c r="C86" s="297" t="s">
        <v>1042</v>
      </c>
      <c r="D86" s="4220"/>
      <c r="E86" s="4027"/>
      <c r="F86" s="4162"/>
      <c r="G86" s="4191"/>
      <c r="H86" s="1410"/>
      <c r="I86" s="572" t="s">
        <v>1043</v>
      </c>
      <c r="J86" s="496"/>
      <c r="K86" s="1410"/>
      <c r="L86" s="135"/>
      <c r="M86" s="3991"/>
      <c r="N86" s="261"/>
      <c r="O86" s="1536"/>
      <c r="P86" s="1536"/>
    </row>
    <row r="87" spans="1:16" s="1923" customFormat="1" ht="0.75" hidden="1" customHeight="1">
      <c r="A87" s="1691"/>
      <c r="B87" s="1691"/>
      <c r="C87" s="297" t="s">
        <v>1049</v>
      </c>
      <c r="D87" s="4220"/>
      <c r="E87" s="4027"/>
      <c r="F87" s="4162"/>
      <c r="G87" s="334"/>
      <c r="H87" s="1410"/>
      <c r="I87" s="572"/>
      <c r="J87" s="496"/>
      <c r="K87" s="1410"/>
      <c r="L87" s="135"/>
      <c r="M87" s="3991"/>
      <c r="N87" s="261"/>
      <c r="O87" s="1536"/>
      <c r="P87" s="1536"/>
    </row>
    <row r="88" spans="1:16" s="1923" customFormat="1" ht="18.75" hidden="1" customHeight="1">
      <c r="A88" s="1691" t="s">
        <v>240</v>
      </c>
      <c r="B88" s="1691" t="s">
        <v>241</v>
      </c>
      <c r="C88" s="297"/>
      <c r="D88" s="4220"/>
      <c r="E88" s="4027"/>
      <c r="F88" s="4162" t="str">
        <f>INDEX(PT_DIFFERENTIATION_VTAR,MATCH(A88,PT_DIFFERENTIATION_VTAR_ID,0))</f>
        <v>Тариф на горячую воду (горячее водоснабжение)</v>
      </c>
      <c r="G88" s="4191" t="str">
        <f>INDEX(PT_DIFFERENTIATION_NTAR,MATCH(B88,PT_DIFFERENTIATION_NTAR_ID,0))</f>
        <v/>
      </c>
      <c r="H88" s="1773"/>
      <c r="I88" s="1649"/>
      <c r="J88" s="1684"/>
      <c r="K88" s="1776"/>
      <c r="L88" s="1773" t="s">
        <v>296</v>
      </c>
      <c r="M88" s="3991"/>
      <c r="N88" s="261"/>
      <c r="O88" s="1536"/>
      <c r="P88" s="1536"/>
    </row>
    <row r="89" spans="1:16" s="1923" customFormat="1" ht="18.75" hidden="1" customHeight="1">
      <c r="A89" s="1691"/>
      <c r="B89" s="1691"/>
      <c r="C89" s="297" t="s">
        <v>1042</v>
      </c>
      <c r="D89" s="4220"/>
      <c r="E89" s="4027"/>
      <c r="F89" s="4162"/>
      <c r="G89" s="4191"/>
      <c r="H89" s="1410"/>
      <c r="I89" s="572" t="s">
        <v>1043</v>
      </c>
      <c r="J89" s="496"/>
      <c r="K89" s="1410"/>
      <c r="L89" s="135"/>
      <c r="M89" s="3991"/>
      <c r="N89" s="261"/>
      <c r="O89" s="1536"/>
      <c r="P89" s="1536"/>
    </row>
    <row r="90" spans="1:16" s="1923" customFormat="1" ht="0.75" hidden="1" customHeight="1">
      <c r="A90" s="1691"/>
      <c r="B90" s="1691"/>
      <c r="C90" s="297" t="s">
        <v>1049</v>
      </c>
      <c r="D90" s="4220"/>
      <c r="E90" s="4027"/>
      <c r="F90" s="4162"/>
      <c r="G90" s="334"/>
      <c r="H90" s="1410"/>
      <c r="I90" s="572"/>
      <c r="J90" s="496"/>
      <c r="K90" s="1410"/>
      <c r="L90" s="135"/>
      <c r="M90" s="3991"/>
      <c r="N90" s="261"/>
      <c r="O90" s="1536"/>
      <c r="P90" s="1536"/>
    </row>
    <row r="91" spans="1:16" s="1923" customFormat="1" ht="18.75" hidden="1" customHeight="1">
      <c r="A91" s="1691" t="s">
        <v>245</v>
      </c>
      <c r="B91" s="1691" t="s">
        <v>246</v>
      </c>
      <c r="C91" s="297"/>
      <c r="D91" s="4220"/>
      <c r="E91" s="4027"/>
      <c r="F91" s="4162" t="str">
        <f>INDEX(PT_DIFFERENTIATION_VTAR,MATCH(A91,PT_DIFFERENTIATION_VTAR_ID,0))</f>
        <v>Тариф на транспортировку горячей воды</v>
      </c>
      <c r="G91" s="4191" t="str">
        <f>INDEX(PT_DIFFERENTIATION_NTAR,MATCH(B91,PT_DIFFERENTIATION_NTAR_ID,0))</f>
        <v/>
      </c>
      <c r="H91" s="1773"/>
      <c r="I91" s="1649"/>
      <c r="J91" s="1684"/>
      <c r="K91" s="1776"/>
      <c r="L91" s="1773" t="s">
        <v>296</v>
      </c>
      <c r="M91" s="3991"/>
      <c r="N91" s="261"/>
      <c r="O91" s="1536"/>
      <c r="P91" s="1536"/>
    </row>
    <row r="92" spans="1:16" s="1923" customFormat="1" ht="18.75" hidden="1" customHeight="1">
      <c r="A92" s="1691"/>
      <c r="B92" s="1691"/>
      <c r="C92" s="297" t="s">
        <v>1042</v>
      </c>
      <c r="D92" s="4220"/>
      <c r="E92" s="4027"/>
      <c r="F92" s="4162"/>
      <c r="G92" s="4191"/>
      <c r="H92" s="1410"/>
      <c r="I92" s="572" t="s">
        <v>1043</v>
      </c>
      <c r="J92" s="496"/>
      <c r="K92" s="1410"/>
      <c r="L92" s="135"/>
      <c r="M92" s="3991"/>
      <c r="N92" s="261"/>
      <c r="O92" s="1536"/>
      <c r="P92" s="1536"/>
    </row>
    <row r="93" spans="1:16" s="1923" customFormat="1" ht="0.75" hidden="1" customHeight="1">
      <c r="A93" s="1691"/>
      <c r="B93" s="1691"/>
      <c r="C93" s="297" t="s">
        <v>1049</v>
      </c>
      <c r="D93" s="4220"/>
      <c r="E93" s="4027"/>
      <c r="F93" s="4162"/>
      <c r="G93" s="334"/>
      <c r="H93" s="1410"/>
      <c r="I93" s="572"/>
      <c r="J93" s="496"/>
      <c r="K93" s="1410"/>
      <c r="L93" s="135"/>
      <c r="M93" s="3991"/>
      <c r="N93" s="261"/>
      <c r="O93" s="1536"/>
      <c r="P93" s="1536"/>
    </row>
    <row r="94" spans="1:16" s="1923" customFormat="1" ht="18.75" hidden="1" customHeight="1">
      <c r="A94" s="1691" t="s">
        <v>250</v>
      </c>
      <c r="B94" s="1691" t="s">
        <v>251</v>
      </c>
      <c r="C94" s="297"/>
      <c r="D94" s="4220"/>
      <c r="E94" s="4027"/>
      <c r="F94" s="4162" t="str">
        <f>INDEX(PT_DIFFERENTIATION_VTAR,MATCH(A94,PT_DIFFERENTIATION_VTAR_ID,0))</f>
        <v>Тариф на подключение (технологическое присоединение) к централизованной системе горячего водоснабжения</v>
      </c>
      <c r="G94" s="4191" t="str">
        <f>INDEX(PT_DIFFERENTIATION_NTAR,MATCH(B94,PT_DIFFERENTIATION_NTAR_ID,0))</f>
        <v/>
      </c>
      <c r="H94" s="1773"/>
      <c r="I94" s="1649"/>
      <c r="J94" s="1684"/>
      <c r="K94" s="1776"/>
      <c r="L94" s="1773" t="s">
        <v>296</v>
      </c>
      <c r="M94" s="3991"/>
      <c r="N94" s="261"/>
      <c r="O94" s="1536"/>
      <c r="P94" s="1536"/>
    </row>
    <row r="95" spans="1:16" s="1923" customFormat="1" ht="18.75" hidden="1" customHeight="1">
      <c r="A95" s="1691"/>
      <c r="B95" s="1691"/>
      <c r="C95" s="297" t="s">
        <v>1042</v>
      </c>
      <c r="D95" s="4220"/>
      <c r="E95" s="4027"/>
      <c r="F95" s="4162"/>
      <c r="G95" s="4191"/>
      <c r="H95" s="1410"/>
      <c r="I95" s="572" t="s">
        <v>1043</v>
      </c>
      <c r="J95" s="496"/>
      <c r="K95" s="1410"/>
      <c r="L95" s="135"/>
      <c r="M95" s="3991"/>
      <c r="N95" s="261"/>
      <c r="O95" s="1536"/>
      <c r="P95" s="1536"/>
    </row>
    <row r="96" spans="1:16" s="1923" customFormat="1" ht="0.75" hidden="1" customHeight="1">
      <c r="A96" s="1691"/>
      <c r="B96" s="1691"/>
      <c r="C96" s="297" t="s">
        <v>1049</v>
      </c>
      <c r="D96" s="4220"/>
      <c r="E96" s="4027"/>
      <c r="F96" s="4162"/>
      <c r="G96" s="334"/>
      <c r="H96" s="1410"/>
      <c r="I96" s="572"/>
      <c r="J96" s="496"/>
      <c r="K96" s="1410"/>
      <c r="L96" s="135"/>
      <c r="M96" s="3991"/>
      <c r="N96" s="261"/>
      <c r="O96" s="1536"/>
      <c r="P96" s="1536"/>
    </row>
    <row r="97" spans="1:16" s="1923" customFormat="1" ht="18.75" hidden="1" customHeight="1">
      <c r="A97" s="1691" t="s">
        <v>255</v>
      </c>
      <c r="B97" s="1691" t="s">
        <v>256</v>
      </c>
      <c r="C97" s="297"/>
      <c r="D97" s="4220"/>
      <c r="E97" s="4027"/>
      <c r="F97" s="4162" t="str">
        <f>INDEX(PT_DIFFERENTIATION_VTAR,MATCH(A97,PT_DIFFERENTIATION_VTAR_ID,0))</f>
        <v>Тариф на водоотведение</v>
      </c>
      <c r="G97" s="4191" t="str">
        <f>INDEX(PT_DIFFERENTIATION_NTAR,MATCH(B97,PT_DIFFERENTIATION_NTAR_ID,0))</f>
        <v/>
      </c>
      <c r="H97" s="1773"/>
      <c r="I97" s="1649"/>
      <c r="J97" s="1684"/>
      <c r="K97" s="1776"/>
      <c r="L97" s="1773" t="s">
        <v>296</v>
      </c>
      <c r="M97" s="3991"/>
      <c r="N97" s="261"/>
      <c r="O97" s="1536"/>
      <c r="P97" s="1536"/>
    </row>
    <row r="98" spans="1:16" s="1923" customFormat="1" ht="18.75" hidden="1" customHeight="1">
      <c r="A98" s="1691"/>
      <c r="B98" s="1691"/>
      <c r="C98" s="297" t="s">
        <v>1042</v>
      </c>
      <c r="D98" s="4220"/>
      <c r="E98" s="4027"/>
      <c r="F98" s="4162"/>
      <c r="G98" s="4191"/>
      <c r="H98" s="1410"/>
      <c r="I98" s="572" t="s">
        <v>1043</v>
      </c>
      <c r="J98" s="496"/>
      <c r="K98" s="1410"/>
      <c r="L98" s="135"/>
      <c r="M98" s="3991"/>
      <c r="N98" s="261"/>
      <c r="O98" s="1536"/>
      <c r="P98" s="1536"/>
    </row>
    <row r="99" spans="1:16" s="1923" customFormat="1" ht="0.75" hidden="1" customHeight="1">
      <c r="A99" s="1691"/>
      <c r="B99" s="1691"/>
      <c r="C99" s="297" t="s">
        <v>1049</v>
      </c>
      <c r="D99" s="4220"/>
      <c r="E99" s="4027"/>
      <c r="F99" s="4162"/>
      <c r="G99" s="334"/>
      <c r="H99" s="1410"/>
      <c r="I99" s="572"/>
      <c r="J99" s="496"/>
      <c r="K99" s="1410"/>
      <c r="L99" s="135"/>
      <c r="M99" s="3991"/>
      <c r="N99" s="261"/>
      <c r="O99" s="1536"/>
      <c r="P99" s="1536"/>
    </row>
    <row r="100" spans="1:16" s="1923" customFormat="1" ht="18.75" hidden="1" customHeight="1">
      <c r="A100" s="1691" t="s">
        <v>260</v>
      </c>
      <c r="B100" s="1691" t="s">
        <v>261</v>
      </c>
      <c r="C100" s="297"/>
      <c r="D100" s="4220"/>
      <c r="E100" s="4027"/>
      <c r="F100" s="4162" t="str">
        <f>INDEX(PT_DIFFERENTIATION_VTAR,MATCH(A100,PT_DIFFERENTIATION_VTAR_ID,0))</f>
        <v>Тариф на транспортировку сточных вод</v>
      </c>
      <c r="G100" s="4191" t="str">
        <f>INDEX(PT_DIFFERENTIATION_NTAR,MATCH(B100,PT_DIFFERENTIATION_NTAR_ID,0))</f>
        <v/>
      </c>
      <c r="H100" s="1773"/>
      <c r="I100" s="1649"/>
      <c r="J100" s="1684"/>
      <c r="K100" s="1776"/>
      <c r="L100" s="1773" t="s">
        <v>296</v>
      </c>
      <c r="M100" s="3991"/>
      <c r="N100" s="261"/>
      <c r="O100" s="1536"/>
      <c r="P100" s="1536"/>
    </row>
    <row r="101" spans="1:16" s="1923" customFormat="1" ht="18.75" hidden="1" customHeight="1">
      <c r="A101" s="1691"/>
      <c r="B101" s="1691"/>
      <c r="C101" s="297" t="s">
        <v>1042</v>
      </c>
      <c r="D101" s="4220"/>
      <c r="E101" s="4027"/>
      <c r="F101" s="4162"/>
      <c r="G101" s="4191"/>
      <c r="H101" s="1410"/>
      <c r="I101" s="572" t="s">
        <v>1043</v>
      </c>
      <c r="J101" s="496"/>
      <c r="K101" s="1410"/>
      <c r="L101" s="135"/>
      <c r="M101" s="3991"/>
      <c r="N101" s="261"/>
      <c r="O101" s="1536"/>
      <c r="P101" s="1536"/>
    </row>
    <row r="102" spans="1:16" s="1923" customFormat="1" ht="0.75" hidden="1" customHeight="1">
      <c r="A102" s="1691"/>
      <c r="B102" s="1691"/>
      <c r="C102" s="297" t="s">
        <v>1049</v>
      </c>
      <c r="D102" s="4220"/>
      <c r="E102" s="4027"/>
      <c r="F102" s="4162"/>
      <c r="G102" s="334"/>
      <c r="H102" s="1410"/>
      <c r="I102" s="572"/>
      <c r="J102" s="496"/>
      <c r="K102" s="1410"/>
      <c r="L102" s="135"/>
      <c r="M102" s="3991"/>
      <c r="N102" s="261"/>
      <c r="O102" s="1536"/>
      <c r="P102" s="1536"/>
    </row>
    <row r="103" spans="1:16" s="1923" customFormat="1" ht="18.75" hidden="1" customHeight="1">
      <c r="A103" s="1691" t="s">
        <v>265</v>
      </c>
      <c r="B103" s="1691" t="s">
        <v>266</v>
      </c>
      <c r="C103" s="297"/>
      <c r="D103" s="4220"/>
      <c r="E103" s="4027"/>
      <c r="F103" s="4162" t="str">
        <f>INDEX(PT_DIFFERENTIATION_VTAR,MATCH(A103,PT_DIFFERENTIATION_VTAR_ID,0))</f>
        <v>Тариф на подключение (технологическое присоединение) к централизованной системе водоотведения</v>
      </c>
      <c r="G103" s="4191" t="str">
        <f>INDEX(PT_DIFFERENTIATION_NTAR,MATCH(B103,PT_DIFFERENTIATION_NTAR_ID,0))</f>
        <v/>
      </c>
      <c r="H103" s="1773"/>
      <c r="I103" s="1649"/>
      <c r="J103" s="1684"/>
      <c r="K103" s="1776"/>
      <c r="L103" s="1773" t="s">
        <v>296</v>
      </c>
      <c r="M103" s="3991"/>
      <c r="N103" s="261"/>
      <c r="O103" s="1536"/>
      <c r="P103" s="1536"/>
    </row>
    <row r="104" spans="1:16" s="1923" customFormat="1" ht="18.75" hidden="1" customHeight="1">
      <c r="A104" s="1691"/>
      <c r="B104" s="1691"/>
      <c r="C104" s="297" t="s">
        <v>1042</v>
      </c>
      <c r="D104" s="4220"/>
      <c r="E104" s="4027"/>
      <c r="F104" s="4162"/>
      <c r="G104" s="4191"/>
      <c r="H104" s="1410"/>
      <c r="I104" s="572" t="s">
        <v>1043</v>
      </c>
      <c r="J104" s="496"/>
      <c r="K104" s="1410"/>
      <c r="L104" s="135"/>
      <c r="M104" s="3991"/>
      <c r="N104" s="261"/>
      <c r="O104" s="1536"/>
      <c r="P104" s="1536"/>
    </row>
    <row r="105" spans="1:16" s="1923" customFormat="1" ht="50.1" customHeight="1">
      <c r="A105" s="1691"/>
      <c r="B105" s="1691"/>
      <c r="C105" s="297" t="s">
        <v>1049</v>
      </c>
      <c r="D105" s="4220"/>
      <c r="E105" s="4027"/>
      <c r="F105" s="4162"/>
      <c r="G105" s="334"/>
      <c r="H105" s="1410"/>
      <c r="I105" s="572"/>
      <c r="J105" s="496"/>
      <c r="K105" s="1410"/>
      <c r="L105" s="135"/>
      <c r="M105" s="3991"/>
      <c r="N105" s="261"/>
      <c r="O105" s="1536"/>
      <c r="P105" s="1536"/>
    </row>
    <row r="106" spans="1:16" ht="18.75" customHeight="1">
      <c r="A106" s="1691"/>
      <c r="B106" s="1691"/>
      <c r="D106" s="305"/>
      <c r="E106" s="71" t="s">
        <v>108</v>
      </c>
      <c r="F106" s="421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106" s="4218"/>
      <c r="H106" s="4218"/>
      <c r="I106" s="4218"/>
      <c r="J106" s="4218"/>
      <c r="K106" s="4218"/>
      <c r="L106" s="4218"/>
      <c r="M106" s="216"/>
      <c r="N106" s="261"/>
    </row>
    <row r="107" spans="1:16" ht="33.75" customHeight="1">
      <c r="A107" s="1691"/>
      <c r="B107" s="1691"/>
      <c r="D107" s="305"/>
      <c r="E107" s="333"/>
      <c r="F107" s="119" t="s">
        <v>296</v>
      </c>
      <c r="G107" s="119" t="s">
        <v>296</v>
      </c>
      <c r="H107" s="4042" t="s">
        <v>296</v>
      </c>
      <c r="I107" s="4044"/>
      <c r="J107" s="119" t="s">
        <v>296</v>
      </c>
      <c r="K107" s="119" t="s">
        <v>296</v>
      </c>
      <c r="L107" s="3854" t="s">
        <v>1050</v>
      </c>
      <c r="M107" s="271" t="s">
        <v>1051</v>
      </c>
      <c r="N107" s="261"/>
    </row>
    <row r="108" spans="1:16" ht="18.75" customHeight="1">
      <c r="A108" s="1691"/>
      <c r="B108" s="1691"/>
      <c r="D108" s="305"/>
      <c r="E108" s="71" t="s">
        <v>88</v>
      </c>
      <c r="F108" s="4218" t="s">
        <v>1052</v>
      </c>
      <c r="G108" s="4218"/>
      <c r="H108" s="4218"/>
      <c r="I108" s="4218"/>
      <c r="J108" s="4218"/>
      <c r="K108" s="4218"/>
      <c r="L108" s="4218"/>
      <c r="M108" s="216"/>
      <c r="N108" s="261"/>
    </row>
    <row r="109" spans="1:16" s="1923" customFormat="1" ht="60.75" hidden="1" customHeight="1">
      <c r="A109" s="1691" t="s">
        <v>153</v>
      </c>
      <c r="B109" s="1691" t="s">
        <v>154</v>
      </c>
      <c r="C109" s="297"/>
      <c r="D109" s="4220"/>
      <c r="E109" s="4027"/>
      <c r="F109" s="4162" t="str">
        <f>INDEX(PT_DIFFERENTIATION_VTAR,MATCH(A109,PT_DIFFERENTIATION_VTAR_ID,0))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09" s="4191" t="str">
        <f>INDEX(PT_DIFFERENTIATION_NTAR,MATCH(B109,PT_DIFFERENTIATION_NTAR_ID,0))</f>
        <v/>
      </c>
      <c r="H109" s="1773"/>
      <c r="I109" s="3846">
        <v>45200</v>
      </c>
      <c r="J109" s="1684">
        <v>45291</v>
      </c>
      <c r="K109" s="1689">
        <v>53810.27</v>
      </c>
      <c r="L109" s="1773" t="s">
        <v>296</v>
      </c>
      <c r="M109" s="39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109" s="261"/>
      <c r="O109" s="1536"/>
      <c r="P109" s="1536"/>
    </row>
    <row r="110" spans="1:16" s="1945" customFormat="1" ht="56.25" hidden="1" customHeight="1">
      <c r="A110" s="3848"/>
      <c r="B110" s="3848"/>
      <c r="C110" s="3849"/>
      <c r="D110" s="4221"/>
      <c r="E110" s="4219"/>
      <c r="F110" s="4219"/>
      <c r="G110" s="4219"/>
      <c r="H110" s="2567" t="s">
        <v>417</v>
      </c>
      <c r="I110" s="3846">
        <v>45292</v>
      </c>
      <c r="J110" s="3847">
        <v>45657</v>
      </c>
      <c r="K110" s="3855">
        <v>160293.94</v>
      </c>
      <c r="L110" s="2568" t="s">
        <v>296</v>
      </c>
      <c r="M110" s="4109"/>
      <c r="N110" s="3852"/>
      <c r="O110" s="3853"/>
      <c r="P110" s="3853"/>
    </row>
    <row r="111" spans="1:16" s="1945" customFormat="1" ht="56.25" hidden="1" customHeight="1">
      <c r="A111" s="3848"/>
      <c r="B111" s="3848"/>
      <c r="C111" s="3849"/>
      <c r="D111" s="4221"/>
      <c r="E111" s="4219"/>
      <c r="F111" s="4219"/>
      <c r="G111" s="4219"/>
      <c r="H111" s="2567" t="s">
        <v>417</v>
      </c>
      <c r="I111" s="3846">
        <v>45658</v>
      </c>
      <c r="J111" s="3847">
        <v>46022</v>
      </c>
      <c r="K111" s="3855">
        <v>167842.15</v>
      </c>
      <c r="L111" s="2568" t="s">
        <v>296</v>
      </c>
      <c r="M111" s="4109"/>
      <c r="N111" s="3852"/>
      <c r="O111" s="3853"/>
      <c r="P111" s="3853"/>
    </row>
    <row r="112" spans="1:16" s="1945" customFormat="1" ht="56.25" hidden="1" customHeight="1">
      <c r="A112" s="3848"/>
      <c r="B112" s="3848"/>
      <c r="C112" s="3849"/>
      <c r="D112" s="4221"/>
      <c r="E112" s="4219"/>
      <c r="F112" s="4219"/>
      <c r="G112" s="4219"/>
      <c r="H112" s="2567" t="s">
        <v>417</v>
      </c>
      <c r="I112" s="3846">
        <v>46023</v>
      </c>
      <c r="J112" s="3847">
        <v>46387</v>
      </c>
      <c r="K112" s="3855">
        <v>169623.36</v>
      </c>
      <c r="L112" s="2568" t="s">
        <v>296</v>
      </c>
      <c r="M112" s="4109"/>
      <c r="N112" s="3852"/>
      <c r="O112" s="3853"/>
      <c r="P112" s="3853"/>
    </row>
    <row r="113" spans="1:16" s="1945" customFormat="1" ht="56.25" hidden="1" customHeight="1">
      <c r="A113" s="3848"/>
      <c r="B113" s="3848"/>
      <c r="C113" s="3849"/>
      <c r="D113" s="4221"/>
      <c r="E113" s="4219"/>
      <c r="F113" s="4219"/>
      <c r="G113" s="4219"/>
      <c r="H113" s="2567" t="s">
        <v>417</v>
      </c>
      <c r="I113" s="3846">
        <v>46388</v>
      </c>
      <c r="J113" s="3847">
        <v>46752</v>
      </c>
      <c r="K113" s="3855">
        <v>248695.77</v>
      </c>
      <c r="L113" s="2568" t="s">
        <v>296</v>
      </c>
      <c r="M113" s="4109"/>
      <c r="N113" s="3852"/>
      <c r="O113" s="3853"/>
      <c r="P113" s="3853"/>
    </row>
    <row r="114" spans="1:16" s="1945" customFormat="1" ht="56.25" hidden="1" customHeight="1">
      <c r="A114" s="3848"/>
      <c r="B114" s="3848"/>
      <c r="C114" s="3849"/>
      <c r="D114" s="4221"/>
      <c r="E114" s="4219"/>
      <c r="F114" s="4219"/>
      <c r="G114" s="4219"/>
      <c r="H114" s="2567" t="s">
        <v>417</v>
      </c>
      <c r="I114" s="3846">
        <v>46753.663078703707</v>
      </c>
      <c r="J114" s="3847">
        <v>47118.661562499998</v>
      </c>
      <c r="K114" s="3855">
        <v>263894.98</v>
      </c>
      <c r="L114" s="2568" t="s">
        <v>296</v>
      </c>
      <c r="M114" s="4109"/>
      <c r="N114" s="3852"/>
      <c r="O114" s="3853"/>
      <c r="P114" s="3853"/>
    </row>
    <row r="115" spans="1:16" s="1945" customFormat="1" ht="56.25" hidden="1" customHeight="1">
      <c r="A115" s="3848"/>
      <c r="B115" s="3848"/>
      <c r="C115" s="3849"/>
      <c r="D115" s="4221"/>
      <c r="E115" s="4219"/>
      <c r="F115" s="4219"/>
      <c r="G115" s="4219"/>
      <c r="H115" s="2567" t="s">
        <v>417</v>
      </c>
      <c r="I115" s="3846">
        <v>47119.663530092592</v>
      </c>
      <c r="J115" s="3847">
        <v>47483.661770833336</v>
      </c>
      <c r="K115" s="3855">
        <v>245132.1</v>
      </c>
      <c r="L115" s="2568" t="s">
        <v>296</v>
      </c>
      <c r="M115" s="4109"/>
      <c r="N115" s="3852"/>
      <c r="O115" s="3853"/>
      <c r="P115" s="3853"/>
    </row>
    <row r="116" spans="1:16" s="1945" customFormat="1" ht="56.25" hidden="1" customHeight="1">
      <c r="A116" s="3848"/>
      <c r="B116" s="3848"/>
      <c r="C116" s="3849"/>
      <c r="D116" s="4221"/>
      <c r="E116" s="4219"/>
      <c r="F116" s="4219"/>
      <c r="G116" s="4219"/>
      <c r="H116" s="2567" t="s">
        <v>417</v>
      </c>
      <c r="I116" s="3846">
        <v>47484.665995370371</v>
      </c>
      <c r="J116" s="3847">
        <v>47848.661874999998</v>
      </c>
      <c r="K116" s="3855">
        <v>241921.43</v>
      </c>
      <c r="L116" s="2568" t="s">
        <v>296</v>
      </c>
      <c r="M116" s="4109"/>
      <c r="N116" s="3852"/>
      <c r="O116" s="3853"/>
      <c r="P116" s="3853"/>
    </row>
    <row r="117" spans="1:16" s="1945" customFormat="1" ht="56.25" hidden="1" customHeight="1">
      <c r="A117" s="3848"/>
      <c r="B117" s="3848"/>
      <c r="C117" s="3849"/>
      <c r="D117" s="4221"/>
      <c r="E117" s="4219"/>
      <c r="F117" s="4219"/>
      <c r="G117" s="4219"/>
      <c r="H117" s="2567" t="s">
        <v>417</v>
      </c>
      <c r="I117" s="3846">
        <v>47849.666122685187</v>
      </c>
      <c r="J117" s="3847">
        <v>48213.66196759259</v>
      </c>
      <c r="K117" s="3855">
        <v>214432.49</v>
      </c>
      <c r="L117" s="2568" t="s">
        <v>296</v>
      </c>
      <c r="M117" s="4109"/>
      <c r="N117" s="3852"/>
      <c r="O117" s="3853"/>
      <c r="P117" s="3853"/>
    </row>
    <row r="118" spans="1:16" s="1945" customFormat="1" ht="56.25" hidden="1" customHeight="1">
      <c r="A118" s="3848"/>
      <c r="B118" s="3848"/>
      <c r="C118" s="3849"/>
      <c r="D118" s="4221"/>
      <c r="E118" s="4219"/>
      <c r="F118" s="4219"/>
      <c r="G118" s="4219"/>
      <c r="H118" s="2567" t="s">
        <v>417</v>
      </c>
      <c r="I118" s="3846">
        <v>48214.666226851848</v>
      </c>
      <c r="J118" s="3847">
        <v>48579.662141203706</v>
      </c>
      <c r="K118" s="3855">
        <v>208006.84</v>
      </c>
      <c r="L118" s="2568" t="s">
        <v>296</v>
      </c>
      <c r="M118" s="4109"/>
      <c r="N118" s="3852"/>
      <c r="O118" s="3853"/>
      <c r="P118" s="3853"/>
    </row>
    <row r="119" spans="1:16" s="1945" customFormat="1" ht="56.25" hidden="1" customHeight="1">
      <c r="A119" s="3848"/>
      <c r="B119" s="3848"/>
      <c r="C119" s="3849"/>
      <c r="D119" s="4221"/>
      <c r="E119" s="4219"/>
      <c r="F119" s="4219"/>
      <c r="G119" s="4219"/>
      <c r="H119" s="2567" t="s">
        <v>417</v>
      </c>
      <c r="I119" s="3846">
        <v>48580.666342592594</v>
      </c>
      <c r="J119" s="3847">
        <v>48944.662314814814</v>
      </c>
      <c r="K119" s="3855">
        <v>226949.23</v>
      </c>
      <c r="L119" s="2568" t="s">
        <v>296</v>
      </c>
      <c r="M119" s="4109"/>
      <c r="N119" s="3852"/>
      <c r="O119" s="3853"/>
      <c r="P119" s="3853"/>
    </row>
    <row r="120" spans="1:16" s="1945" customFormat="1" ht="56.25" hidden="1" customHeight="1">
      <c r="A120" s="3848"/>
      <c r="B120" s="3848"/>
      <c r="C120" s="3849"/>
      <c r="D120" s="4221"/>
      <c r="E120" s="4219"/>
      <c r="F120" s="4219"/>
      <c r="G120" s="4219"/>
      <c r="H120" s="2567" t="s">
        <v>417</v>
      </c>
      <c r="I120" s="3846">
        <v>48945.666481481479</v>
      </c>
      <c r="J120" s="3847">
        <v>49309.662523148145</v>
      </c>
      <c r="K120" s="3855">
        <v>214331.51</v>
      </c>
      <c r="L120" s="2568" t="s">
        <v>296</v>
      </c>
      <c r="M120" s="4109"/>
      <c r="N120" s="3852"/>
      <c r="O120" s="3853"/>
      <c r="P120" s="3853"/>
    </row>
    <row r="121" spans="1:16" s="1945" customFormat="1" ht="56.25" hidden="1" customHeight="1">
      <c r="A121" s="3848"/>
      <c r="B121" s="3848"/>
      <c r="C121" s="3849"/>
      <c r="D121" s="4221"/>
      <c r="E121" s="4219"/>
      <c r="F121" s="4219"/>
      <c r="G121" s="4219"/>
      <c r="H121" s="2567" t="s">
        <v>417</v>
      </c>
      <c r="I121" s="3846">
        <v>49310.666631944441</v>
      </c>
      <c r="J121" s="3847">
        <v>49674.665648148148</v>
      </c>
      <c r="K121" s="3855">
        <v>217581.97</v>
      </c>
      <c r="L121" s="2568" t="s">
        <v>296</v>
      </c>
      <c r="M121" s="4109"/>
      <c r="N121" s="3852"/>
      <c r="O121" s="3853"/>
      <c r="P121" s="3853"/>
    </row>
    <row r="122" spans="1:16" s="1945" customFormat="1" ht="56.25" hidden="1" customHeight="1">
      <c r="A122" s="3848"/>
      <c r="B122" s="3848"/>
      <c r="C122" s="3849"/>
      <c r="D122" s="4221"/>
      <c r="E122" s="4219"/>
      <c r="F122" s="4219"/>
      <c r="G122" s="4219"/>
      <c r="H122" s="2567" t="s">
        <v>417</v>
      </c>
      <c r="I122" s="3846">
        <v>49675.66673611111</v>
      </c>
      <c r="J122" s="3847">
        <v>49856.665798611109</v>
      </c>
      <c r="K122" s="3855">
        <v>119824.35</v>
      </c>
      <c r="L122" s="2568" t="s">
        <v>296</v>
      </c>
      <c r="M122" s="4109"/>
      <c r="N122" s="3852"/>
      <c r="O122" s="3853"/>
      <c r="P122" s="3853"/>
    </row>
    <row r="123" spans="1:16" s="1923" customFormat="1" ht="18.75" hidden="1" customHeight="1">
      <c r="A123" s="1691"/>
      <c r="B123" s="1691"/>
      <c r="C123" s="297" t="s">
        <v>1044</v>
      </c>
      <c r="D123" s="4220"/>
      <c r="E123" s="4027"/>
      <c r="F123" s="4162"/>
      <c r="G123" s="4191"/>
      <c r="H123" s="1410"/>
      <c r="I123" s="572" t="s">
        <v>1043</v>
      </c>
      <c r="J123" s="496"/>
      <c r="K123" s="1410"/>
      <c r="L123" s="135"/>
      <c r="M123" s="3991"/>
      <c r="N123" s="261"/>
      <c r="O123" s="1536"/>
      <c r="P123" s="1536"/>
    </row>
    <row r="124" spans="1:16" s="1923" customFormat="1" ht="0.75" hidden="1" customHeight="1">
      <c r="A124" s="1691"/>
      <c r="B124" s="1691"/>
      <c r="C124" s="297" t="s">
        <v>1053</v>
      </c>
      <c r="D124" s="4220"/>
      <c r="E124" s="4027"/>
      <c r="F124" s="4162"/>
      <c r="G124" s="334"/>
      <c r="H124" s="1410"/>
      <c r="I124" s="572"/>
      <c r="J124" s="496"/>
      <c r="K124" s="1410"/>
      <c r="L124" s="135"/>
      <c r="M124" s="3991"/>
      <c r="N124" s="261"/>
      <c r="O124" s="1536"/>
      <c r="P124" s="1536"/>
    </row>
    <row r="125" spans="1:16" s="1923" customFormat="1" ht="45" customHeight="1">
      <c r="A125" s="1691" t="s">
        <v>161</v>
      </c>
      <c r="B125" s="1691" t="s">
        <v>162</v>
      </c>
      <c r="C125" s="297"/>
      <c r="D125" s="4220"/>
      <c r="E125" s="4027"/>
      <c r="F125" s="4162" t="str">
        <f>INDEX(PT_DIFFERENTIATION_VTAR,MATCH(A125,PT_DIFFERENTIATION_VTAR_ID,0))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25" s="4191" t="str">
        <f>INDEX(PT_DIFFERENTIATION_NTAR,MATCH(B125,PT_DIFFERENTIATION_NTAR_ID,0))</f>
        <v>Тарифы на тепловую энергию (мощность) на коллекторах источника тепловой энергии, поставляемую потребителям ООО "РИР-Сахалин"</v>
      </c>
      <c r="H125" s="1773"/>
      <c r="I125" s="3846">
        <v>45292</v>
      </c>
      <c r="J125" s="1684">
        <v>45657</v>
      </c>
      <c r="K125" s="1689">
        <v>160293.94</v>
      </c>
      <c r="L125" s="1773" t="s">
        <v>296</v>
      </c>
      <c r="M125" s="3992"/>
      <c r="N125" s="261"/>
      <c r="O125" s="1536"/>
      <c r="P125" s="1536"/>
    </row>
    <row r="126" spans="1:16" s="1945" customFormat="1" ht="56.25" customHeight="1">
      <c r="A126" s="3848"/>
      <c r="B126" s="3848"/>
      <c r="C126" s="3849"/>
      <c r="D126" s="4221"/>
      <c r="E126" s="4219"/>
      <c r="F126" s="4219"/>
      <c r="G126" s="4219"/>
      <c r="H126" s="2567" t="s">
        <v>417</v>
      </c>
      <c r="I126" s="3846">
        <v>45658</v>
      </c>
      <c r="J126" s="3847">
        <v>46022</v>
      </c>
      <c r="K126" s="3855">
        <v>167842.15</v>
      </c>
      <c r="L126" s="2568" t="s">
        <v>296</v>
      </c>
      <c r="M126" s="3851"/>
      <c r="N126" s="3852"/>
      <c r="O126" s="3853"/>
      <c r="P126" s="3853"/>
    </row>
    <row r="127" spans="1:16" s="1945" customFormat="1" ht="56.25" customHeight="1">
      <c r="A127" s="3848"/>
      <c r="B127" s="3848"/>
      <c r="C127" s="3849"/>
      <c r="D127" s="4221"/>
      <c r="E127" s="4219"/>
      <c r="F127" s="4219"/>
      <c r="G127" s="4219"/>
      <c r="H127" s="2567" t="s">
        <v>417</v>
      </c>
      <c r="I127" s="3846">
        <v>46023</v>
      </c>
      <c r="J127" s="3847">
        <v>46387</v>
      </c>
      <c r="K127" s="3855">
        <v>169623.36</v>
      </c>
      <c r="L127" s="2568" t="s">
        <v>296</v>
      </c>
      <c r="M127" s="3851"/>
      <c r="N127" s="3852"/>
      <c r="O127" s="3853"/>
      <c r="P127" s="3853"/>
    </row>
    <row r="128" spans="1:16" s="1945" customFormat="1" ht="56.25" customHeight="1">
      <c r="A128" s="3848"/>
      <c r="B128" s="3848"/>
      <c r="C128" s="3849"/>
      <c r="D128" s="4221"/>
      <c r="E128" s="4219"/>
      <c r="F128" s="4219"/>
      <c r="G128" s="4219"/>
      <c r="H128" s="2567" t="s">
        <v>417</v>
      </c>
      <c r="I128" s="3846">
        <v>46388</v>
      </c>
      <c r="J128" s="3847">
        <v>46752</v>
      </c>
      <c r="K128" s="3855">
        <v>248695.77</v>
      </c>
      <c r="L128" s="2568" t="s">
        <v>296</v>
      </c>
      <c r="M128" s="3851"/>
      <c r="N128" s="3852"/>
      <c r="O128" s="3853"/>
      <c r="P128" s="3853"/>
    </row>
    <row r="129" spans="1:16" s="1945" customFormat="1" ht="56.25" customHeight="1">
      <c r="A129" s="3848"/>
      <c r="B129" s="3848"/>
      <c r="C129" s="3849"/>
      <c r="D129" s="4221"/>
      <c r="E129" s="4219"/>
      <c r="F129" s="4219"/>
      <c r="G129" s="4219"/>
      <c r="H129" s="2567" t="s">
        <v>417</v>
      </c>
      <c r="I129" s="3846">
        <v>46753.663078703707</v>
      </c>
      <c r="J129" s="3847">
        <v>47118.661562499998</v>
      </c>
      <c r="K129" s="3855">
        <v>263894.98</v>
      </c>
      <c r="L129" s="2568" t="s">
        <v>296</v>
      </c>
      <c r="M129" s="3851"/>
      <c r="N129" s="3852"/>
      <c r="O129" s="3853"/>
      <c r="P129" s="3853"/>
    </row>
    <row r="130" spans="1:16" s="1945" customFormat="1" ht="56.25" customHeight="1">
      <c r="A130" s="3848"/>
      <c r="B130" s="3848"/>
      <c r="C130" s="3849"/>
      <c r="D130" s="4221"/>
      <c r="E130" s="4219"/>
      <c r="F130" s="4219"/>
      <c r="G130" s="4219"/>
      <c r="H130" s="2567" t="s">
        <v>417</v>
      </c>
      <c r="I130" s="3846">
        <v>47119.663530092592</v>
      </c>
      <c r="J130" s="3847">
        <v>47483.661770833336</v>
      </c>
      <c r="K130" s="3855">
        <v>245132.1</v>
      </c>
      <c r="L130" s="2568" t="s">
        <v>296</v>
      </c>
      <c r="M130" s="3851"/>
      <c r="N130" s="3852"/>
      <c r="O130" s="3853"/>
      <c r="P130" s="3853"/>
    </row>
    <row r="131" spans="1:16" s="1945" customFormat="1" ht="56.25" customHeight="1">
      <c r="A131" s="3848"/>
      <c r="B131" s="3848"/>
      <c r="C131" s="3849"/>
      <c r="D131" s="4221"/>
      <c r="E131" s="4219"/>
      <c r="F131" s="4219"/>
      <c r="G131" s="4219"/>
      <c r="H131" s="2567" t="s">
        <v>417</v>
      </c>
      <c r="I131" s="3846">
        <v>47484.665995370371</v>
      </c>
      <c r="J131" s="3847">
        <v>47848.661874999998</v>
      </c>
      <c r="K131" s="3855">
        <v>241921.43</v>
      </c>
      <c r="L131" s="2568" t="s">
        <v>296</v>
      </c>
      <c r="M131" s="3851"/>
      <c r="N131" s="3852"/>
      <c r="O131" s="3853"/>
      <c r="P131" s="3853"/>
    </row>
    <row r="132" spans="1:16" s="1945" customFormat="1" ht="56.25" customHeight="1">
      <c r="A132" s="3848"/>
      <c r="B132" s="3848"/>
      <c r="C132" s="3849"/>
      <c r="D132" s="4221"/>
      <c r="E132" s="4219"/>
      <c r="F132" s="4219"/>
      <c r="G132" s="4219"/>
      <c r="H132" s="2567" t="s">
        <v>417</v>
      </c>
      <c r="I132" s="3846">
        <v>47849.666122685187</v>
      </c>
      <c r="J132" s="3847">
        <v>48213.66196759259</v>
      </c>
      <c r="K132" s="3855">
        <v>214432.49</v>
      </c>
      <c r="L132" s="2568" t="s">
        <v>296</v>
      </c>
      <c r="M132" s="3851"/>
      <c r="N132" s="3852"/>
      <c r="O132" s="3853"/>
      <c r="P132" s="3853"/>
    </row>
    <row r="133" spans="1:16" s="1945" customFormat="1" ht="56.25" customHeight="1">
      <c r="A133" s="3848"/>
      <c r="B133" s="3848"/>
      <c r="C133" s="3849"/>
      <c r="D133" s="4221"/>
      <c r="E133" s="4219"/>
      <c r="F133" s="4219"/>
      <c r="G133" s="4219"/>
      <c r="H133" s="2567" t="s">
        <v>417</v>
      </c>
      <c r="I133" s="3846">
        <v>48214.666226851848</v>
      </c>
      <c r="J133" s="3847">
        <v>48579.662141203706</v>
      </c>
      <c r="K133" s="3855">
        <v>208006.84</v>
      </c>
      <c r="L133" s="2568" t="s">
        <v>296</v>
      </c>
      <c r="M133" s="3851"/>
      <c r="N133" s="3852"/>
      <c r="O133" s="3853"/>
      <c r="P133" s="3853"/>
    </row>
    <row r="134" spans="1:16" s="1945" customFormat="1" ht="56.25" customHeight="1">
      <c r="A134" s="3848"/>
      <c r="B134" s="3848"/>
      <c r="C134" s="3849"/>
      <c r="D134" s="4221"/>
      <c r="E134" s="4219"/>
      <c r="F134" s="4219"/>
      <c r="G134" s="4219"/>
      <c r="H134" s="2567" t="s">
        <v>417</v>
      </c>
      <c r="I134" s="3846">
        <v>48580.666342592594</v>
      </c>
      <c r="J134" s="3847">
        <v>48944.662314814814</v>
      </c>
      <c r="K134" s="3855">
        <v>226949.23</v>
      </c>
      <c r="L134" s="2568" t="s">
        <v>296</v>
      </c>
      <c r="M134" s="3851"/>
      <c r="N134" s="3852"/>
      <c r="O134" s="3853"/>
      <c r="P134" s="3853"/>
    </row>
    <row r="135" spans="1:16" s="1945" customFormat="1" ht="56.25" customHeight="1">
      <c r="A135" s="3848"/>
      <c r="B135" s="3848"/>
      <c r="C135" s="3849"/>
      <c r="D135" s="4221"/>
      <c r="E135" s="4219"/>
      <c r="F135" s="4219"/>
      <c r="G135" s="4219"/>
      <c r="H135" s="2567" t="s">
        <v>417</v>
      </c>
      <c r="I135" s="3846">
        <v>48945.666481481479</v>
      </c>
      <c r="J135" s="3847">
        <v>49309.662523148145</v>
      </c>
      <c r="K135" s="3855">
        <v>214331.51</v>
      </c>
      <c r="L135" s="2568" t="s">
        <v>296</v>
      </c>
      <c r="M135" s="3851"/>
      <c r="N135" s="3852"/>
      <c r="O135" s="3853"/>
      <c r="P135" s="3853"/>
    </row>
    <row r="136" spans="1:16" s="1945" customFormat="1" ht="56.25" customHeight="1">
      <c r="A136" s="3848"/>
      <c r="B136" s="3848"/>
      <c r="C136" s="3849"/>
      <c r="D136" s="4221"/>
      <c r="E136" s="4219"/>
      <c r="F136" s="4219"/>
      <c r="G136" s="4219"/>
      <c r="H136" s="2567" t="s">
        <v>417</v>
      </c>
      <c r="I136" s="3846">
        <v>49310.666631944441</v>
      </c>
      <c r="J136" s="3847">
        <v>49674.665648148148</v>
      </c>
      <c r="K136" s="3855">
        <v>217581.97</v>
      </c>
      <c r="L136" s="2568" t="s">
        <v>296</v>
      </c>
      <c r="M136" s="3851"/>
      <c r="N136" s="3852"/>
      <c r="O136" s="3853"/>
      <c r="P136" s="3853"/>
    </row>
    <row r="137" spans="1:16" s="1945" customFormat="1" ht="56.25" customHeight="1">
      <c r="A137" s="3848"/>
      <c r="B137" s="3848"/>
      <c r="C137" s="3849"/>
      <c r="D137" s="4221"/>
      <c r="E137" s="4219"/>
      <c r="F137" s="4219"/>
      <c r="G137" s="4219"/>
      <c r="H137" s="2567" t="s">
        <v>417</v>
      </c>
      <c r="I137" s="3846">
        <v>49675.66673611111</v>
      </c>
      <c r="J137" s="3847">
        <v>49856.665798611109</v>
      </c>
      <c r="K137" s="3855">
        <v>119824.35</v>
      </c>
      <c r="L137" s="2568" t="s">
        <v>296</v>
      </c>
      <c r="M137" s="3851"/>
      <c r="N137" s="3852"/>
      <c r="O137" s="3853"/>
      <c r="P137" s="3853"/>
    </row>
    <row r="138" spans="1:16" s="1923" customFormat="1" ht="18.75" customHeight="1">
      <c r="A138" s="1691"/>
      <c r="B138" s="1691"/>
      <c r="C138" s="297" t="s">
        <v>1044</v>
      </c>
      <c r="D138" s="4220"/>
      <c r="E138" s="4027"/>
      <c r="F138" s="4162"/>
      <c r="G138" s="4191"/>
      <c r="H138" s="1410"/>
      <c r="I138" s="572" t="s">
        <v>1043</v>
      </c>
      <c r="J138" s="496"/>
      <c r="K138" s="1410"/>
      <c r="L138" s="135"/>
      <c r="M138" s="1772"/>
      <c r="N138" s="261"/>
      <c r="O138" s="1536"/>
      <c r="P138" s="1536"/>
    </row>
    <row r="139" spans="1:16" s="1923" customFormat="1" ht="0.75" customHeight="1">
      <c r="A139" s="1691"/>
      <c r="B139" s="1691"/>
      <c r="C139" s="297" t="s">
        <v>1053</v>
      </c>
      <c r="D139" s="4220"/>
      <c r="E139" s="4027"/>
      <c r="F139" s="4162"/>
      <c r="G139" s="334"/>
      <c r="H139" s="1410"/>
      <c r="I139" s="572"/>
      <c r="J139" s="496"/>
      <c r="K139" s="1410"/>
      <c r="L139" s="135"/>
      <c r="M139" s="268"/>
      <c r="N139" s="261"/>
      <c r="O139" s="1536"/>
      <c r="P139" s="1536"/>
    </row>
    <row r="140" spans="1:16" s="1923" customFormat="1" ht="45" hidden="1" customHeight="1">
      <c r="A140" s="1691" t="s">
        <v>171</v>
      </c>
      <c r="B140" s="1691" t="s">
        <v>172</v>
      </c>
      <c r="C140" s="297"/>
      <c r="D140" s="4220"/>
      <c r="E140" s="4027"/>
      <c r="F140" s="4162" t="str">
        <f>INDEX(PT_DIFFERENTIATION_VTAR,MATCH(A140,PT_DIFFERENTIATION_VTAR_ID,0))</f>
        <v>Тарифы на теплоноситель, поставляемый теплоснабжающими организациями потребителям, другим теплоснабжающим организациям</v>
      </c>
      <c r="G140" s="4191" t="str">
        <f>INDEX(PT_DIFFERENTIATION_NTAR,MATCH(B140,PT_DIFFERENTIATION_NTAR_ID,0))</f>
        <v/>
      </c>
      <c r="H140" s="1773"/>
      <c r="I140" s="1649"/>
      <c r="J140" s="1684"/>
      <c r="K140" s="1689"/>
      <c r="L140" s="1773" t="s">
        <v>296</v>
      </c>
      <c r="M140" s="268"/>
      <c r="N140" s="261"/>
      <c r="O140" s="1536"/>
      <c r="P140" s="1536"/>
    </row>
    <row r="141" spans="1:16" s="1923" customFormat="1" ht="18.75" hidden="1" customHeight="1">
      <c r="A141" s="1691"/>
      <c r="B141" s="1691"/>
      <c r="C141" s="297" t="s">
        <v>1044</v>
      </c>
      <c r="D141" s="4220"/>
      <c r="E141" s="4027"/>
      <c r="F141" s="4162"/>
      <c r="G141" s="4191"/>
      <c r="H141" s="1410"/>
      <c r="I141" s="572" t="s">
        <v>1043</v>
      </c>
      <c r="J141" s="496"/>
      <c r="K141" s="1410"/>
      <c r="L141" s="135"/>
      <c r="M141" s="268"/>
      <c r="N141" s="261"/>
      <c r="O141" s="1536"/>
      <c r="P141" s="1536"/>
    </row>
    <row r="142" spans="1:16" s="1923" customFormat="1" ht="0.75" hidden="1" customHeight="1">
      <c r="A142" s="1691"/>
      <c r="B142" s="1691"/>
      <c r="C142" s="297" t="s">
        <v>1053</v>
      </c>
      <c r="D142" s="4220"/>
      <c r="E142" s="4027"/>
      <c r="F142" s="4162"/>
      <c r="G142" s="334"/>
      <c r="H142" s="1410"/>
      <c r="I142" s="572"/>
      <c r="J142" s="496"/>
      <c r="K142" s="1410"/>
      <c r="L142" s="135"/>
      <c r="M142" s="268"/>
      <c r="N142" s="261"/>
      <c r="O142" s="1536"/>
      <c r="P142" s="1536"/>
    </row>
    <row r="143" spans="1:16" s="1923" customFormat="1" ht="45" hidden="1" customHeight="1">
      <c r="A143" s="1691" t="s">
        <v>177</v>
      </c>
      <c r="B143" s="1691" t="s">
        <v>178</v>
      </c>
      <c r="C143" s="297"/>
      <c r="D143" s="4220"/>
      <c r="E143" s="4027"/>
      <c r="F143" s="4162"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43" s="4191" t="str">
        <f>INDEX(PT_DIFFERENTIATION_NTAR,MATCH(B143,PT_DIFFERENTIATION_NTAR_ID,0))</f>
        <v/>
      </c>
      <c r="H143" s="1773"/>
      <c r="I143" s="1649"/>
      <c r="J143" s="1684"/>
      <c r="K143" s="1689"/>
      <c r="L143" s="1773" t="s">
        <v>296</v>
      </c>
      <c r="M143" s="268"/>
      <c r="N143" s="261"/>
      <c r="O143" s="1536"/>
      <c r="P143" s="1536"/>
    </row>
    <row r="144" spans="1:16" s="1923" customFormat="1" ht="18.75" hidden="1" customHeight="1">
      <c r="A144" s="1691"/>
      <c r="B144" s="1691"/>
      <c r="C144" s="297" t="s">
        <v>1044</v>
      </c>
      <c r="D144" s="4220"/>
      <c r="E144" s="4027"/>
      <c r="F144" s="4162"/>
      <c r="G144" s="4191"/>
      <c r="H144" s="1410"/>
      <c r="I144" s="572" t="s">
        <v>1043</v>
      </c>
      <c r="J144" s="496"/>
      <c r="K144" s="1410"/>
      <c r="L144" s="135"/>
      <c r="M144" s="268"/>
      <c r="N144" s="261"/>
      <c r="O144" s="1536"/>
      <c r="P144" s="1536"/>
    </row>
    <row r="145" spans="1:16" s="1923" customFormat="1" ht="0.75" hidden="1" customHeight="1">
      <c r="A145" s="1691"/>
      <c r="B145" s="1691"/>
      <c r="C145" s="297" t="s">
        <v>1053</v>
      </c>
      <c r="D145" s="4220"/>
      <c r="E145" s="4027"/>
      <c r="F145" s="4162"/>
      <c r="G145" s="334"/>
      <c r="H145" s="1410"/>
      <c r="I145" s="572"/>
      <c r="J145" s="496"/>
      <c r="K145" s="1410"/>
      <c r="L145" s="135"/>
      <c r="M145" s="268"/>
      <c r="N145" s="261"/>
      <c r="O145" s="1536"/>
      <c r="P145" s="1536"/>
    </row>
    <row r="146" spans="1:16" s="1923" customFormat="1" ht="18.75" hidden="1" customHeight="1">
      <c r="A146" s="1691" t="s">
        <v>183</v>
      </c>
      <c r="B146" s="1691" t="s">
        <v>184</v>
      </c>
      <c r="C146" s="297"/>
      <c r="D146" s="4220"/>
      <c r="E146" s="4027"/>
      <c r="F146" s="4162" t="str">
        <f>INDEX(PT_DIFFERENTIATION_VTAR,MATCH(A146,PT_DIFFERENTIATION_VTAR_ID,0))</f>
        <v>Тарифы на услуги по передаче тепловой энергии</v>
      </c>
      <c r="G146" s="4191" t="str">
        <f>INDEX(PT_DIFFERENTIATION_NTAR,MATCH(B146,PT_DIFFERENTIATION_NTAR_ID,0))</f>
        <v/>
      </c>
      <c r="H146" s="1773"/>
      <c r="I146" s="1649"/>
      <c r="J146" s="1684"/>
      <c r="K146" s="1689"/>
      <c r="L146" s="1773" t="s">
        <v>296</v>
      </c>
      <c r="M146" s="268"/>
      <c r="N146" s="261"/>
      <c r="O146" s="1536"/>
      <c r="P146" s="1536"/>
    </row>
    <row r="147" spans="1:16" s="1923" customFormat="1" ht="18.75" hidden="1" customHeight="1">
      <c r="A147" s="1691"/>
      <c r="B147" s="1691"/>
      <c r="C147" s="297" t="s">
        <v>1044</v>
      </c>
      <c r="D147" s="4220"/>
      <c r="E147" s="4027"/>
      <c r="F147" s="4162"/>
      <c r="G147" s="4191"/>
      <c r="H147" s="1410"/>
      <c r="I147" s="572" t="s">
        <v>1043</v>
      </c>
      <c r="J147" s="496"/>
      <c r="K147" s="1410"/>
      <c r="L147" s="135"/>
      <c r="M147" s="268"/>
      <c r="N147" s="261"/>
      <c r="O147" s="1536"/>
      <c r="P147" s="1536"/>
    </row>
    <row r="148" spans="1:16" s="1923" customFormat="1" ht="0.75" hidden="1" customHeight="1">
      <c r="A148" s="1691"/>
      <c r="B148" s="1691"/>
      <c r="C148" s="297" t="s">
        <v>1053</v>
      </c>
      <c r="D148" s="4220"/>
      <c r="E148" s="4027"/>
      <c r="F148" s="4162"/>
      <c r="G148" s="334"/>
      <c r="H148" s="1410"/>
      <c r="I148" s="572"/>
      <c r="J148" s="496"/>
      <c r="K148" s="1410"/>
      <c r="L148" s="135"/>
      <c r="M148" s="268"/>
      <c r="N148" s="261"/>
      <c r="O148" s="1536"/>
      <c r="P148" s="1536"/>
    </row>
    <row r="149" spans="1:16" s="1923" customFormat="1" ht="18.75" hidden="1" customHeight="1">
      <c r="A149" s="1691" t="s">
        <v>189</v>
      </c>
      <c r="B149" s="1691" t="s">
        <v>190</v>
      </c>
      <c r="C149" s="297"/>
      <c r="D149" s="4220"/>
      <c r="E149" s="4027"/>
      <c r="F149" s="4162" t="str">
        <f>INDEX(PT_DIFFERENTIATION_VTAR,MATCH(A149,PT_DIFFERENTIATION_VTAR_ID,0))</f>
        <v>Тарифы на услуги по передаче теплоносителя</v>
      </c>
      <c r="G149" s="4191" t="str">
        <f>INDEX(PT_DIFFERENTIATION_NTAR,MATCH(B149,PT_DIFFERENTIATION_NTAR_ID,0))</f>
        <v/>
      </c>
      <c r="H149" s="1773"/>
      <c r="I149" s="1649"/>
      <c r="J149" s="1684"/>
      <c r="K149" s="1689"/>
      <c r="L149" s="1773" t="s">
        <v>296</v>
      </c>
      <c r="M149" s="268"/>
      <c r="N149" s="261"/>
      <c r="O149" s="1536"/>
      <c r="P149" s="1536"/>
    </row>
    <row r="150" spans="1:16" s="1923" customFormat="1" ht="18.75" hidden="1" customHeight="1">
      <c r="A150" s="1691"/>
      <c r="B150" s="1691"/>
      <c r="C150" s="297" t="s">
        <v>1044</v>
      </c>
      <c r="D150" s="4220"/>
      <c r="E150" s="4027"/>
      <c r="F150" s="4162"/>
      <c r="G150" s="4191"/>
      <c r="H150" s="1410"/>
      <c r="I150" s="572" t="s">
        <v>1043</v>
      </c>
      <c r="J150" s="496"/>
      <c r="K150" s="1410"/>
      <c r="L150" s="135"/>
      <c r="M150" s="268"/>
      <c r="N150" s="261"/>
      <c r="O150" s="1536"/>
      <c r="P150" s="1536"/>
    </row>
    <row r="151" spans="1:16" s="1923" customFormat="1" ht="0.75" hidden="1" customHeight="1">
      <c r="A151" s="1691"/>
      <c r="B151" s="1691"/>
      <c r="C151" s="297" t="s">
        <v>1053</v>
      </c>
      <c r="D151" s="4220"/>
      <c r="E151" s="4027"/>
      <c r="F151" s="4162"/>
      <c r="G151" s="334"/>
      <c r="H151" s="1410"/>
      <c r="I151" s="572"/>
      <c r="J151" s="496"/>
      <c r="K151" s="1410"/>
      <c r="L151" s="135"/>
      <c r="M151" s="268"/>
      <c r="N151" s="261"/>
      <c r="O151" s="1536"/>
      <c r="P151" s="1536"/>
    </row>
    <row r="152" spans="1:16" s="1923" customFormat="1" ht="18.75" hidden="1" customHeight="1">
      <c r="A152" s="1691" t="s">
        <v>195</v>
      </c>
      <c r="B152" s="1691" t="s">
        <v>196</v>
      </c>
      <c r="C152" s="297"/>
      <c r="D152" s="4220"/>
      <c r="E152" s="4027"/>
      <c r="F152" s="4162" t="str">
        <f>INDEX(PT_DIFFERENTIATION_VTAR,MATCH(A152,PT_DIFFERENTIATION_VTAR_ID,0))</f>
        <v>Плата за услуги по поддержанию резервной тепловой мощности при отсутствии потребления тепловой энергии</v>
      </c>
      <c r="G152" s="4191" t="str">
        <f>INDEX(PT_DIFFERENTIATION_NTAR,MATCH(B152,PT_DIFFERENTIATION_NTAR_ID,0))</f>
        <v/>
      </c>
      <c r="H152" s="1773"/>
      <c r="I152" s="1649"/>
      <c r="J152" s="1684"/>
      <c r="K152" s="1689"/>
      <c r="L152" s="1773" t="s">
        <v>296</v>
      </c>
      <c r="M152" s="268"/>
      <c r="N152" s="261"/>
      <c r="O152" s="1536"/>
      <c r="P152" s="1536"/>
    </row>
    <row r="153" spans="1:16" s="1923" customFormat="1" ht="18.75" hidden="1" customHeight="1">
      <c r="A153" s="1691"/>
      <c r="B153" s="1691"/>
      <c r="C153" s="297" t="s">
        <v>1044</v>
      </c>
      <c r="D153" s="4220"/>
      <c r="E153" s="4027"/>
      <c r="F153" s="4162"/>
      <c r="G153" s="4191"/>
      <c r="H153" s="1410"/>
      <c r="I153" s="572" t="s">
        <v>1043</v>
      </c>
      <c r="J153" s="496"/>
      <c r="K153" s="1410"/>
      <c r="L153" s="135"/>
      <c r="M153" s="268"/>
      <c r="N153" s="261"/>
      <c r="O153" s="1536"/>
      <c r="P153" s="1536"/>
    </row>
    <row r="154" spans="1:16" s="1923" customFormat="1" ht="0.75" hidden="1" customHeight="1">
      <c r="A154" s="1691"/>
      <c r="B154" s="1691"/>
      <c r="C154" s="297" t="s">
        <v>1053</v>
      </c>
      <c r="D154" s="4220"/>
      <c r="E154" s="4027"/>
      <c r="F154" s="4162"/>
      <c r="G154" s="334"/>
      <c r="H154" s="1410"/>
      <c r="I154" s="572"/>
      <c r="J154" s="496"/>
      <c r="K154" s="1410"/>
      <c r="L154" s="135"/>
      <c r="M154" s="268"/>
      <c r="N154" s="261"/>
      <c r="O154" s="1536"/>
      <c r="P154" s="1536"/>
    </row>
    <row r="155" spans="1:16" s="1923" customFormat="1" ht="18.75" hidden="1" customHeight="1">
      <c r="A155" s="1691" t="s">
        <v>201</v>
      </c>
      <c r="B155" s="1691" t="s">
        <v>202</v>
      </c>
      <c r="C155" s="297"/>
      <c r="D155" s="4220"/>
      <c r="E155" s="4027"/>
      <c r="F155" s="4162" t="str">
        <f>INDEX(PT_DIFFERENTIATION_VTAR,MATCH(A155,PT_DIFFERENTIATION_VTAR_ID,0))</f>
        <v>Плата за подключение (технологическое присоединение) к системе теплоснабжения</v>
      </c>
      <c r="G155" s="4191" t="str">
        <f>INDEX(PT_DIFFERENTIATION_NTAR,MATCH(B155,PT_DIFFERENTIATION_NTAR_ID,0))</f>
        <v/>
      </c>
      <c r="H155" s="1773"/>
      <c r="I155" s="1649"/>
      <c r="J155" s="1684"/>
      <c r="K155" s="1689"/>
      <c r="L155" s="1773" t="s">
        <v>296</v>
      </c>
      <c r="M155" s="268"/>
      <c r="N155" s="261"/>
      <c r="O155" s="1536"/>
      <c r="P155" s="1536"/>
    </row>
    <row r="156" spans="1:16" s="1923" customFormat="1" ht="18.75" hidden="1" customHeight="1">
      <c r="A156" s="1691"/>
      <c r="B156" s="1691"/>
      <c r="C156" s="297" t="s">
        <v>1044</v>
      </c>
      <c r="D156" s="4220"/>
      <c r="E156" s="4027"/>
      <c r="F156" s="4162"/>
      <c r="G156" s="4191"/>
      <c r="H156" s="1410"/>
      <c r="I156" s="572" t="s">
        <v>1043</v>
      </c>
      <c r="J156" s="496"/>
      <c r="K156" s="1410"/>
      <c r="L156" s="135"/>
      <c r="M156" s="268"/>
      <c r="N156" s="261"/>
      <c r="O156" s="1536"/>
      <c r="P156" s="1536"/>
    </row>
    <row r="157" spans="1:16" s="1923" customFormat="1" ht="0.75" hidden="1" customHeight="1">
      <c r="A157" s="1691"/>
      <c r="B157" s="1691"/>
      <c r="C157" s="297" t="s">
        <v>1053</v>
      </c>
      <c r="D157" s="4220"/>
      <c r="E157" s="4027"/>
      <c r="F157" s="4162"/>
      <c r="G157" s="334"/>
      <c r="H157" s="1410"/>
      <c r="I157" s="572"/>
      <c r="J157" s="496"/>
      <c r="K157" s="1410"/>
      <c r="L157" s="135"/>
      <c r="M157" s="268"/>
      <c r="N157" s="261"/>
      <c r="O157" s="1536"/>
      <c r="P157" s="1536"/>
    </row>
    <row r="158" spans="1:16" s="1923" customFormat="1" ht="18.75" hidden="1" customHeight="1">
      <c r="A158" s="1691" t="s">
        <v>215</v>
      </c>
      <c r="B158" s="1691" t="s">
        <v>216</v>
      </c>
      <c r="C158" s="297"/>
      <c r="D158" s="4220"/>
      <c r="E158" s="4027"/>
      <c r="F158" s="4162" t="str">
        <f>INDEX(PT_DIFFERENTIATION_VTAR,MATCH(A158,PT_DIFFERENTIATION_VTAR_ID,0))</f>
        <v>Тариф на питьевую воду (питьевое водоснабжение)</v>
      </c>
      <c r="G158" s="4191" t="str">
        <f>INDEX(PT_DIFFERENTIATION_NTAR,MATCH(B158,PT_DIFFERENTIATION_NTAR_ID,0))</f>
        <v/>
      </c>
      <c r="H158" s="1773"/>
      <c r="I158" s="1649"/>
      <c r="J158" s="1684"/>
      <c r="K158" s="1689"/>
      <c r="L158" s="1773" t="s">
        <v>296</v>
      </c>
      <c r="M158" s="268"/>
      <c r="N158" s="261"/>
      <c r="O158" s="1536"/>
      <c r="P158" s="1536"/>
    </row>
    <row r="159" spans="1:16" s="1923" customFormat="1" ht="18.75" hidden="1" customHeight="1">
      <c r="A159" s="1691"/>
      <c r="B159" s="1691"/>
      <c r="C159" s="297" t="s">
        <v>1044</v>
      </c>
      <c r="D159" s="4220"/>
      <c r="E159" s="4027"/>
      <c r="F159" s="4162"/>
      <c r="G159" s="4191"/>
      <c r="H159" s="1410"/>
      <c r="I159" s="572" t="s">
        <v>1043</v>
      </c>
      <c r="J159" s="496"/>
      <c r="K159" s="1410"/>
      <c r="L159" s="135"/>
      <c r="M159" s="268"/>
      <c r="N159" s="261"/>
      <c r="O159" s="1536"/>
      <c r="P159" s="1536"/>
    </row>
    <row r="160" spans="1:16" s="1923" customFormat="1" ht="0.75" hidden="1" customHeight="1">
      <c r="A160" s="1691"/>
      <c r="B160" s="1691"/>
      <c r="C160" s="297" t="s">
        <v>1053</v>
      </c>
      <c r="D160" s="4220"/>
      <c r="E160" s="4027"/>
      <c r="F160" s="4162"/>
      <c r="G160" s="334"/>
      <c r="H160" s="1410"/>
      <c r="I160" s="572"/>
      <c r="J160" s="496"/>
      <c r="K160" s="1410"/>
      <c r="L160" s="135"/>
      <c r="M160" s="268"/>
      <c r="N160" s="261"/>
      <c r="O160" s="1536"/>
      <c r="P160" s="1536"/>
    </row>
    <row r="161" spans="1:16" s="1923" customFormat="1" ht="18.75" hidden="1" customHeight="1">
      <c r="A161" s="1691" t="s">
        <v>220</v>
      </c>
      <c r="B161" s="1691" t="s">
        <v>221</v>
      </c>
      <c r="C161" s="297"/>
      <c r="D161" s="4220"/>
      <c r="E161" s="4027"/>
      <c r="F161" s="4162" t="str">
        <f>INDEX(PT_DIFFERENTIATION_VTAR,MATCH(A161,PT_DIFFERENTIATION_VTAR_ID,0))</f>
        <v>Тариф на техническую воду</v>
      </c>
      <c r="G161" s="4191" t="str">
        <f>INDEX(PT_DIFFERENTIATION_NTAR,MATCH(B161,PT_DIFFERENTIATION_NTAR_ID,0))</f>
        <v/>
      </c>
      <c r="H161" s="1773"/>
      <c r="I161" s="1649"/>
      <c r="J161" s="1684"/>
      <c r="K161" s="1689"/>
      <c r="L161" s="1773" t="s">
        <v>296</v>
      </c>
      <c r="M161" s="268"/>
      <c r="N161" s="261"/>
      <c r="O161" s="1536"/>
      <c r="P161" s="1536"/>
    </row>
    <row r="162" spans="1:16" s="1923" customFormat="1" ht="18.75" hidden="1" customHeight="1">
      <c r="A162" s="1691"/>
      <c r="B162" s="1691"/>
      <c r="C162" s="297" t="s">
        <v>1044</v>
      </c>
      <c r="D162" s="4220"/>
      <c r="E162" s="4027"/>
      <c r="F162" s="4162"/>
      <c r="G162" s="4191"/>
      <c r="H162" s="1410"/>
      <c r="I162" s="572" t="s">
        <v>1043</v>
      </c>
      <c r="J162" s="496"/>
      <c r="K162" s="1410"/>
      <c r="L162" s="135"/>
      <c r="M162" s="268"/>
      <c r="N162" s="261"/>
      <c r="O162" s="1536"/>
      <c r="P162" s="1536"/>
    </row>
    <row r="163" spans="1:16" s="1923" customFormat="1" ht="0.75" hidden="1" customHeight="1">
      <c r="A163" s="1691"/>
      <c r="B163" s="1691"/>
      <c r="C163" s="297" t="s">
        <v>1053</v>
      </c>
      <c r="D163" s="4220"/>
      <c r="E163" s="4027"/>
      <c r="F163" s="4162"/>
      <c r="G163" s="334"/>
      <c r="H163" s="1410"/>
      <c r="I163" s="572"/>
      <c r="J163" s="496"/>
      <c r="K163" s="1410"/>
      <c r="L163" s="135"/>
      <c r="M163" s="268"/>
      <c r="N163" s="261"/>
      <c r="O163" s="1536"/>
      <c r="P163" s="1536"/>
    </row>
    <row r="164" spans="1:16" s="1923" customFormat="1" ht="18.75" hidden="1" customHeight="1">
      <c r="A164" s="1691" t="s">
        <v>225</v>
      </c>
      <c r="B164" s="1691" t="s">
        <v>226</v>
      </c>
      <c r="C164" s="297"/>
      <c r="D164" s="4220"/>
      <c r="E164" s="4027"/>
      <c r="F164" s="4162" t="str">
        <f>INDEX(PT_DIFFERENTIATION_VTAR,MATCH(A164,PT_DIFFERENTIATION_VTAR_ID,0))</f>
        <v>Тариф на транспортировку воды</v>
      </c>
      <c r="G164" s="4191" t="str">
        <f>INDEX(PT_DIFFERENTIATION_NTAR,MATCH(B164,PT_DIFFERENTIATION_NTAR_ID,0))</f>
        <v/>
      </c>
      <c r="H164" s="1773"/>
      <c r="I164" s="1649"/>
      <c r="J164" s="1684"/>
      <c r="K164" s="1689"/>
      <c r="L164" s="1773" t="s">
        <v>296</v>
      </c>
      <c r="M164" s="268"/>
      <c r="N164" s="261"/>
      <c r="O164" s="1536"/>
      <c r="P164" s="1536"/>
    </row>
    <row r="165" spans="1:16" s="1923" customFormat="1" ht="18.75" hidden="1" customHeight="1">
      <c r="A165" s="1691"/>
      <c r="B165" s="1691"/>
      <c r="C165" s="297" t="s">
        <v>1044</v>
      </c>
      <c r="D165" s="4220"/>
      <c r="E165" s="4027"/>
      <c r="F165" s="4162"/>
      <c r="G165" s="4191"/>
      <c r="H165" s="1410"/>
      <c r="I165" s="572" t="s">
        <v>1043</v>
      </c>
      <c r="J165" s="496"/>
      <c r="K165" s="1410"/>
      <c r="L165" s="135"/>
      <c r="M165" s="268"/>
      <c r="N165" s="261"/>
      <c r="O165" s="1536"/>
      <c r="P165" s="1536"/>
    </row>
    <row r="166" spans="1:16" s="1923" customFormat="1" ht="0.75" hidden="1" customHeight="1">
      <c r="A166" s="1691"/>
      <c r="B166" s="1691"/>
      <c r="C166" s="297" t="s">
        <v>1053</v>
      </c>
      <c r="D166" s="4220"/>
      <c r="E166" s="4027"/>
      <c r="F166" s="4162"/>
      <c r="G166" s="334"/>
      <c r="H166" s="1410"/>
      <c r="I166" s="572"/>
      <c r="J166" s="496"/>
      <c r="K166" s="1410"/>
      <c r="L166" s="135"/>
      <c r="M166" s="268"/>
      <c r="N166" s="261"/>
      <c r="O166" s="1536"/>
      <c r="P166" s="1536"/>
    </row>
    <row r="167" spans="1:16" s="1923" customFormat="1" ht="18.75" hidden="1" customHeight="1">
      <c r="A167" s="1691" t="s">
        <v>230</v>
      </c>
      <c r="B167" s="1691" t="s">
        <v>231</v>
      </c>
      <c r="C167" s="297"/>
      <c r="D167" s="4220"/>
      <c r="E167" s="4027"/>
      <c r="F167" s="4162" t="str">
        <f>INDEX(PT_DIFFERENTIATION_VTAR,MATCH(A167,PT_DIFFERENTIATION_VTAR_ID,0))</f>
        <v>Тариф на подвоз воды</v>
      </c>
      <c r="G167" s="4191" t="str">
        <f>INDEX(PT_DIFFERENTIATION_NTAR,MATCH(B167,PT_DIFFERENTIATION_NTAR_ID,0))</f>
        <v/>
      </c>
      <c r="H167" s="1773"/>
      <c r="I167" s="1649"/>
      <c r="J167" s="1684"/>
      <c r="K167" s="1689"/>
      <c r="L167" s="1773" t="s">
        <v>296</v>
      </c>
      <c r="M167" s="268"/>
      <c r="N167" s="261"/>
      <c r="O167" s="1536"/>
      <c r="P167" s="1536"/>
    </row>
    <row r="168" spans="1:16" s="1923" customFormat="1" ht="18.75" hidden="1" customHeight="1">
      <c r="A168" s="1691"/>
      <c r="B168" s="1691"/>
      <c r="C168" s="297" t="s">
        <v>1044</v>
      </c>
      <c r="D168" s="4220"/>
      <c r="E168" s="4027"/>
      <c r="F168" s="4162"/>
      <c r="G168" s="4191"/>
      <c r="H168" s="1410"/>
      <c r="I168" s="572" t="s">
        <v>1043</v>
      </c>
      <c r="J168" s="496"/>
      <c r="K168" s="1410"/>
      <c r="L168" s="135"/>
      <c r="M168" s="268"/>
      <c r="N168" s="261"/>
      <c r="O168" s="1536"/>
      <c r="P168" s="1536"/>
    </row>
    <row r="169" spans="1:16" s="1923" customFormat="1" ht="0.75" hidden="1" customHeight="1">
      <c r="A169" s="1691"/>
      <c r="B169" s="1691"/>
      <c r="C169" s="297" t="s">
        <v>1053</v>
      </c>
      <c r="D169" s="4220"/>
      <c r="E169" s="4027"/>
      <c r="F169" s="4162"/>
      <c r="G169" s="334"/>
      <c r="H169" s="1410"/>
      <c r="I169" s="572"/>
      <c r="J169" s="496"/>
      <c r="K169" s="1410"/>
      <c r="L169" s="135"/>
      <c r="M169" s="268"/>
      <c r="N169" s="261"/>
      <c r="O169" s="1536"/>
      <c r="P169" s="1536"/>
    </row>
    <row r="170" spans="1:16" s="1923" customFormat="1" ht="18.75" hidden="1" customHeight="1">
      <c r="A170" s="1691" t="s">
        <v>235</v>
      </c>
      <c r="B170" s="1691" t="s">
        <v>236</v>
      </c>
      <c r="C170" s="297"/>
      <c r="D170" s="4220"/>
      <c r="E170" s="4027"/>
      <c r="F170" s="4162" t="str">
        <f>INDEX(PT_DIFFERENTIATION_VTAR,MATCH(A170,PT_DIFFERENTIATION_VTAR_ID,0))</f>
        <v>Тариф на подключение (технологическое присоединение) к централизованной системе холодного водоснабжения</v>
      </c>
      <c r="G170" s="4191" t="str">
        <f>INDEX(PT_DIFFERENTIATION_NTAR,MATCH(B170,PT_DIFFERENTIATION_NTAR_ID,0))</f>
        <v/>
      </c>
      <c r="H170" s="1773"/>
      <c r="I170" s="1649"/>
      <c r="J170" s="1684"/>
      <c r="K170" s="1689"/>
      <c r="L170" s="1773" t="s">
        <v>296</v>
      </c>
      <c r="M170" s="268"/>
      <c r="N170" s="261"/>
      <c r="O170" s="1536"/>
      <c r="P170" s="1536"/>
    </row>
    <row r="171" spans="1:16" s="1923" customFormat="1" ht="18.75" hidden="1" customHeight="1">
      <c r="A171" s="1691"/>
      <c r="B171" s="1691"/>
      <c r="C171" s="297" t="s">
        <v>1044</v>
      </c>
      <c r="D171" s="4220"/>
      <c r="E171" s="4027"/>
      <c r="F171" s="4162"/>
      <c r="G171" s="4191"/>
      <c r="H171" s="1410"/>
      <c r="I171" s="572" t="s">
        <v>1043</v>
      </c>
      <c r="J171" s="496"/>
      <c r="K171" s="1410"/>
      <c r="L171" s="135"/>
      <c r="M171" s="268"/>
      <c r="N171" s="261"/>
      <c r="O171" s="1536"/>
      <c r="P171" s="1536"/>
    </row>
    <row r="172" spans="1:16" s="1923" customFormat="1" ht="0.75" hidden="1" customHeight="1">
      <c r="A172" s="1691"/>
      <c r="B172" s="1691"/>
      <c r="C172" s="297" t="s">
        <v>1053</v>
      </c>
      <c r="D172" s="4220"/>
      <c r="E172" s="4027"/>
      <c r="F172" s="4162"/>
      <c r="G172" s="334"/>
      <c r="H172" s="1410"/>
      <c r="I172" s="572"/>
      <c r="J172" s="496"/>
      <c r="K172" s="1410"/>
      <c r="L172" s="135"/>
      <c r="M172" s="268"/>
      <c r="N172" s="261"/>
      <c r="O172" s="1536"/>
      <c r="P172" s="1536"/>
    </row>
    <row r="173" spans="1:16" s="1923" customFormat="1" ht="18.75" hidden="1" customHeight="1">
      <c r="A173" s="1691" t="s">
        <v>240</v>
      </c>
      <c r="B173" s="1691" t="s">
        <v>241</v>
      </c>
      <c r="C173" s="297"/>
      <c r="D173" s="4220"/>
      <c r="E173" s="4027"/>
      <c r="F173" s="4162" t="str">
        <f>INDEX(PT_DIFFERENTIATION_VTAR,MATCH(A173,PT_DIFFERENTIATION_VTAR_ID,0))</f>
        <v>Тариф на горячую воду (горячее водоснабжение)</v>
      </c>
      <c r="G173" s="4191" t="str">
        <f>INDEX(PT_DIFFERENTIATION_NTAR,MATCH(B173,PT_DIFFERENTIATION_NTAR_ID,0))</f>
        <v/>
      </c>
      <c r="H173" s="1773"/>
      <c r="I173" s="1649"/>
      <c r="J173" s="1684"/>
      <c r="K173" s="1689"/>
      <c r="L173" s="1773" t="s">
        <v>296</v>
      </c>
      <c r="M173" s="268"/>
      <c r="N173" s="261"/>
      <c r="O173" s="1536"/>
      <c r="P173" s="1536"/>
    </row>
    <row r="174" spans="1:16" s="1923" customFormat="1" ht="18.75" hidden="1" customHeight="1">
      <c r="A174" s="1691"/>
      <c r="B174" s="1691"/>
      <c r="C174" s="297" t="s">
        <v>1044</v>
      </c>
      <c r="D174" s="4220"/>
      <c r="E174" s="4027"/>
      <c r="F174" s="4162"/>
      <c r="G174" s="4191"/>
      <c r="H174" s="1410"/>
      <c r="I174" s="572" t="s">
        <v>1043</v>
      </c>
      <c r="J174" s="496"/>
      <c r="K174" s="1410"/>
      <c r="L174" s="135"/>
      <c r="M174" s="268"/>
      <c r="N174" s="261"/>
      <c r="O174" s="1536"/>
      <c r="P174" s="1536"/>
    </row>
    <row r="175" spans="1:16" s="1923" customFormat="1" ht="0.75" hidden="1" customHeight="1">
      <c r="A175" s="1691"/>
      <c r="B175" s="1691"/>
      <c r="C175" s="297" t="s">
        <v>1053</v>
      </c>
      <c r="D175" s="4220"/>
      <c r="E175" s="4027"/>
      <c r="F175" s="4162"/>
      <c r="G175" s="334"/>
      <c r="H175" s="1410"/>
      <c r="I175" s="572"/>
      <c r="J175" s="496"/>
      <c r="K175" s="1410"/>
      <c r="L175" s="135"/>
      <c r="M175" s="268"/>
      <c r="N175" s="261"/>
      <c r="O175" s="1536"/>
      <c r="P175" s="1536"/>
    </row>
    <row r="176" spans="1:16" s="1923" customFormat="1" ht="18.75" hidden="1" customHeight="1">
      <c r="A176" s="1691" t="s">
        <v>245</v>
      </c>
      <c r="B176" s="1691" t="s">
        <v>246</v>
      </c>
      <c r="C176" s="297"/>
      <c r="D176" s="4220"/>
      <c r="E176" s="4027"/>
      <c r="F176" s="4162" t="str">
        <f>INDEX(PT_DIFFERENTIATION_VTAR,MATCH(A176,PT_DIFFERENTIATION_VTAR_ID,0))</f>
        <v>Тариф на транспортировку горячей воды</v>
      </c>
      <c r="G176" s="4191" t="str">
        <f>INDEX(PT_DIFFERENTIATION_NTAR,MATCH(B176,PT_DIFFERENTIATION_NTAR_ID,0))</f>
        <v/>
      </c>
      <c r="H176" s="1773"/>
      <c r="I176" s="1649"/>
      <c r="J176" s="1684"/>
      <c r="K176" s="1689"/>
      <c r="L176" s="1773" t="s">
        <v>296</v>
      </c>
      <c r="M176" s="268"/>
      <c r="N176" s="261"/>
      <c r="O176" s="1536"/>
      <c r="P176" s="1536"/>
    </row>
    <row r="177" spans="1:16" s="1923" customFormat="1" ht="18.75" hidden="1" customHeight="1">
      <c r="A177" s="1691"/>
      <c r="B177" s="1691"/>
      <c r="C177" s="297" t="s">
        <v>1044</v>
      </c>
      <c r="D177" s="4220"/>
      <c r="E177" s="4027"/>
      <c r="F177" s="4162"/>
      <c r="G177" s="4191"/>
      <c r="H177" s="1410"/>
      <c r="I177" s="572" t="s">
        <v>1043</v>
      </c>
      <c r="J177" s="496"/>
      <c r="K177" s="1410"/>
      <c r="L177" s="135"/>
      <c r="M177" s="268"/>
      <c r="N177" s="261"/>
      <c r="O177" s="1536"/>
      <c r="P177" s="1536"/>
    </row>
    <row r="178" spans="1:16" s="1923" customFormat="1" ht="0.75" hidden="1" customHeight="1">
      <c r="A178" s="1691"/>
      <c r="B178" s="1691"/>
      <c r="C178" s="297" t="s">
        <v>1053</v>
      </c>
      <c r="D178" s="4220"/>
      <c r="E178" s="4027"/>
      <c r="F178" s="4162"/>
      <c r="G178" s="334"/>
      <c r="H178" s="1410"/>
      <c r="I178" s="572"/>
      <c r="J178" s="496"/>
      <c r="K178" s="1410"/>
      <c r="L178" s="135"/>
      <c r="M178" s="268"/>
      <c r="N178" s="261"/>
      <c r="O178" s="1536"/>
      <c r="P178" s="1536"/>
    </row>
    <row r="179" spans="1:16" s="1923" customFormat="1" ht="18.75" hidden="1" customHeight="1">
      <c r="A179" s="1691" t="s">
        <v>250</v>
      </c>
      <c r="B179" s="1691" t="s">
        <v>251</v>
      </c>
      <c r="C179" s="297"/>
      <c r="D179" s="4220"/>
      <c r="E179" s="4027"/>
      <c r="F179" s="4162" t="str">
        <f>INDEX(PT_DIFFERENTIATION_VTAR,MATCH(A179,PT_DIFFERENTIATION_VTAR_ID,0))</f>
        <v>Тариф на подключение (технологическое присоединение) к централизованной системе горячего водоснабжения</v>
      </c>
      <c r="G179" s="4191" t="str">
        <f>INDEX(PT_DIFFERENTIATION_NTAR,MATCH(B179,PT_DIFFERENTIATION_NTAR_ID,0))</f>
        <v/>
      </c>
      <c r="H179" s="1773"/>
      <c r="I179" s="1649"/>
      <c r="J179" s="1684"/>
      <c r="K179" s="1689"/>
      <c r="L179" s="1773" t="s">
        <v>296</v>
      </c>
      <c r="M179" s="268"/>
      <c r="N179" s="261"/>
      <c r="O179" s="1536"/>
      <c r="P179" s="1536"/>
    </row>
    <row r="180" spans="1:16" s="1923" customFormat="1" ht="18.75" hidden="1" customHeight="1">
      <c r="A180" s="1691"/>
      <c r="B180" s="1691"/>
      <c r="C180" s="297" t="s">
        <v>1044</v>
      </c>
      <c r="D180" s="4220"/>
      <c r="E180" s="4027"/>
      <c r="F180" s="4162"/>
      <c r="G180" s="4191"/>
      <c r="H180" s="1410"/>
      <c r="I180" s="572" t="s">
        <v>1043</v>
      </c>
      <c r="J180" s="496"/>
      <c r="K180" s="1410"/>
      <c r="L180" s="135"/>
      <c r="M180" s="268"/>
      <c r="N180" s="261"/>
      <c r="O180" s="1536"/>
      <c r="P180" s="1536"/>
    </row>
    <row r="181" spans="1:16" s="1923" customFormat="1" ht="0.75" hidden="1" customHeight="1">
      <c r="A181" s="1691"/>
      <c r="B181" s="1691"/>
      <c r="C181" s="297" t="s">
        <v>1053</v>
      </c>
      <c r="D181" s="4220"/>
      <c r="E181" s="4027"/>
      <c r="F181" s="4162"/>
      <c r="G181" s="334"/>
      <c r="H181" s="1410"/>
      <c r="I181" s="572"/>
      <c r="J181" s="496"/>
      <c r="K181" s="1410"/>
      <c r="L181" s="135"/>
      <c r="M181" s="268"/>
      <c r="N181" s="261"/>
      <c r="O181" s="1536"/>
      <c r="P181" s="1536"/>
    </row>
    <row r="182" spans="1:16" s="1923" customFormat="1" ht="18.75" hidden="1" customHeight="1">
      <c r="A182" s="1691" t="s">
        <v>255</v>
      </c>
      <c r="B182" s="1691" t="s">
        <v>256</v>
      </c>
      <c r="C182" s="297"/>
      <c r="D182" s="4220"/>
      <c r="E182" s="4027"/>
      <c r="F182" s="4162" t="str">
        <f>INDEX(PT_DIFFERENTIATION_VTAR,MATCH(A182,PT_DIFFERENTIATION_VTAR_ID,0))</f>
        <v>Тариф на водоотведение</v>
      </c>
      <c r="G182" s="4191" t="str">
        <f>INDEX(PT_DIFFERENTIATION_NTAR,MATCH(B182,PT_DIFFERENTIATION_NTAR_ID,0))</f>
        <v/>
      </c>
      <c r="H182" s="1773"/>
      <c r="I182" s="1649"/>
      <c r="J182" s="1684"/>
      <c r="K182" s="1689"/>
      <c r="L182" s="1773" t="s">
        <v>296</v>
      </c>
      <c r="M182" s="268"/>
      <c r="N182" s="261"/>
      <c r="O182" s="1536"/>
      <c r="P182" s="1536"/>
    </row>
    <row r="183" spans="1:16" s="1923" customFormat="1" ht="18.75" hidden="1" customHeight="1">
      <c r="A183" s="1691"/>
      <c r="B183" s="1691"/>
      <c r="C183" s="297" t="s">
        <v>1044</v>
      </c>
      <c r="D183" s="4220"/>
      <c r="E183" s="4027"/>
      <c r="F183" s="4162"/>
      <c r="G183" s="4191"/>
      <c r="H183" s="1410"/>
      <c r="I183" s="572" t="s">
        <v>1043</v>
      </c>
      <c r="J183" s="496"/>
      <c r="K183" s="1410"/>
      <c r="L183" s="135"/>
      <c r="M183" s="268"/>
      <c r="N183" s="261"/>
      <c r="O183" s="1536"/>
      <c r="P183" s="1536"/>
    </row>
    <row r="184" spans="1:16" s="1923" customFormat="1" ht="0.75" hidden="1" customHeight="1">
      <c r="A184" s="1691"/>
      <c r="B184" s="1691"/>
      <c r="C184" s="297" t="s">
        <v>1053</v>
      </c>
      <c r="D184" s="4220"/>
      <c r="E184" s="4027"/>
      <c r="F184" s="4162"/>
      <c r="G184" s="334"/>
      <c r="H184" s="1410"/>
      <c r="I184" s="572"/>
      <c r="J184" s="496"/>
      <c r="K184" s="1410"/>
      <c r="L184" s="135"/>
      <c r="M184" s="268"/>
      <c r="N184" s="261"/>
      <c r="O184" s="1536"/>
      <c r="P184" s="1536"/>
    </row>
    <row r="185" spans="1:16" s="1923" customFormat="1" ht="18.75" hidden="1" customHeight="1">
      <c r="A185" s="1691" t="s">
        <v>260</v>
      </c>
      <c r="B185" s="1691" t="s">
        <v>261</v>
      </c>
      <c r="C185" s="297"/>
      <c r="D185" s="4220"/>
      <c r="E185" s="4027"/>
      <c r="F185" s="4162" t="str">
        <f>INDEX(PT_DIFFERENTIATION_VTAR,MATCH(A185,PT_DIFFERENTIATION_VTAR_ID,0))</f>
        <v>Тариф на транспортировку сточных вод</v>
      </c>
      <c r="G185" s="4191" t="str">
        <f>INDEX(PT_DIFFERENTIATION_NTAR,MATCH(B185,PT_DIFFERENTIATION_NTAR_ID,0))</f>
        <v/>
      </c>
      <c r="H185" s="1773"/>
      <c r="I185" s="1649"/>
      <c r="J185" s="1684"/>
      <c r="K185" s="1689"/>
      <c r="L185" s="1773" t="s">
        <v>296</v>
      </c>
      <c r="M185" s="268"/>
      <c r="N185" s="261"/>
      <c r="O185" s="1536"/>
      <c r="P185" s="1536"/>
    </row>
    <row r="186" spans="1:16" s="1923" customFormat="1" ht="18.75" hidden="1" customHeight="1">
      <c r="A186" s="1691"/>
      <c r="B186" s="1691"/>
      <c r="C186" s="297" t="s">
        <v>1044</v>
      </c>
      <c r="D186" s="4220"/>
      <c r="E186" s="4027"/>
      <c r="F186" s="4162"/>
      <c r="G186" s="4191"/>
      <c r="H186" s="1410"/>
      <c r="I186" s="572" t="s">
        <v>1043</v>
      </c>
      <c r="J186" s="496"/>
      <c r="K186" s="1410"/>
      <c r="L186" s="135"/>
      <c r="M186" s="268"/>
      <c r="N186" s="261"/>
      <c r="O186" s="1536"/>
      <c r="P186" s="1536"/>
    </row>
    <row r="187" spans="1:16" s="1923" customFormat="1" ht="0.75" hidden="1" customHeight="1">
      <c r="A187" s="1691"/>
      <c r="B187" s="1691"/>
      <c r="C187" s="297" t="s">
        <v>1053</v>
      </c>
      <c r="D187" s="4220"/>
      <c r="E187" s="4027"/>
      <c r="F187" s="4162"/>
      <c r="G187" s="334"/>
      <c r="H187" s="1410"/>
      <c r="I187" s="572"/>
      <c r="J187" s="496"/>
      <c r="K187" s="1410"/>
      <c r="L187" s="135"/>
      <c r="M187" s="268"/>
      <c r="N187" s="261"/>
      <c r="O187" s="1536"/>
      <c r="P187" s="1536"/>
    </row>
    <row r="188" spans="1:16" s="1923" customFormat="1" ht="18.75" hidden="1" customHeight="1">
      <c r="A188" s="1691" t="s">
        <v>265</v>
      </c>
      <c r="B188" s="1691" t="s">
        <v>266</v>
      </c>
      <c r="C188" s="297"/>
      <c r="D188" s="4220"/>
      <c r="E188" s="4027"/>
      <c r="F188" s="4162" t="str">
        <f>INDEX(PT_DIFFERENTIATION_VTAR,MATCH(A188,PT_DIFFERENTIATION_VTAR_ID,0))</f>
        <v>Тариф на подключение (технологическое присоединение) к централизованной системе водоотведения</v>
      </c>
      <c r="G188" s="4191" t="str">
        <f>INDEX(PT_DIFFERENTIATION_NTAR,MATCH(B188,PT_DIFFERENTIATION_NTAR_ID,0))</f>
        <v/>
      </c>
      <c r="H188" s="1773"/>
      <c r="I188" s="1649"/>
      <c r="J188" s="1684"/>
      <c r="K188" s="1689"/>
      <c r="L188" s="1773" t="s">
        <v>296</v>
      </c>
      <c r="M188" s="268"/>
      <c r="N188" s="261"/>
      <c r="O188" s="1536"/>
      <c r="P188" s="1536"/>
    </row>
    <row r="189" spans="1:16" s="1923" customFormat="1" ht="18.75" hidden="1" customHeight="1">
      <c r="A189" s="1691"/>
      <c r="B189" s="1691"/>
      <c r="C189" s="297" t="s">
        <v>1044</v>
      </c>
      <c r="D189" s="4220"/>
      <c r="E189" s="4027"/>
      <c r="F189" s="4162"/>
      <c r="G189" s="4191"/>
      <c r="H189" s="1410"/>
      <c r="I189" s="572" t="s">
        <v>1043</v>
      </c>
      <c r="J189" s="496"/>
      <c r="K189" s="1410"/>
      <c r="L189" s="135"/>
      <c r="M189" s="268"/>
      <c r="N189" s="261"/>
      <c r="O189" s="1536"/>
      <c r="P189" s="1536"/>
    </row>
    <row r="190" spans="1:16" s="1923" customFormat="1" ht="0.75" customHeight="1">
      <c r="A190" s="1691"/>
      <c r="B190" s="1691"/>
      <c r="C190" s="297" t="s">
        <v>1053</v>
      </c>
      <c r="D190" s="4220"/>
      <c r="E190" s="4027"/>
      <c r="F190" s="4162"/>
      <c r="G190" s="334"/>
      <c r="H190" s="1410"/>
      <c r="I190" s="572"/>
      <c r="J190" s="496"/>
      <c r="K190" s="1410"/>
      <c r="L190" s="135"/>
      <c r="M190" s="268"/>
      <c r="N190" s="261"/>
      <c r="O190" s="1536"/>
      <c r="P190" s="1536"/>
    </row>
    <row r="191" spans="1:16" ht="18.75" customHeight="1">
      <c r="A191" s="1691"/>
      <c r="B191" s="1691"/>
      <c r="D191" s="305"/>
      <c r="E191" s="71" t="s">
        <v>89</v>
      </c>
      <c r="F191" s="421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91" s="4218"/>
      <c r="H191" s="4218"/>
      <c r="I191" s="4218"/>
      <c r="J191" s="4218"/>
      <c r="K191" s="4218"/>
      <c r="L191" s="4218"/>
      <c r="M191" s="216"/>
      <c r="N191" s="261"/>
    </row>
    <row r="192" spans="1:16" s="1923" customFormat="1" ht="60.75" hidden="1" customHeight="1">
      <c r="A192" s="1691" t="s">
        <v>153</v>
      </c>
      <c r="B192" s="1691" t="s">
        <v>154</v>
      </c>
      <c r="C192" s="297"/>
      <c r="D192" s="4220"/>
      <c r="E192" s="4027"/>
      <c r="F192" s="4162" t="str">
        <f>INDEX(PT_DIFFERENTIATION_VTAR,MATCH(A192,PT_DIFFERENTIATION_VTAR_ID,0))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92" s="4191" t="str">
        <f>INDEX(PT_DIFFERENTIATION_NTAR,MATCH(B192,PT_DIFFERENTIATION_NTAR_ID,0))</f>
        <v/>
      </c>
      <c r="H192" s="1773"/>
      <c r="I192" s="3846">
        <v>45200</v>
      </c>
      <c r="J192" s="1684">
        <v>45291</v>
      </c>
      <c r="K192" s="1689">
        <v>16.376000000000001</v>
      </c>
      <c r="L192" s="1773" t="s">
        <v>296</v>
      </c>
      <c r="M192" s="39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92" s="261"/>
      <c r="O192" s="1536"/>
      <c r="P192" s="1536"/>
    </row>
    <row r="193" spans="1:16" s="1945" customFormat="1" ht="56.25" hidden="1" customHeight="1">
      <c r="A193" s="3848"/>
      <c r="B193" s="3848"/>
      <c r="C193" s="3849"/>
      <c r="D193" s="4221"/>
      <c r="E193" s="4219"/>
      <c r="F193" s="4219"/>
      <c r="G193" s="4219"/>
      <c r="H193" s="2567" t="s">
        <v>417</v>
      </c>
      <c r="I193" s="3846">
        <v>45292</v>
      </c>
      <c r="J193" s="3847">
        <v>45657</v>
      </c>
      <c r="K193" s="3855">
        <v>51.44</v>
      </c>
      <c r="L193" s="2568" t="s">
        <v>296</v>
      </c>
      <c r="M193" s="4109"/>
      <c r="N193" s="3852"/>
      <c r="O193" s="3853"/>
      <c r="P193" s="3853"/>
    </row>
    <row r="194" spans="1:16" s="1945" customFormat="1" ht="56.25" hidden="1" customHeight="1">
      <c r="A194" s="3848"/>
      <c r="B194" s="3848"/>
      <c r="C194" s="3849"/>
      <c r="D194" s="4221"/>
      <c r="E194" s="4219"/>
      <c r="F194" s="4219"/>
      <c r="G194" s="4219"/>
      <c r="H194" s="2567" t="s">
        <v>417</v>
      </c>
      <c r="I194" s="3846">
        <v>45658</v>
      </c>
      <c r="J194" s="3847">
        <v>46022</v>
      </c>
      <c r="K194" s="3855">
        <v>51.44</v>
      </c>
      <c r="L194" s="2568" t="s">
        <v>296</v>
      </c>
      <c r="M194" s="4109"/>
      <c r="N194" s="3852"/>
      <c r="O194" s="3853"/>
      <c r="P194" s="3853"/>
    </row>
    <row r="195" spans="1:16" s="1945" customFormat="1" ht="56.25" hidden="1" customHeight="1">
      <c r="A195" s="3848"/>
      <c r="B195" s="3848"/>
      <c r="C195" s="3849"/>
      <c r="D195" s="4221"/>
      <c r="E195" s="4219"/>
      <c r="F195" s="4219"/>
      <c r="G195" s="4219"/>
      <c r="H195" s="2567" t="s">
        <v>417</v>
      </c>
      <c r="I195" s="3846">
        <v>46023</v>
      </c>
      <c r="J195" s="3847">
        <v>46387</v>
      </c>
      <c r="K195" s="3855">
        <v>51.44</v>
      </c>
      <c r="L195" s="2568" t="s">
        <v>296</v>
      </c>
      <c r="M195" s="4109"/>
      <c r="N195" s="3852"/>
      <c r="O195" s="3853"/>
      <c r="P195" s="3853"/>
    </row>
    <row r="196" spans="1:16" s="1945" customFormat="1" ht="56.25" hidden="1" customHeight="1">
      <c r="A196" s="3848"/>
      <c r="B196" s="3848"/>
      <c r="C196" s="3849"/>
      <c r="D196" s="4221"/>
      <c r="E196" s="4219"/>
      <c r="F196" s="4219"/>
      <c r="G196" s="4219"/>
      <c r="H196" s="2567" t="s">
        <v>417</v>
      </c>
      <c r="I196" s="3846">
        <v>46388</v>
      </c>
      <c r="J196" s="3847">
        <v>46752</v>
      </c>
      <c r="K196" s="3855">
        <v>51.44</v>
      </c>
      <c r="L196" s="2568" t="s">
        <v>296</v>
      </c>
      <c r="M196" s="4109"/>
      <c r="N196" s="3852"/>
      <c r="O196" s="3853"/>
      <c r="P196" s="3853"/>
    </row>
    <row r="197" spans="1:16" s="1945" customFormat="1" ht="56.25" hidden="1" customHeight="1">
      <c r="A197" s="3848"/>
      <c r="B197" s="3848"/>
      <c r="C197" s="3849"/>
      <c r="D197" s="4221"/>
      <c r="E197" s="4219"/>
      <c r="F197" s="4219"/>
      <c r="G197" s="4219"/>
      <c r="H197" s="2567" t="s">
        <v>417</v>
      </c>
      <c r="I197" s="3846">
        <v>46753</v>
      </c>
      <c r="J197" s="3847">
        <v>47118</v>
      </c>
      <c r="K197" s="3855">
        <v>51.44</v>
      </c>
      <c r="L197" s="2568" t="s">
        <v>296</v>
      </c>
      <c r="M197" s="4109"/>
      <c r="N197" s="3852"/>
      <c r="O197" s="3853"/>
      <c r="P197" s="3853"/>
    </row>
    <row r="198" spans="1:16" s="1945" customFormat="1" ht="56.25" hidden="1" customHeight="1">
      <c r="A198" s="3848"/>
      <c r="B198" s="3848"/>
      <c r="C198" s="3849"/>
      <c r="D198" s="4221"/>
      <c r="E198" s="4219"/>
      <c r="F198" s="4219"/>
      <c r="G198" s="4219"/>
      <c r="H198" s="2567" t="s">
        <v>417</v>
      </c>
      <c r="I198" s="3846">
        <v>47119</v>
      </c>
      <c r="J198" s="3847">
        <v>47483</v>
      </c>
      <c r="K198" s="3855">
        <v>51.44</v>
      </c>
      <c r="L198" s="2568" t="s">
        <v>296</v>
      </c>
      <c r="M198" s="4109"/>
      <c r="N198" s="3852"/>
      <c r="O198" s="3853"/>
      <c r="P198" s="3853"/>
    </row>
    <row r="199" spans="1:16" s="1945" customFormat="1" ht="56.25" hidden="1" customHeight="1">
      <c r="A199" s="3848"/>
      <c r="B199" s="3848"/>
      <c r="C199" s="3849"/>
      <c r="D199" s="4221"/>
      <c r="E199" s="4219"/>
      <c r="F199" s="4219"/>
      <c r="G199" s="4219"/>
      <c r="H199" s="2567" t="s">
        <v>417</v>
      </c>
      <c r="I199" s="3846">
        <v>47484</v>
      </c>
      <c r="J199" s="3847">
        <v>47848</v>
      </c>
      <c r="K199" s="3855">
        <v>51.44</v>
      </c>
      <c r="L199" s="2568" t="s">
        <v>296</v>
      </c>
      <c r="M199" s="4109"/>
      <c r="N199" s="3852"/>
      <c r="O199" s="3853"/>
      <c r="P199" s="3853"/>
    </row>
    <row r="200" spans="1:16" s="1945" customFormat="1" ht="56.25" hidden="1" customHeight="1">
      <c r="A200" s="3848"/>
      <c r="B200" s="3848"/>
      <c r="C200" s="3849"/>
      <c r="D200" s="4221"/>
      <c r="E200" s="4219"/>
      <c r="F200" s="4219"/>
      <c r="G200" s="4219"/>
      <c r="H200" s="2567" t="s">
        <v>417</v>
      </c>
      <c r="I200" s="3846">
        <v>47849</v>
      </c>
      <c r="J200" s="3847">
        <v>48213</v>
      </c>
      <c r="K200" s="3855">
        <v>51.44</v>
      </c>
      <c r="L200" s="2568" t="s">
        <v>296</v>
      </c>
      <c r="M200" s="4109"/>
      <c r="N200" s="3852"/>
      <c r="O200" s="3853"/>
      <c r="P200" s="3853"/>
    </row>
    <row r="201" spans="1:16" s="1945" customFormat="1" ht="56.25" hidden="1" customHeight="1">
      <c r="A201" s="3848"/>
      <c r="B201" s="3848"/>
      <c r="C201" s="3849"/>
      <c r="D201" s="4221"/>
      <c r="E201" s="4219"/>
      <c r="F201" s="4219"/>
      <c r="G201" s="4219"/>
      <c r="H201" s="2567" t="s">
        <v>417</v>
      </c>
      <c r="I201" s="3846">
        <v>48214</v>
      </c>
      <c r="J201" s="3847">
        <v>48579</v>
      </c>
      <c r="K201" s="3855">
        <v>51.44</v>
      </c>
      <c r="L201" s="2568" t="s">
        <v>296</v>
      </c>
      <c r="M201" s="4109"/>
      <c r="N201" s="3852"/>
      <c r="O201" s="3853"/>
      <c r="P201" s="3853"/>
    </row>
    <row r="202" spans="1:16" s="1945" customFormat="1" ht="56.25" hidden="1" customHeight="1">
      <c r="A202" s="3848"/>
      <c r="B202" s="3848"/>
      <c r="C202" s="3849"/>
      <c r="D202" s="4221"/>
      <c r="E202" s="4219"/>
      <c r="F202" s="4219"/>
      <c r="G202" s="4219"/>
      <c r="H202" s="2567" t="s">
        <v>417</v>
      </c>
      <c r="I202" s="3846">
        <v>48580</v>
      </c>
      <c r="J202" s="3847">
        <v>48944</v>
      </c>
      <c r="K202" s="3855">
        <v>51.44</v>
      </c>
      <c r="L202" s="2568" t="s">
        <v>296</v>
      </c>
      <c r="M202" s="4109"/>
      <c r="N202" s="3852"/>
      <c r="O202" s="3853"/>
      <c r="P202" s="3853"/>
    </row>
    <row r="203" spans="1:16" s="1945" customFormat="1" ht="56.25" hidden="1" customHeight="1">
      <c r="A203" s="3848"/>
      <c r="B203" s="3848"/>
      <c r="C203" s="3849"/>
      <c r="D203" s="4221"/>
      <c r="E203" s="4219"/>
      <c r="F203" s="4219"/>
      <c r="G203" s="4219"/>
      <c r="H203" s="2567" t="s">
        <v>417</v>
      </c>
      <c r="I203" s="3846">
        <v>48945</v>
      </c>
      <c r="J203" s="3847">
        <v>49309</v>
      </c>
      <c r="K203" s="3855">
        <v>51.44</v>
      </c>
      <c r="L203" s="2568" t="s">
        <v>296</v>
      </c>
      <c r="M203" s="4109"/>
      <c r="N203" s="3852"/>
      <c r="O203" s="3853"/>
      <c r="P203" s="3853"/>
    </row>
    <row r="204" spans="1:16" s="1945" customFormat="1" ht="56.25" hidden="1" customHeight="1">
      <c r="A204" s="3848"/>
      <c r="B204" s="3848"/>
      <c r="C204" s="3849"/>
      <c r="D204" s="4221"/>
      <c r="E204" s="4219"/>
      <c r="F204" s="4219"/>
      <c r="G204" s="4219"/>
      <c r="H204" s="2567" t="s">
        <v>417</v>
      </c>
      <c r="I204" s="3846">
        <v>49310</v>
      </c>
      <c r="J204" s="3847">
        <v>49674</v>
      </c>
      <c r="K204" s="3855">
        <v>51.44</v>
      </c>
      <c r="L204" s="2568" t="s">
        <v>296</v>
      </c>
      <c r="M204" s="4109"/>
      <c r="N204" s="3852"/>
      <c r="O204" s="3853"/>
      <c r="P204" s="3853"/>
    </row>
    <row r="205" spans="1:16" s="1945" customFormat="1" ht="56.25" hidden="1" customHeight="1">
      <c r="A205" s="3848"/>
      <c r="B205" s="3848"/>
      <c r="C205" s="3849"/>
      <c r="D205" s="4221"/>
      <c r="E205" s="4219"/>
      <c r="F205" s="4219"/>
      <c r="G205" s="4219"/>
      <c r="H205" s="2567" t="s">
        <v>417</v>
      </c>
      <c r="I205" s="3846">
        <v>49675</v>
      </c>
      <c r="J205" s="3847">
        <v>49856</v>
      </c>
      <c r="K205" s="3855">
        <v>51.44</v>
      </c>
      <c r="L205" s="2568" t="s">
        <v>296</v>
      </c>
      <c r="M205" s="4109"/>
      <c r="N205" s="3852"/>
      <c r="O205" s="3853"/>
      <c r="P205" s="3853"/>
    </row>
    <row r="206" spans="1:16" s="1923" customFormat="1" ht="18.75" hidden="1" customHeight="1">
      <c r="A206" s="1691"/>
      <c r="B206" s="1691"/>
      <c r="C206" s="297" t="s">
        <v>1044</v>
      </c>
      <c r="D206" s="4220"/>
      <c r="E206" s="4027"/>
      <c r="F206" s="4162"/>
      <c r="G206" s="4191"/>
      <c r="H206" s="1410"/>
      <c r="I206" s="572" t="s">
        <v>1043</v>
      </c>
      <c r="J206" s="496"/>
      <c r="K206" s="1410"/>
      <c r="L206" s="135"/>
      <c r="M206" s="3991"/>
      <c r="N206" s="261"/>
      <c r="O206" s="1536"/>
      <c r="P206" s="1536"/>
    </row>
    <row r="207" spans="1:16" s="1923" customFormat="1" ht="0.75" hidden="1" customHeight="1">
      <c r="A207" s="1691"/>
      <c r="B207" s="1691"/>
      <c r="C207" s="297" t="s">
        <v>1053</v>
      </c>
      <c r="D207" s="4220"/>
      <c r="E207" s="4027"/>
      <c r="F207" s="4162"/>
      <c r="G207" s="334"/>
      <c r="H207" s="1410"/>
      <c r="I207" s="572"/>
      <c r="J207" s="496"/>
      <c r="K207" s="1410"/>
      <c r="L207" s="135"/>
      <c r="M207" s="3991"/>
      <c r="N207" s="261"/>
      <c r="O207" s="1536"/>
      <c r="P207" s="1536"/>
    </row>
    <row r="208" spans="1:16" s="1923" customFormat="1" ht="45" customHeight="1">
      <c r="A208" s="1691" t="s">
        <v>161</v>
      </c>
      <c r="B208" s="1691" t="s">
        <v>162</v>
      </c>
      <c r="C208" s="297"/>
      <c r="D208" s="4220"/>
      <c r="E208" s="4027"/>
      <c r="F208" s="4162" t="str">
        <f>INDEX(PT_DIFFERENTIATION_VTAR,MATCH(A208,PT_DIFFERENTIATION_VTAR_ID,0))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8" s="4191" t="str">
        <f>INDEX(PT_DIFFERENTIATION_NTAR,MATCH(B208,PT_DIFFERENTIATION_NTAR_ID,0))</f>
        <v>Тарифы на тепловую энергию (мощность) на коллекторах источника тепловой энергии, поставляемую потребителям ООО "РИР-Сахалин"</v>
      </c>
      <c r="H208" s="1773"/>
      <c r="I208" s="3846">
        <v>45292</v>
      </c>
      <c r="J208" s="1684">
        <v>45657</v>
      </c>
      <c r="K208" s="1689">
        <v>51.44</v>
      </c>
      <c r="L208" s="1773" t="s">
        <v>296</v>
      </c>
      <c r="M208" s="3992"/>
      <c r="N208" s="261"/>
      <c r="O208" s="1536"/>
      <c r="P208" s="1536"/>
    </row>
    <row r="209" spans="1:16" s="1945" customFormat="1" ht="56.25" customHeight="1">
      <c r="A209" s="3848"/>
      <c r="B209" s="3848"/>
      <c r="C209" s="3849"/>
      <c r="D209" s="4221"/>
      <c r="E209" s="4219"/>
      <c r="F209" s="4219"/>
      <c r="G209" s="4219"/>
      <c r="H209" s="2567" t="s">
        <v>417</v>
      </c>
      <c r="I209" s="3846">
        <v>45658</v>
      </c>
      <c r="J209" s="3847">
        <v>46022</v>
      </c>
      <c r="K209" s="3855">
        <v>51.44</v>
      </c>
      <c r="L209" s="2568" t="s">
        <v>296</v>
      </c>
      <c r="M209" s="3851"/>
      <c r="N209" s="3852"/>
      <c r="O209" s="3853"/>
      <c r="P209" s="3853"/>
    </row>
    <row r="210" spans="1:16" s="1945" customFormat="1" ht="56.25" customHeight="1">
      <c r="A210" s="3848"/>
      <c r="B210" s="3848"/>
      <c r="C210" s="3849"/>
      <c r="D210" s="4221"/>
      <c r="E210" s="4219"/>
      <c r="F210" s="4219"/>
      <c r="G210" s="4219"/>
      <c r="H210" s="2567" t="s">
        <v>417</v>
      </c>
      <c r="I210" s="3846">
        <v>46023</v>
      </c>
      <c r="J210" s="3847">
        <v>46387</v>
      </c>
      <c r="K210" s="3855">
        <v>51.44</v>
      </c>
      <c r="L210" s="2568" t="s">
        <v>296</v>
      </c>
      <c r="M210" s="3851"/>
      <c r="N210" s="3852"/>
      <c r="O210" s="3853"/>
      <c r="P210" s="3853"/>
    </row>
    <row r="211" spans="1:16" s="1945" customFormat="1" ht="56.25" customHeight="1">
      <c r="A211" s="3848"/>
      <c r="B211" s="3848"/>
      <c r="C211" s="3849"/>
      <c r="D211" s="4221"/>
      <c r="E211" s="4219"/>
      <c r="F211" s="4219"/>
      <c r="G211" s="4219"/>
      <c r="H211" s="2567" t="s">
        <v>417</v>
      </c>
      <c r="I211" s="3846">
        <v>46388</v>
      </c>
      <c r="J211" s="3847">
        <v>46752</v>
      </c>
      <c r="K211" s="3855">
        <v>51.44</v>
      </c>
      <c r="L211" s="2568" t="s">
        <v>296</v>
      </c>
      <c r="M211" s="3851"/>
      <c r="N211" s="3852"/>
      <c r="O211" s="3853"/>
      <c r="P211" s="3853"/>
    </row>
    <row r="212" spans="1:16" s="1945" customFormat="1" ht="56.25" customHeight="1">
      <c r="A212" s="3848"/>
      <c r="B212" s="3848"/>
      <c r="C212" s="3849"/>
      <c r="D212" s="4221"/>
      <c r="E212" s="4219"/>
      <c r="F212" s="4219"/>
      <c r="G212" s="4219"/>
      <c r="H212" s="2567" t="s">
        <v>417</v>
      </c>
      <c r="I212" s="3846">
        <v>46753</v>
      </c>
      <c r="J212" s="3847">
        <v>47118</v>
      </c>
      <c r="K212" s="3855">
        <v>51.44</v>
      </c>
      <c r="L212" s="2568" t="s">
        <v>296</v>
      </c>
      <c r="M212" s="3851"/>
      <c r="N212" s="3852"/>
      <c r="O212" s="3853"/>
      <c r="P212" s="3853"/>
    </row>
    <row r="213" spans="1:16" s="1945" customFormat="1" ht="56.25" customHeight="1">
      <c r="A213" s="3848"/>
      <c r="B213" s="3848"/>
      <c r="C213" s="3849"/>
      <c r="D213" s="4221"/>
      <c r="E213" s="4219"/>
      <c r="F213" s="4219"/>
      <c r="G213" s="4219"/>
      <c r="H213" s="2567" t="s">
        <v>417</v>
      </c>
      <c r="I213" s="3846">
        <v>47119</v>
      </c>
      <c r="J213" s="3847">
        <v>47483</v>
      </c>
      <c r="K213" s="3855">
        <v>51.44</v>
      </c>
      <c r="L213" s="2568" t="s">
        <v>296</v>
      </c>
      <c r="M213" s="3851"/>
      <c r="N213" s="3852"/>
      <c r="O213" s="3853"/>
      <c r="P213" s="3853"/>
    </row>
    <row r="214" spans="1:16" s="1945" customFormat="1" ht="56.25" customHeight="1">
      <c r="A214" s="3848"/>
      <c r="B214" s="3848"/>
      <c r="C214" s="3849"/>
      <c r="D214" s="4221"/>
      <c r="E214" s="4219"/>
      <c r="F214" s="4219"/>
      <c r="G214" s="4219"/>
      <c r="H214" s="2567" t="s">
        <v>417</v>
      </c>
      <c r="I214" s="3846">
        <v>47484</v>
      </c>
      <c r="J214" s="3847">
        <v>47848</v>
      </c>
      <c r="K214" s="3855">
        <v>51.44</v>
      </c>
      <c r="L214" s="2568" t="s">
        <v>296</v>
      </c>
      <c r="M214" s="3851"/>
      <c r="N214" s="3852"/>
      <c r="O214" s="3853"/>
      <c r="P214" s="3853"/>
    </row>
    <row r="215" spans="1:16" s="1945" customFormat="1" ht="56.25" customHeight="1">
      <c r="A215" s="3848"/>
      <c r="B215" s="3848"/>
      <c r="C215" s="3849"/>
      <c r="D215" s="4221"/>
      <c r="E215" s="4219"/>
      <c r="F215" s="4219"/>
      <c r="G215" s="4219"/>
      <c r="H215" s="2567" t="s">
        <v>417</v>
      </c>
      <c r="I215" s="3846">
        <v>47849</v>
      </c>
      <c r="J215" s="3847">
        <v>48213</v>
      </c>
      <c r="K215" s="3855">
        <v>51.44</v>
      </c>
      <c r="L215" s="2568" t="s">
        <v>296</v>
      </c>
      <c r="M215" s="3851"/>
      <c r="N215" s="3852"/>
      <c r="O215" s="3853"/>
      <c r="P215" s="3853"/>
    </row>
    <row r="216" spans="1:16" s="1945" customFormat="1" ht="56.25" customHeight="1">
      <c r="A216" s="3848"/>
      <c r="B216" s="3848"/>
      <c r="C216" s="3849"/>
      <c r="D216" s="4221"/>
      <c r="E216" s="4219"/>
      <c r="F216" s="4219"/>
      <c r="G216" s="4219"/>
      <c r="H216" s="2567" t="s">
        <v>417</v>
      </c>
      <c r="I216" s="3846">
        <v>48214</v>
      </c>
      <c r="J216" s="3847">
        <v>48579</v>
      </c>
      <c r="K216" s="3855">
        <v>51.44</v>
      </c>
      <c r="L216" s="2568" t="s">
        <v>296</v>
      </c>
      <c r="M216" s="3851"/>
      <c r="N216" s="3852"/>
      <c r="O216" s="3853"/>
      <c r="P216" s="3853"/>
    </row>
    <row r="217" spans="1:16" s="1945" customFormat="1" ht="56.25" customHeight="1">
      <c r="A217" s="3848"/>
      <c r="B217" s="3848"/>
      <c r="C217" s="3849"/>
      <c r="D217" s="4221"/>
      <c r="E217" s="4219"/>
      <c r="F217" s="4219"/>
      <c r="G217" s="4219"/>
      <c r="H217" s="2567" t="s">
        <v>417</v>
      </c>
      <c r="I217" s="3846">
        <v>48580</v>
      </c>
      <c r="J217" s="3847">
        <v>48944</v>
      </c>
      <c r="K217" s="3855">
        <v>51.44</v>
      </c>
      <c r="L217" s="2568" t="s">
        <v>296</v>
      </c>
      <c r="M217" s="3851"/>
      <c r="N217" s="3852"/>
      <c r="O217" s="3853"/>
      <c r="P217" s="3853"/>
    </row>
    <row r="218" spans="1:16" s="1945" customFormat="1" ht="56.25" customHeight="1">
      <c r="A218" s="3848"/>
      <c r="B218" s="3848"/>
      <c r="C218" s="3849"/>
      <c r="D218" s="4221"/>
      <c r="E218" s="4219"/>
      <c r="F218" s="4219"/>
      <c r="G218" s="4219"/>
      <c r="H218" s="2567" t="s">
        <v>417</v>
      </c>
      <c r="I218" s="3846">
        <v>48945</v>
      </c>
      <c r="J218" s="3847">
        <v>49309</v>
      </c>
      <c r="K218" s="3855">
        <v>51.44</v>
      </c>
      <c r="L218" s="2568" t="s">
        <v>296</v>
      </c>
      <c r="M218" s="3851"/>
      <c r="N218" s="3852"/>
      <c r="O218" s="3853"/>
      <c r="P218" s="3853"/>
    </row>
    <row r="219" spans="1:16" s="1945" customFormat="1" ht="56.25" customHeight="1">
      <c r="A219" s="3848"/>
      <c r="B219" s="3848"/>
      <c r="C219" s="3849"/>
      <c r="D219" s="4221"/>
      <c r="E219" s="4219"/>
      <c r="F219" s="4219"/>
      <c r="G219" s="4219"/>
      <c r="H219" s="2567" t="s">
        <v>417</v>
      </c>
      <c r="I219" s="3846">
        <v>49310</v>
      </c>
      <c r="J219" s="3847">
        <v>49674</v>
      </c>
      <c r="K219" s="3855">
        <v>51.44</v>
      </c>
      <c r="L219" s="2568" t="s">
        <v>296</v>
      </c>
      <c r="M219" s="3851"/>
      <c r="N219" s="3852"/>
      <c r="O219" s="3853"/>
      <c r="P219" s="3853"/>
    </row>
    <row r="220" spans="1:16" s="1945" customFormat="1" ht="56.25" customHeight="1">
      <c r="A220" s="3848"/>
      <c r="B220" s="3848"/>
      <c r="C220" s="3849"/>
      <c r="D220" s="4221"/>
      <c r="E220" s="4219"/>
      <c r="F220" s="4219"/>
      <c r="G220" s="4219"/>
      <c r="H220" s="2567" t="s">
        <v>417</v>
      </c>
      <c r="I220" s="3846">
        <v>49675</v>
      </c>
      <c r="J220" s="3847">
        <v>49856</v>
      </c>
      <c r="K220" s="3855">
        <v>31.344000000000001</v>
      </c>
      <c r="L220" s="2568" t="s">
        <v>296</v>
      </c>
      <c r="M220" s="3851"/>
      <c r="N220" s="3852"/>
      <c r="O220" s="3853"/>
      <c r="P220" s="3853"/>
    </row>
    <row r="221" spans="1:16" s="1923" customFormat="1" ht="18.75" customHeight="1">
      <c r="A221" s="1691"/>
      <c r="B221" s="1691"/>
      <c r="C221" s="297" t="s">
        <v>1044</v>
      </c>
      <c r="D221" s="4220"/>
      <c r="E221" s="4027"/>
      <c r="F221" s="4162"/>
      <c r="G221" s="4191"/>
      <c r="H221" s="1410"/>
      <c r="I221" s="572" t="s">
        <v>1043</v>
      </c>
      <c r="J221" s="496"/>
      <c r="K221" s="1410"/>
      <c r="L221" s="135"/>
      <c r="M221" s="1772"/>
      <c r="N221" s="261"/>
      <c r="O221" s="1536"/>
      <c r="P221" s="1536"/>
    </row>
    <row r="222" spans="1:16" s="1923" customFormat="1" ht="0.75" customHeight="1">
      <c r="A222" s="1691"/>
      <c r="B222" s="1691"/>
      <c r="C222" s="297" t="s">
        <v>1053</v>
      </c>
      <c r="D222" s="4220"/>
      <c r="E222" s="4027"/>
      <c r="F222" s="4162"/>
      <c r="G222" s="334"/>
      <c r="H222" s="1410"/>
      <c r="I222" s="572"/>
      <c r="J222" s="496"/>
      <c r="K222" s="1410"/>
      <c r="L222" s="135"/>
      <c r="M222" s="268"/>
      <c r="N222" s="261"/>
      <c r="O222" s="1536"/>
      <c r="P222" s="1536"/>
    </row>
    <row r="223" spans="1:16" s="1923" customFormat="1" ht="45" hidden="1" customHeight="1">
      <c r="A223" s="1691" t="s">
        <v>171</v>
      </c>
      <c r="B223" s="1691" t="s">
        <v>172</v>
      </c>
      <c r="C223" s="297"/>
      <c r="D223" s="4220"/>
      <c r="E223" s="4027"/>
      <c r="F223" s="4162" t="str">
        <f>INDEX(PT_DIFFERENTIATION_VTAR,MATCH(A223,PT_DIFFERENTIATION_VTAR_ID,0))</f>
        <v>Тарифы на теплоноситель, поставляемый теплоснабжающими организациями потребителям, другим теплоснабжающим организациям</v>
      </c>
      <c r="G223" s="4191" t="str">
        <f>INDEX(PT_DIFFERENTIATION_NTAR,MATCH(B223,PT_DIFFERENTIATION_NTAR_ID,0))</f>
        <v/>
      </c>
      <c r="H223" s="1773"/>
      <c r="I223" s="1649"/>
      <c r="J223" s="1684"/>
      <c r="K223" s="1689"/>
      <c r="L223" s="1773" t="s">
        <v>296</v>
      </c>
      <c r="M223" s="268"/>
      <c r="N223" s="261"/>
      <c r="O223" s="1536"/>
      <c r="P223" s="1536"/>
    </row>
    <row r="224" spans="1:16" s="1923" customFormat="1" ht="18.75" hidden="1" customHeight="1">
      <c r="A224" s="1691"/>
      <c r="B224" s="1691"/>
      <c r="C224" s="297" t="s">
        <v>1044</v>
      </c>
      <c r="D224" s="4220"/>
      <c r="E224" s="4027"/>
      <c r="F224" s="4162"/>
      <c r="G224" s="4191"/>
      <c r="H224" s="1410"/>
      <c r="I224" s="572" t="s">
        <v>1043</v>
      </c>
      <c r="J224" s="496"/>
      <c r="K224" s="1410"/>
      <c r="L224" s="135"/>
      <c r="M224" s="268"/>
      <c r="N224" s="261"/>
      <c r="O224" s="1536"/>
      <c r="P224" s="1536"/>
    </row>
    <row r="225" spans="1:16" s="1923" customFormat="1" ht="0.75" hidden="1" customHeight="1">
      <c r="A225" s="1691"/>
      <c r="B225" s="1691"/>
      <c r="C225" s="297" t="s">
        <v>1053</v>
      </c>
      <c r="D225" s="4220"/>
      <c r="E225" s="4027"/>
      <c r="F225" s="4162"/>
      <c r="G225" s="334"/>
      <c r="H225" s="1410"/>
      <c r="I225" s="572"/>
      <c r="J225" s="496"/>
      <c r="K225" s="1410"/>
      <c r="L225" s="135"/>
      <c r="M225" s="268"/>
      <c r="N225" s="261"/>
      <c r="O225" s="1536"/>
      <c r="P225" s="1536"/>
    </row>
    <row r="226" spans="1:16" s="1923" customFormat="1" ht="45" hidden="1" customHeight="1">
      <c r="A226" s="1691" t="s">
        <v>177</v>
      </c>
      <c r="B226" s="1691" t="s">
        <v>178</v>
      </c>
      <c r="C226" s="297"/>
      <c r="D226" s="4220"/>
      <c r="E226" s="4027"/>
      <c r="F226" s="4162" t="str">
        <f>INDEX(PT_DIFFERENTIATION_VTAR,MATCH(A226,PT_DIFFERENTIATION_VTAR_ID,0))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6" s="4191" t="str">
        <f>INDEX(PT_DIFFERENTIATION_NTAR,MATCH(B226,PT_DIFFERENTIATION_NTAR_ID,0))</f>
        <v/>
      </c>
      <c r="H226" s="1773"/>
      <c r="I226" s="1649"/>
      <c r="J226" s="1684"/>
      <c r="K226" s="1689"/>
      <c r="L226" s="1773" t="s">
        <v>296</v>
      </c>
      <c r="M226" s="268"/>
      <c r="N226" s="261"/>
      <c r="O226" s="1536"/>
      <c r="P226" s="1536"/>
    </row>
    <row r="227" spans="1:16" s="1923" customFormat="1" ht="18.75" hidden="1" customHeight="1">
      <c r="A227" s="1691"/>
      <c r="B227" s="1691"/>
      <c r="C227" s="297" t="s">
        <v>1044</v>
      </c>
      <c r="D227" s="4220"/>
      <c r="E227" s="4027"/>
      <c r="F227" s="4162"/>
      <c r="G227" s="4191"/>
      <c r="H227" s="1410"/>
      <c r="I227" s="572" t="s">
        <v>1043</v>
      </c>
      <c r="J227" s="496"/>
      <c r="K227" s="1410"/>
      <c r="L227" s="135"/>
      <c r="M227" s="268"/>
      <c r="N227" s="261"/>
      <c r="O227" s="1536"/>
      <c r="P227" s="1536"/>
    </row>
    <row r="228" spans="1:16" s="1923" customFormat="1" ht="0.75" hidden="1" customHeight="1">
      <c r="A228" s="1691"/>
      <c r="B228" s="1691"/>
      <c r="C228" s="297" t="s">
        <v>1053</v>
      </c>
      <c r="D228" s="4220"/>
      <c r="E228" s="4027"/>
      <c r="F228" s="4162"/>
      <c r="G228" s="334"/>
      <c r="H228" s="1410"/>
      <c r="I228" s="572"/>
      <c r="J228" s="496"/>
      <c r="K228" s="1410"/>
      <c r="L228" s="135"/>
      <c r="M228" s="268"/>
      <c r="N228" s="261"/>
      <c r="O228" s="1536"/>
      <c r="P228" s="1536"/>
    </row>
    <row r="229" spans="1:16" s="1923" customFormat="1" ht="18.75" hidden="1" customHeight="1">
      <c r="A229" s="1691" t="s">
        <v>183</v>
      </c>
      <c r="B229" s="1691" t="s">
        <v>184</v>
      </c>
      <c r="C229" s="297"/>
      <c r="D229" s="4220"/>
      <c r="E229" s="4027"/>
      <c r="F229" s="4162" t="str">
        <f>INDEX(PT_DIFFERENTIATION_VTAR,MATCH(A229,PT_DIFFERENTIATION_VTAR_ID,0))</f>
        <v>Тарифы на услуги по передаче тепловой энергии</v>
      </c>
      <c r="G229" s="4191" t="str">
        <f>INDEX(PT_DIFFERENTIATION_NTAR,MATCH(B229,PT_DIFFERENTIATION_NTAR_ID,0))</f>
        <v/>
      </c>
      <c r="H229" s="1773"/>
      <c r="I229" s="1649"/>
      <c r="J229" s="1684"/>
      <c r="K229" s="1689"/>
      <c r="L229" s="1773" t="s">
        <v>296</v>
      </c>
      <c r="M229" s="268"/>
      <c r="N229" s="261"/>
      <c r="O229" s="1536"/>
      <c r="P229" s="1536"/>
    </row>
    <row r="230" spans="1:16" s="1923" customFormat="1" ht="18.75" hidden="1" customHeight="1">
      <c r="A230" s="1691"/>
      <c r="B230" s="1691"/>
      <c r="C230" s="297" t="s">
        <v>1044</v>
      </c>
      <c r="D230" s="4220"/>
      <c r="E230" s="4027"/>
      <c r="F230" s="4162"/>
      <c r="G230" s="4191"/>
      <c r="H230" s="1410"/>
      <c r="I230" s="572" t="s">
        <v>1043</v>
      </c>
      <c r="J230" s="496"/>
      <c r="K230" s="1410"/>
      <c r="L230" s="135"/>
      <c r="M230" s="268"/>
      <c r="N230" s="261"/>
      <c r="O230" s="1536"/>
      <c r="P230" s="1536"/>
    </row>
    <row r="231" spans="1:16" s="1923" customFormat="1" ht="0.75" hidden="1" customHeight="1">
      <c r="A231" s="1691"/>
      <c r="B231" s="1691"/>
      <c r="C231" s="297" t="s">
        <v>1053</v>
      </c>
      <c r="D231" s="4220"/>
      <c r="E231" s="4027"/>
      <c r="F231" s="4162"/>
      <c r="G231" s="334"/>
      <c r="H231" s="1410"/>
      <c r="I231" s="572"/>
      <c r="J231" s="496"/>
      <c r="K231" s="1410"/>
      <c r="L231" s="135"/>
      <c r="M231" s="268"/>
      <c r="N231" s="261"/>
      <c r="O231" s="1536"/>
      <c r="P231" s="1536"/>
    </row>
    <row r="232" spans="1:16" s="1923" customFormat="1" ht="18.75" hidden="1" customHeight="1">
      <c r="A232" s="1691" t="s">
        <v>189</v>
      </c>
      <c r="B232" s="1691" t="s">
        <v>190</v>
      </c>
      <c r="C232" s="297"/>
      <c r="D232" s="4220"/>
      <c r="E232" s="4027"/>
      <c r="F232" s="4162" t="str">
        <f>INDEX(PT_DIFFERENTIATION_VTAR,MATCH(A232,PT_DIFFERENTIATION_VTAR_ID,0))</f>
        <v>Тарифы на услуги по передаче теплоносителя</v>
      </c>
      <c r="G232" s="4191" t="str">
        <f>INDEX(PT_DIFFERENTIATION_NTAR,MATCH(B232,PT_DIFFERENTIATION_NTAR_ID,0))</f>
        <v/>
      </c>
      <c r="H232" s="1773"/>
      <c r="I232" s="1649"/>
      <c r="J232" s="1684"/>
      <c r="K232" s="1689"/>
      <c r="L232" s="1773" t="s">
        <v>296</v>
      </c>
      <c r="M232" s="268"/>
      <c r="N232" s="261"/>
      <c r="O232" s="1536"/>
      <c r="P232" s="1536"/>
    </row>
    <row r="233" spans="1:16" s="1923" customFormat="1" ht="18.75" hidden="1" customHeight="1">
      <c r="A233" s="1691"/>
      <c r="B233" s="1691"/>
      <c r="C233" s="297" t="s">
        <v>1044</v>
      </c>
      <c r="D233" s="4220"/>
      <c r="E233" s="4027"/>
      <c r="F233" s="4162"/>
      <c r="G233" s="4191"/>
      <c r="H233" s="1410"/>
      <c r="I233" s="572" t="s">
        <v>1043</v>
      </c>
      <c r="J233" s="496"/>
      <c r="K233" s="1410"/>
      <c r="L233" s="135"/>
      <c r="M233" s="268"/>
      <c r="N233" s="261"/>
      <c r="O233" s="1536"/>
      <c r="P233" s="1536"/>
    </row>
    <row r="234" spans="1:16" s="1923" customFormat="1" ht="0.75" hidden="1" customHeight="1">
      <c r="A234" s="1691"/>
      <c r="B234" s="1691"/>
      <c r="C234" s="297" t="s">
        <v>1053</v>
      </c>
      <c r="D234" s="4220"/>
      <c r="E234" s="4027"/>
      <c r="F234" s="4162"/>
      <c r="G234" s="334"/>
      <c r="H234" s="1410"/>
      <c r="I234" s="572"/>
      <c r="J234" s="496"/>
      <c r="K234" s="1410"/>
      <c r="L234" s="135"/>
      <c r="M234" s="268"/>
      <c r="N234" s="261"/>
      <c r="O234" s="1536"/>
      <c r="P234" s="1536"/>
    </row>
    <row r="235" spans="1:16" s="1923" customFormat="1" ht="18.75" hidden="1" customHeight="1">
      <c r="A235" s="1691" t="s">
        <v>195</v>
      </c>
      <c r="B235" s="1691" t="s">
        <v>196</v>
      </c>
      <c r="C235" s="297"/>
      <c r="D235" s="4220"/>
      <c r="E235" s="4027"/>
      <c r="F235" s="4162" t="str">
        <f>INDEX(PT_DIFFERENTIATION_VTAR,MATCH(A235,PT_DIFFERENTIATION_VTAR_ID,0))</f>
        <v>Плата за услуги по поддержанию резервной тепловой мощности при отсутствии потребления тепловой энергии</v>
      </c>
      <c r="G235" s="4191" t="str">
        <f>INDEX(PT_DIFFERENTIATION_NTAR,MATCH(B235,PT_DIFFERENTIATION_NTAR_ID,0))</f>
        <v/>
      </c>
      <c r="H235" s="1773"/>
      <c r="I235" s="1649"/>
      <c r="J235" s="1684"/>
      <c r="K235" s="1689"/>
      <c r="L235" s="1773" t="s">
        <v>296</v>
      </c>
      <c r="M235" s="268"/>
      <c r="N235" s="261"/>
      <c r="O235" s="1536"/>
      <c r="P235" s="1536"/>
    </row>
    <row r="236" spans="1:16" s="1923" customFormat="1" ht="18.75" hidden="1" customHeight="1">
      <c r="A236" s="1691"/>
      <c r="B236" s="1691"/>
      <c r="C236" s="297" t="s">
        <v>1044</v>
      </c>
      <c r="D236" s="4220"/>
      <c r="E236" s="4027"/>
      <c r="F236" s="4162"/>
      <c r="G236" s="4191"/>
      <c r="H236" s="1410"/>
      <c r="I236" s="572" t="s">
        <v>1043</v>
      </c>
      <c r="J236" s="496"/>
      <c r="K236" s="1410"/>
      <c r="L236" s="135"/>
      <c r="M236" s="268"/>
      <c r="N236" s="261"/>
      <c r="O236" s="1536"/>
      <c r="P236" s="1536"/>
    </row>
    <row r="237" spans="1:16" s="1923" customFormat="1" ht="0.75" hidden="1" customHeight="1">
      <c r="A237" s="1691"/>
      <c r="B237" s="1691"/>
      <c r="C237" s="297" t="s">
        <v>1053</v>
      </c>
      <c r="D237" s="4220"/>
      <c r="E237" s="4027"/>
      <c r="F237" s="4162"/>
      <c r="G237" s="334"/>
      <c r="H237" s="1410"/>
      <c r="I237" s="572"/>
      <c r="J237" s="496"/>
      <c r="K237" s="1410"/>
      <c r="L237" s="135"/>
      <c r="M237" s="268"/>
      <c r="N237" s="261"/>
      <c r="O237" s="1536"/>
      <c r="P237" s="1536"/>
    </row>
    <row r="238" spans="1:16" s="1923" customFormat="1" ht="18.75" hidden="1" customHeight="1">
      <c r="A238" s="1691" t="s">
        <v>201</v>
      </c>
      <c r="B238" s="1691" t="s">
        <v>202</v>
      </c>
      <c r="C238" s="297"/>
      <c r="D238" s="4220"/>
      <c r="E238" s="4027"/>
      <c r="F238" s="4162" t="str">
        <f>INDEX(PT_DIFFERENTIATION_VTAR,MATCH(A238,PT_DIFFERENTIATION_VTAR_ID,0))</f>
        <v>Плата за подключение (технологическое присоединение) к системе теплоснабжения</v>
      </c>
      <c r="G238" s="4191" t="str">
        <f>INDEX(PT_DIFFERENTIATION_NTAR,MATCH(B238,PT_DIFFERENTIATION_NTAR_ID,0))</f>
        <v/>
      </c>
      <c r="H238" s="1773"/>
      <c r="I238" s="1649"/>
      <c r="J238" s="1684"/>
      <c r="K238" s="1689"/>
      <c r="L238" s="1773" t="s">
        <v>296</v>
      </c>
      <c r="M238" s="268"/>
      <c r="N238" s="261"/>
      <c r="O238" s="1536"/>
      <c r="P238" s="1536"/>
    </row>
    <row r="239" spans="1:16" s="1923" customFormat="1" ht="18.75" hidden="1" customHeight="1">
      <c r="A239" s="1691"/>
      <c r="B239" s="1691"/>
      <c r="C239" s="297" t="s">
        <v>1044</v>
      </c>
      <c r="D239" s="4220"/>
      <c r="E239" s="4027"/>
      <c r="F239" s="4162"/>
      <c r="G239" s="4191"/>
      <c r="H239" s="1410"/>
      <c r="I239" s="572" t="s">
        <v>1043</v>
      </c>
      <c r="J239" s="496"/>
      <c r="K239" s="1410"/>
      <c r="L239" s="135"/>
      <c r="M239" s="268"/>
      <c r="N239" s="261"/>
      <c r="O239" s="1536"/>
      <c r="P239" s="1536"/>
    </row>
    <row r="240" spans="1:16" s="1923" customFormat="1" ht="0.75" hidden="1" customHeight="1">
      <c r="A240" s="1691"/>
      <c r="B240" s="1691"/>
      <c r="C240" s="297" t="s">
        <v>1053</v>
      </c>
      <c r="D240" s="4220"/>
      <c r="E240" s="4027"/>
      <c r="F240" s="4162"/>
      <c r="G240" s="334"/>
      <c r="H240" s="1410"/>
      <c r="I240" s="572"/>
      <c r="J240" s="496"/>
      <c r="K240" s="1410"/>
      <c r="L240" s="135"/>
      <c r="M240" s="268"/>
      <c r="N240" s="261"/>
      <c r="O240" s="1536"/>
      <c r="P240" s="1536"/>
    </row>
    <row r="241" spans="1:16" s="1923" customFormat="1" ht="18.75" hidden="1" customHeight="1">
      <c r="A241" s="1691" t="s">
        <v>215</v>
      </c>
      <c r="B241" s="1691" t="s">
        <v>216</v>
      </c>
      <c r="C241" s="297"/>
      <c r="D241" s="4220"/>
      <c r="E241" s="4027"/>
      <c r="F241" s="4162" t="str">
        <f>INDEX(PT_DIFFERENTIATION_VTAR,MATCH(A241,PT_DIFFERENTIATION_VTAR_ID,0))</f>
        <v>Тариф на питьевую воду (питьевое водоснабжение)</v>
      </c>
      <c r="G241" s="4191" t="str">
        <f>INDEX(PT_DIFFERENTIATION_NTAR,MATCH(B241,PT_DIFFERENTIATION_NTAR_ID,0))</f>
        <v/>
      </c>
      <c r="H241" s="1773"/>
      <c r="I241" s="1649"/>
      <c r="J241" s="1684"/>
      <c r="K241" s="1689"/>
      <c r="L241" s="1773" t="s">
        <v>296</v>
      </c>
      <c r="M241" s="268"/>
      <c r="N241" s="261"/>
      <c r="O241" s="1536"/>
      <c r="P241" s="1536"/>
    </row>
    <row r="242" spans="1:16" s="1923" customFormat="1" ht="18.75" hidden="1" customHeight="1">
      <c r="A242" s="1691"/>
      <c r="B242" s="1691"/>
      <c r="C242" s="297" t="s">
        <v>1044</v>
      </c>
      <c r="D242" s="4220"/>
      <c r="E242" s="4027"/>
      <c r="F242" s="4162"/>
      <c r="G242" s="4191"/>
      <c r="H242" s="1410"/>
      <c r="I242" s="572" t="s">
        <v>1043</v>
      </c>
      <c r="J242" s="496"/>
      <c r="K242" s="1410"/>
      <c r="L242" s="135"/>
      <c r="M242" s="268"/>
      <c r="N242" s="261"/>
      <c r="O242" s="1536"/>
      <c r="P242" s="1536"/>
    </row>
    <row r="243" spans="1:16" s="1923" customFormat="1" ht="0.75" hidden="1" customHeight="1">
      <c r="A243" s="1691"/>
      <c r="B243" s="1691"/>
      <c r="C243" s="297" t="s">
        <v>1053</v>
      </c>
      <c r="D243" s="4220"/>
      <c r="E243" s="4027"/>
      <c r="F243" s="4162"/>
      <c r="G243" s="334"/>
      <c r="H243" s="1410"/>
      <c r="I243" s="572"/>
      <c r="J243" s="496"/>
      <c r="K243" s="1410"/>
      <c r="L243" s="135"/>
      <c r="M243" s="268"/>
      <c r="N243" s="261"/>
      <c r="O243" s="1536"/>
      <c r="P243" s="1536"/>
    </row>
    <row r="244" spans="1:16" s="1923" customFormat="1" ht="18.75" hidden="1" customHeight="1">
      <c r="A244" s="1691" t="s">
        <v>220</v>
      </c>
      <c r="B244" s="1691" t="s">
        <v>221</v>
      </c>
      <c r="C244" s="297"/>
      <c r="D244" s="4220"/>
      <c r="E244" s="4027"/>
      <c r="F244" s="4162" t="str">
        <f>INDEX(PT_DIFFERENTIATION_VTAR,MATCH(A244,PT_DIFFERENTIATION_VTAR_ID,0))</f>
        <v>Тариф на техническую воду</v>
      </c>
      <c r="G244" s="4191" t="str">
        <f>INDEX(PT_DIFFERENTIATION_NTAR,MATCH(B244,PT_DIFFERENTIATION_NTAR_ID,0))</f>
        <v/>
      </c>
      <c r="H244" s="1773"/>
      <c r="I244" s="1649"/>
      <c r="J244" s="1684"/>
      <c r="K244" s="1689"/>
      <c r="L244" s="1773" t="s">
        <v>296</v>
      </c>
      <c r="M244" s="268"/>
      <c r="N244" s="261"/>
      <c r="O244" s="1536"/>
      <c r="P244" s="1536"/>
    </row>
    <row r="245" spans="1:16" s="1923" customFormat="1" ht="18.75" hidden="1" customHeight="1">
      <c r="A245" s="1691"/>
      <c r="B245" s="1691"/>
      <c r="C245" s="297" t="s">
        <v>1044</v>
      </c>
      <c r="D245" s="4220"/>
      <c r="E245" s="4027"/>
      <c r="F245" s="4162"/>
      <c r="G245" s="4191"/>
      <c r="H245" s="1410"/>
      <c r="I245" s="572" t="s">
        <v>1043</v>
      </c>
      <c r="J245" s="496"/>
      <c r="K245" s="1410"/>
      <c r="L245" s="135"/>
      <c r="M245" s="268"/>
      <c r="N245" s="261"/>
      <c r="O245" s="1536"/>
      <c r="P245" s="1536"/>
    </row>
    <row r="246" spans="1:16" s="1923" customFormat="1" ht="0.75" hidden="1" customHeight="1">
      <c r="A246" s="1691"/>
      <c r="B246" s="1691"/>
      <c r="C246" s="297" t="s">
        <v>1053</v>
      </c>
      <c r="D246" s="4220"/>
      <c r="E246" s="4027"/>
      <c r="F246" s="4162"/>
      <c r="G246" s="334"/>
      <c r="H246" s="1410"/>
      <c r="I246" s="572"/>
      <c r="J246" s="496"/>
      <c r="K246" s="1410"/>
      <c r="L246" s="135"/>
      <c r="M246" s="268"/>
      <c r="N246" s="261"/>
      <c r="O246" s="1536"/>
      <c r="P246" s="1536"/>
    </row>
    <row r="247" spans="1:16" s="1923" customFormat="1" ht="18.75" hidden="1" customHeight="1">
      <c r="A247" s="1691" t="s">
        <v>225</v>
      </c>
      <c r="B247" s="1691" t="s">
        <v>226</v>
      </c>
      <c r="C247" s="297"/>
      <c r="D247" s="4220"/>
      <c r="E247" s="4027"/>
      <c r="F247" s="4162" t="str">
        <f>INDEX(PT_DIFFERENTIATION_VTAR,MATCH(A247,PT_DIFFERENTIATION_VTAR_ID,0))</f>
        <v>Тариф на транспортировку воды</v>
      </c>
      <c r="G247" s="4191" t="str">
        <f>INDEX(PT_DIFFERENTIATION_NTAR,MATCH(B247,PT_DIFFERENTIATION_NTAR_ID,0))</f>
        <v/>
      </c>
      <c r="H247" s="1773"/>
      <c r="I247" s="1649"/>
      <c r="J247" s="1684"/>
      <c r="K247" s="1689"/>
      <c r="L247" s="1773" t="s">
        <v>296</v>
      </c>
      <c r="M247" s="268"/>
      <c r="N247" s="261"/>
      <c r="O247" s="1536"/>
      <c r="P247" s="1536"/>
    </row>
    <row r="248" spans="1:16" s="1923" customFormat="1" ht="18.75" hidden="1" customHeight="1">
      <c r="A248" s="1691"/>
      <c r="B248" s="1691"/>
      <c r="C248" s="297" t="s">
        <v>1044</v>
      </c>
      <c r="D248" s="4220"/>
      <c r="E248" s="4027"/>
      <c r="F248" s="4162"/>
      <c r="G248" s="4191"/>
      <c r="H248" s="1410"/>
      <c r="I248" s="572" t="s">
        <v>1043</v>
      </c>
      <c r="J248" s="496"/>
      <c r="K248" s="1410"/>
      <c r="L248" s="135"/>
      <c r="M248" s="268"/>
      <c r="N248" s="261"/>
      <c r="O248" s="1536"/>
      <c r="P248" s="1536"/>
    </row>
    <row r="249" spans="1:16" s="1923" customFormat="1" ht="0.75" hidden="1" customHeight="1">
      <c r="A249" s="1691"/>
      <c r="B249" s="1691"/>
      <c r="C249" s="297" t="s">
        <v>1053</v>
      </c>
      <c r="D249" s="4220"/>
      <c r="E249" s="4027"/>
      <c r="F249" s="4162"/>
      <c r="G249" s="334"/>
      <c r="H249" s="1410"/>
      <c r="I249" s="572"/>
      <c r="J249" s="496"/>
      <c r="K249" s="1410"/>
      <c r="L249" s="135"/>
      <c r="M249" s="268"/>
      <c r="N249" s="261"/>
      <c r="O249" s="1536"/>
      <c r="P249" s="1536"/>
    </row>
    <row r="250" spans="1:16" s="1923" customFormat="1" ht="18.75" hidden="1" customHeight="1">
      <c r="A250" s="1691" t="s">
        <v>230</v>
      </c>
      <c r="B250" s="1691" t="s">
        <v>231</v>
      </c>
      <c r="C250" s="297"/>
      <c r="D250" s="4220"/>
      <c r="E250" s="4027"/>
      <c r="F250" s="4162" t="str">
        <f>INDEX(PT_DIFFERENTIATION_VTAR,MATCH(A250,PT_DIFFERENTIATION_VTAR_ID,0))</f>
        <v>Тариф на подвоз воды</v>
      </c>
      <c r="G250" s="4191" t="str">
        <f>INDEX(PT_DIFFERENTIATION_NTAR,MATCH(B250,PT_DIFFERENTIATION_NTAR_ID,0))</f>
        <v/>
      </c>
      <c r="H250" s="1773"/>
      <c r="I250" s="1649"/>
      <c r="J250" s="1684"/>
      <c r="K250" s="1689"/>
      <c r="L250" s="1773" t="s">
        <v>296</v>
      </c>
      <c r="M250" s="268"/>
      <c r="N250" s="261"/>
      <c r="O250" s="1536"/>
      <c r="P250" s="1536"/>
    </row>
    <row r="251" spans="1:16" s="1923" customFormat="1" ht="18.75" hidden="1" customHeight="1">
      <c r="A251" s="1691"/>
      <c r="B251" s="1691"/>
      <c r="C251" s="297" t="s">
        <v>1044</v>
      </c>
      <c r="D251" s="4220"/>
      <c r="E251" s="4027"/>
      <c r="F251" s="4162"/>
      <c r="G251" s="4191"/>
      <c r="H251" s="1410"/>
      <c r="I251" s="572" t="s">
        <v>1043</v>
      </c>
      <c r="J251" s="496"/>
      <c r="K251" s="1410"/>
      <c r="L251" s="135"/>
      <c r="M251" s="268"/>
      <c r="N251" s="261"/>
      <c r="O251" s="1536"/>
      <c r="P251" s="1536"/>
    </row>
    <row r="252" spans="1:16" s="1923" customFormat="1" ht="0.75" hidden="1" customHeight="1">
      <c r="A252" s="1691"/>
      <c r="B252" s="1691"/>
      <c r="C252" s="297" t="s">
        <v>1053</v>
      </c>
      <c r="D252" s="4220"/>
      <c r="E252" s="4027"/>
      <c r="F252" s="4162"/>
      <c r="G252" s="334"/>
      <c r="H252" s="1410"/>
      <c r="I252" s="572"/>
      <c r="J252" s="496"/>
      <c r="K252" s="1410"/>
      <c r="L252" s="135"/>
      <c r="M252" s="268"/>
      <c r="N252" s="261"/>
      <c r="O252" s="1536"/>
      <c r="P252" s="1536"/>
    </row>
    <row r="253" spans="1:16" s="1923" customFormat="1" ht="18.75" hidden="1" customHeight="1">
      <c r="A253" s="1691" t="s">
        <v>235</v>
      </c>
      <c r="B253" s="1691" t="s">
        <v>236</v>
      </c>
      <c r="C253" s="297"/>
      <c r="D253" s="4220"/>
      <c r="E253" s="4027"/>
      <c r="F253" s="4162" t="str">
        <f>INDEX(PT_DIFFERENTIATION_VTAR,MATCH(A253,PT_DIFFERENTIATION_VTAR_ID,0))</f>
        <v>Тариф на подключение (технологическое присоединение) к централизованной системе холодного водоснабжения</v>
      </c>
      <c r="G253" s="4191" t="str">
        <f>INDEX(PT_DIFFERENTIATION_NTAR,MATCH(B253,PT_DIFFERENTIATION_NTAR_ID,0))</f>
        <v/>
      </c>
      <c r="H253" s="1773"/>
      <c r="I253" s="1649"/>
      <c r="J253" s="1684"/>
      <c r="K253" s="1689"/>
      <c r="L253" s="1773" t="s">
        <v>296</v>
      </c>
      <c r="M253" s="268"/>
      <c r="N253" s="261"/>
      <c r="O253" s="1536"/>
      <c r="P253" s="1536"/>
    </row>
    <row r="254" spans="1:16" s="1923" customFormat="1" ht="18.75" hidden="1" customHeight="1">
      <c r="A254" s="1691"/>
      <c r="B254" s="1691"/>
      <c r="C254" s="297" t="s">
        <v>1044</v>
      </c>
      <c r="D254" s="4220"/>
      <c r="E254" s="4027"/>
      <c r="F254" s="4162"/>
      <c r="G254" s="4191"/>
      <c r="H254" s="1410"/>
      <c r="I254" s="572" t="s">
        <v>1043</v>
      </c>
      <c r="J254" s="496"/>
      <c r="K254" s="1410"/>
      <c r="L254" s="135"/>
      <c r="M254" s="268"/>
      <c r="N254" s="261"/>
      <c r="O254" s="1536"/>
      <c r="P254" s="1536"/>
    </row>
    <row r="255" spans="1:16" s="1923" customFormat="1" ht="0.75" hidden="1" customHeight="1">
      <c r="A255" s="1691"/>
      <c r="B255" s="1691"/>
      <c r="C255" s="297" t="s">
        <v>1053</v>
      </c>
      <c r="D255" s="4220"/>
      <c r="E255" s="4027"/>
      <c r="F255" s="4162"/>
      <c r="G255" s="334"/>
      <c r="H255" s="1410"/>
      <c r="I255" s="572"/>
      <c r="J255" s="496"/>
      <c r="K255" s="1410"/>
      <c r="L255" s="135"/>
      <c r="M255" s="268"/>
      <c r="N255" s="261"/>
      <c r="O255" s="1536"/>
      <c r="P255" s="1536"/>
    </row>
    <row r="256" spans="1:16" s="1923" customFormat="1" ht="18.75" hidden="1" customHeight="1">
      <c r="A256" s="1691" t="s">
        <v>240</v>
      </c>
      <c r="B256" s="1691" t="s">
        <v>241</v>
      </c>
      <c r="C256" s="297"/>
      <c r="D256" s="4220"/>
      <c r="E256" s="4027"/>
      <c r="F256" s="4162" t="str">
        <f>INDEX(PT_DIFFERENTIATION_VTAR,MATCH(A256,PT_DIFFERENTIATION_VTAR_ID,0))</f>
        <v>Тариф на горячую воду (горячее водоснабжение)</v>
      </c>
      <c r="G256" s="4191" t="str">
        <f>INDEX(PT_DIFFERENTIATION_NTAR,MATCH(B256,PT_DIFFERENTIATION_NTAR_ID,0))</f>
        <v/>
      </c>
      <c r="H256" s="1773"/>
      <c r="I256" s="1649"/>
      <c r="J256" s="1684"/>
      <c r="K256" s="1689"/>
      <c r="L256" s="1773" t="s">
        <v>296</v>
      </c>
      <c r="M256" s="268"/>
      <c r="N256" s="261"/>
      <c r="O256" s="1536"/>
      <c r="P256" s="1536"/>
    </row>
    <row r="257" spans="1:16" s="1923" customFormat="1" ht="18.75" hidden="1" customHeight="1">
      <c r="A257" s="1691"/>
      <c r="B257" s="1691"/>
      <c r="C257" s="297" t="s">
        <v>1044</v>
      </c>
      <c r="D257" s="4220"/>
      <c r="E257" s="4027"/>
      <c r="F257" s="4162"/>
      <c r="G257" s="4191"/>
      <c r="H257" s="1410"/>
      <c r="I257" s="572" t="s">
        <v>1043</v>
      </c>
      <c r="J257" s="496"/>
      <c r="K257" s="1410"/>
      <c r="L257" s="135"/>
      <c r="M257" s="268"/>
      <c r="N257" s="261"/>
      <c r="O257" s="1536"/>
      <c r="P257" s="1536"/>
    </row>
    <row r="258" spans="1:16" s="1923" customFormat="1" ht="0.75" hidden="1" customHeight="1">
      <c r="A258" s="1691"/>
      <c r="B258" s="1691"/>
      <c r="C258" s="297" t="s">
        <v>1053</v>
      </c>
      <c r="D258" s="4220"/>
      <c r="E258" s="4027"/>
      <c r="F258" s="4162"/>
      <c r="G258" s="334"/>
      <c r="H258" s="1410"/>
      <c r="I258" s="572"/>
      <c r="J258" s="496"/>
      <c r="K258" s="1410"/>
      <c r="L258" s="135"/>
      <c r="M258" s="268"/>
      <c r="N258" s="261"/>
      <c r="O258" s="1536"/>
      <c r="P258" s="1536"/>
    </row>
    <row r="259" spans="1:16" s="1923" customFormat="1" ht="18.75" hidden="1" customHeight="1">
      <c r="A259" s="1691" t="s">
        <v>245</v>
      </c>
      <c r="B259" s="1691" t="s">
        <v>246</v>
      </c>
      <c r="C259" s="297"/>
      <c r="D259" s="4220"/>
      <c r="E259" s="4027"/>
      <c r="F259" s="4162" t="str">
        <f>INDEX(PT_DIFFERENTIATION_VTAR,MATCH(A259,PT_DIFFERENTIATION_VTAR_ID,0))</f>
        <v>Тариф на транспортировку горячей воды</v>
      </c>
      <c r="G259" s="4191" t="str">
        <f>INDEX(PT_DIFFERENTIATION_NTAR,MATCH(B259,PT_DIFFERENTIATION_NTAR_ID,0))</f>
        <v/>
      </c>
      <c r="H259" s="1773"/>
      <c r="I259" s="1649"/>
      <c r="J259" s="1684"/>
      <c r="K259" s="1689"/>
      <c r="L259" s="1773" t="s">
        <v>296</v>
      </c>
      <c r="M259" s="268"/>
      <c r="N259" s="261"/>
      <c r="O259" s="1536"/>
      <c r="P259" s="1536"/>
    </row>
    <row r="260" spans="1:16" s="1923" customFormat="1" ht="18.75" hidden="1" customHeight="1">
      <c r="A260" s="1691"/>
      <c r="B260" s="1691"/>
      <c r="C260" s="297" t="s">
        <v>1044</v>
      </c>
      <c r="D260" s="4220"/>
      <c r="E260" s="4027"/>
      <c r="F260" s="4162"/>
      <c r="G260" s="4191"/>
      <c r="H260" s="1410"/>
      <c r="I260" s="572" t="s">
        <v>1043</v>
      </c>
      <c r="J260" s="496"/>
      <c r="K260" s="1410"/>
      <c r="L260" s="135"/>
      <c r="M260" s="268"/>
      <c r="N260" s="261"/>
      <c r="O260" s="1536"/>
      <c r="P260" s="1536"/>
    </row>
    <row r="261" spans="1:16" s="1923" customFormat="1" ht="0.75" hidden="1" customHeight="1">
      <c r="A261" s="1691"/>
      <c r="B261" s="1691"/>
      <c r="C261" s="297" t="s">
        <v>1053</v>
      </c>
      <c r="D261" s="4220"/>
      <c r="E261" s="4027"/>
      <c r="F261" s="4162"/>
      <c r="G261" s="334"/>
      <c r="H261" s="1410"/>
      <c r="I261" s="572"/>
      <c r="J261" s="496"/>
      <c r="K261" s="1410"/>
      <c r="L261" s="135"/>
      <c r="M261" s="268"/>
      <c r="N261" s="261"/>
      <c r="O261" s="1536"/>
      <c r="P261" s="1536"/>
    </row>
    <row r="262" spans="1:16" s="1923" customFormat="1" ht="18.75" hidden="1" customHeight="1">
      <c r="A262" s="1691" t="s">
        <v>250</v>
      </c>
      <c r="B262" s="1691" t="s">
        <v>251</v>
      </c>
      <c r="C262" s="297"/>
      <c r="D262" s="4220"/>
      <c r="E262" s="4027"/>
      <c r="F262" s="4162" t="str">
        <f>INDEX(PT_DIFFERENTIATION_VTAR,MATCH(A262,PT_DIFFERENTIATION_VTAR_ID,0))</f>
        <v>Тариф на подключение (технологическое присоединение) к централизованной системе горячего водоснабжения</v>
      </c>
      <c r="G262" s="4191" t="str">
        <f>INDEX(PT_DIFFERENTIATION_NTAR,MATCH(B262,PT_DIFFERENTIATION_NTAR_ID,0))</f>
        <v/>
      </c>
      <c r="H262" s="1773"/>
      <c r="I262" s="1649"/>
      <c r="J262" s="1684"/>
      <c r="K262" s="1689"/>
      <c r="L262" s="1773" t="s">
        <v>296</v>
      </c>
      <c r="M262" s="268"/>
      <c r="N262" s="261"/>
      <c r="O262" s="1536"/>
      <c r="P262" s="1536"/>
    </row>
    <row r="263" spans="1:16" s="1923" customFormat="1" ht="18.75" hidden="1" customHeight="1">
      <c r="A263" s="1691"/>
      <c r="B263" s="1691"/>
      <c r="C263" s="297" t="s">
        <v>1044</v>
      </c>
      <c r="D263" s="4220"/>
      <c r="E263" s="4027"/>
      <c r="F263" s="4162"/>
      <c r="G263" s="4191"/>
      <c r="H263" s="1410"/>
      <c r="I263" s="572" t="s">
        <v>1043</v>
      </c>
      <c r="J263" s="496"/>
      <c r="K263" s="1410"/>
      <c r="L263" s="135"/>
      <c r="M263" s="268"/>
      <c r="N263" s="261"/>
      <c r="O263" s="1536"/>
      <c r="P263" s="1536"/>
    </row>
    <row r="264" spans="1:16" s="1923" customFormat="1" ht="0.75" hidden="1" customHeight="1">
      <c r="A264" s="1691"/>
      <c r="B264" s="1691"/>
      <c r="C264" s="297" t="s">
        <v>1053</v>
      </c>
      <c r="D264" s="4220"/>
      <c r="E264" s="4027"/>
      <c r="F264" s="4162"/>
      <c r="G264" s="334"/>
      <c r="H264" s="1410"/>
      <c r="I264" s="572"/>
      <c r="J264" s="496"/>
      <c r="K264" s="1410"/>
      <c r="L264" s="135"/>
      <c r="M264" s="268"/>
      <c r="N264" s="261"/>
      <c r="O264" s="1536"/>
      <c r="P264" s="1536"/>
    </row>
    <row r="265" spans="1:16" s="1923" customFormat="1" ht="18.75" hidden="1" customHeight="1">
      <c r="A265" s="1691" t="s">
        <v>255</v>
      </c>
      <c r="B265" s="1691" t="s">
        <v>256</v>
      </c>
      <c r="C265" s="297"/>
      <c r="D265" s="4220"/>
      <c r="E265" s="4027"/>
      <c r="F265" s="4162" t="str">
        <f>INDEX(PT_DIFFERENTIATION_VTAR,MATCH(A265,PT_DIFFERENTIATION_VTAR_ID,0))</f>
        <v>Тариф на водоотведение</v>
      </c>
      <c r="G265" s="4191" t="str">
        <f>INDEX(PT_DIFFERENTIATION_NTAR,MATCH(B265,PT_DIFFERENTIATION_NTAR_ID,0))</f>
        <v/>
      </c>
      <c r="H265" s="1773"/>
      <c r="I265" s="1649"/>
      <c r="J265" s="1684"/>
      <c r="K265" s="1689"/>
      <c r="L265" s="1773" t="s">
        <v>296</v>
      </c>
      <c r="M265" s="268"/>
      <c r="N265" s="261"/>
      <c r="O265" s="1536"/>
      <c r="P265" s="1536"/>
    </row>
    <row r="266" spans="1:16" s="1923" customFormat="1" ht="18.75" hidden="1" customHeight="1">
      <c r="A266" s="1691"/>
      <c r="B266" s="1691"/>
      <c r="C266" s="297" t="s">
        <v>1044</v>
      </c>
      <c r="D266" s="4220"/>
      <c r="E266" s="4027"/>
      <c r="F266" s="4162"/>
      <c r="G266" s="4191"/>
      <c r="H266" s="1410"/>
      <c r="I266" s="572" t="s">
        <v>1043</v>
      </c>
      <c r="J266" s="496"/>
      <c r="K266" s="1410"/>
      <c r="L266" s="135"/>
      <c r="M266" s="268"/>
      <c r="N266" s="261"/>
      <c r="O266" s="1536"/>
      <c r="P266" s="1536"/>
    </row>
    <row r="267" spans="1:16" s="1923" customFormat="1" ht="0.75" hidden="1" customHeight="1">
      <c r="A267" s="1691"/>
      <c r="B267" s="1691"/>
      <c r="C267" s="297" t="s">
        <v>1053</v>
      </c>
      <c r="D267" s="4220"/>
      <c r="E267" s="4027"/>
      <c r="F267" s="4162"/>
      <c r="G267" s="334"/>
      <c r="H267" s="1410"/>
      <c r="I267" s="572"/>
      <c r="J267" s="496"/>
      <c r="K267" s="1410"/>
      <c r="L267" s="135"/>
      <c r="M267" s="268"/>
      <c r="N267" s="261"/>
      <c r="O267" s="1536"/>
      <c r="P267" s="1536"/>
    </row>
    <row r="268" spans="1:16" s="1923" customFormat="1" ht="18.75" hidden="1" customHeight="1">
      <c r="A268" s="1691" t="s">
        <v>260</v>
      </c>
      <c r="B268" s="1691" t="s">
        <v>261</v>
      </c>
      <c r="C268" s="297"/>
      <c r="D268" s="4220"/>
      <c r="E268" s="4027"/>
      <c r="F268" s="4162" t="str">
        <f>INDEX(PT_DIFFERENTIATION_VTAR,MATCH(A268,PT_DIFFERENTIATION_VTAR_ID,0))</f>
        <v>Тариф на транспортировку сточных вод</v>
      </c>
      <c r="G268" s="4191" t="str">
        <f>INDEX(PT_DIFFERENTIATION_NTAR,MATCH(B268,PT_DIFFERENTIATION_NTAR_ID,0))</f>
        <v/>
      </c>
      <c r="H268" s="1773"/>
      <c r="I268" s="1649"/>
      <c r="J268" s="1684"/>
      <c r="K268" s="1689"/>
      <c r="L268" s="1773" t="s">
        <v>296</v>
      </c>
      <c r="M268" s="268"/>
      <c r="N268" s="261"/>
      <c r="O268" s="1536"/>
      <c r="P268" s="1536"/>
    </row>
    <row r="269" spans="1:16" s="1923" customFormat="1" ht="18.75" hidden="1" customHeight="1">
      <c r="A269" s="1691"/>
      <c r="B269" s="1691"/>
      <c r="C269" s="297" t="s">
        <v>1044</v>
      </c>
      <c r="D269" s="4220"/>
      <c r="E269" s="4027"/>
      <c r="F269" s="4162"/>
      <c r="G269" s="4191"/>
      <c r="H269" s="1410"/>
      <c r="I269" s="572" t="s">
        <v>1043</v>
      </c>
      <c r="J269" s="496"/>
      <c r="K269" s="1410"/>
      <c r="L269" s="135"/>
      <c r="M269" s="268"/>
      <c r="N269" s="261"/>
      <c r="O269" s="1536"/>
      <c r="P269" s="1536"/>
    </row>
    <row r="270" spans="1:16" s="1923" customFormat="1" ht="0.75" hidden="1" customHeight="1">
      <c r="A270" s="1691"/>
      <c r="B270" s="1691"/>
      <c r="C270" s="297" t="s">
        <v>1053</v>
      </c>
      <c r="D270" s="4220"/>
      <c r="E270" s="4027"/>
      <c r="F270" s="4162"/>
      <c r="G270" s="334"/>
      <c r="H270" s="1410"/>
      <c r="I270" s="572"/>
      <c r="J270" s="496"/>
      <c r="K270" s="1410"/>
      <c r="L270" s="135"/>
      <c r="M270" s="268"/>
      <c r="N270" s="261"/>
      <c r="O270" s="1536"/>
      <c r="P270" s="1536"/>
    </row>
    <row r="271" spans="1:16" s="1923" customFormat="1" ht="18.75" hidden="1" customHeight="1">
      <c r="A271" s="1691" t="s">
        <v>265</v>
      </c>
      <c r="B271" s="1691" t="s">
        <v>266</v>
      </c>
      <c r="C271" s="297"/>
      <c r="D271" s="4220"/>
      <c r="E271" s="4027"/>
      <c r="F271" s="4162" t="str">
        <f>INDEX(PT_DIFFERENTIATION_VTAR,MATCH(A271,PT_DIFFERENTIATION_VTAR_ID,0))</f>
        <v>Тариф на подключение (технологическое присоединение) к централизованной системе водоотведения</v>
      </c>
      <c r="G271" s="4191" t="str">
        <f>INDEX(PT_DIFFERENTIATION_NTAR,MATCH(B271,PT_DIFFERENTIATION_NTAR_ID,0))</f>
        <v/>
      </c>
      <c r="H271" s="1773"/>
      <c r="I271" s="1649"/>
      <c r="J271" s="1684"/>
      <c r="K271" s="1689"/>
      <c r="L271" s="1773" t="s">
        <v>296</v>
      </c>
      <c r="M271" s="268"/>
      <c r="N271" s="261"/>
      <c r="O271" s="1536"/>
      <c r="P271" s="1536"/>
    </row>
    <row r="272" spans="1:16" s="1923" customFormat="1" ht="18.75" hidden="1" customHeight="1">
      <c r="A272" s="1691"/>
      <c r="B272" s="1691"/>
      <c r="C272" s="297" t="s">
        <v>1044</v>
      </c>
      <c r="D272" s="4220"/>
      <c r="E272" s="4027"/>
      <c r="F272" s="4162"/>
      <c r="G272" s="4191"/>
      <c r="H272" s="1410"/>
      <c r="I272" s="572" t="s">
        <v>1043</v>
      </c>
      <c r="J272" s="496"/>
      <c r="K272" s="1410"/>
      <c r="L272" s="135"/>
      <c r="M272" s="268"/>
      <c r="N272" s="261"/>
      <c r="O272" s="1536"/>
      <c r="P272" s="1536"/>
    </row>
    <row r="273" spans="1:16" s="1923" customFormat="1" ht="0.75" customHeight="1">
      <c r="A273" s="1691"/>
      <c r="B273" s="1691"/>
      <c r="C273" s="297" t="s">
        <v>1053</v>
      </c>
      <c r="D273" s="4220"/>
      <c r="E273" s="4027"/>
      <c r="F273" s="4162"/>
      <c r="G273" s="334"/>
      <c r="H273" s="1410"/>
      <c r="I273" s="572"/>
      <c r="J273" s="496"/>
      <c r="K273" s="1410"/>
      <c r="L273" s="135"/>
      <c r="M273" s="268"/>
      <c r="N273" s="261"/>
      <c r="O273" s="1536"/>
      <c r="P273" s="1536"/>
    </row>
    <row r="274" spans="1:16" ht="26.25" customHeight="1">
      <c r="A274" s="1691"/>
      <c r="B274" s="1691"/>
      <c r="D274" s="305"/>
      <c r="E274" s="71" t="s">
        <v>109</v>
      </c>
      <c r="F274" s="421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74" s="4218"/>
      <c r="H274" s="4218"/>
      <c r="I274" s="4218"/>
      <c r="J274" s="4218"/>
      <c r="K274" s="4218"/>
      <c r="L274" s="4218"/>
      <c r="M274" s="216"/>
      <c r="N274" s="261"/>
    </row>
    <row r="275" spans="1:16" s="1923" customFormat="1" ht="60.75" hidden="1" customHeight="1">
      <c r="A275" s="1691" t="s">
        <v>153</v>
      </c>
      <c r="B275" s="1691" t="s">
        <v>154</v>
      </c>
      <c r="C275" s="297"/>
      <c r="D275" s="4220"/>
      <c r="E275" s="4027"/>
      <c r="F275" s="4162" t="str">
        <f>INDEX(PT_DIFFERENTIATION_VTAR,MATCH(A275,PT_DIFFERENTIATION_VTAR_ID,0))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5" s="4191" t="str">
        <f>INDEX(PT_DIFFERENTIATION_NTAR,MATCH(B275,PT_DIFFERENTIATION_NTAR_ID,0))</f>
        <v/>
      </c>
      <c r="H275" s="1773"/>
      <c r="I275" s="3846">
        <v>45200</v>
      </c>
      <c r="J275" s="1684">
        <v>45291</v>
      </c>
      <c r="K275" s="1689">
        <v>0</v>
      </c>
      <c r="L275" s="1773" t="s">
        <v>296</v>
      </c>
      <c r="M275" s="39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75" s="261"/>
      <c r="O275" s="1536"/>
      <c r="P275" s="1536"/>
    </row>
    <row r="276" spans="1:16" s="1945" customFormat="1" ht="56.25" hidden="1" customHeight="1">
      <c r="A276" s="3848"/>
      <c r="B276" s="3848"/>
      <c r="C276" s="3849"/>
      <c r="D276" s="4221"/>
      <c r="E276" s="4219"/>
      <c r="F276" s="4219"/>
      <c r="G276" s="4219"/>
      <c r="H276" s="2567" t="s">
        <v>417</v>
      </c>
      <c r="I276" s="3846">
        <v>45292</v>
      </c>
      <c r="J276" s="3847">
        <v>45657</v>
      </c>
      <c r="K276" s="3855">
        <v>0</v>
      </c>
      <c r="L276" s="2568" t="s">
        <v>296</v>
      </c>
      <c r="M276" s="4109"/>
      <c r="N276" s="3852"/>
      <c r="O276" s="3853"/>
      <c r="P276" s="3853"/>
    </row>
    <row r="277" spans="1:16" s="1945" customFormat="1" ht="56.25" hidden="1" customHeight="1">
      <c r="A277" s="3848"/>
      <c r="B277" s="3848"/>
      <c r="C277" s="3849"/>
      <c r="D277" s="4221"/>
      <c r="E277" s="4219"/>
      <c r="F277" s="4219"/>
      <c r="G277" s="4219"/>
      <c r="H277" s="2567" t="s">
        <v>417</v>
      </c>
      <c r="I277" s="3846">
        <v>45658</v>
      </c>
      <c r="J277" s="3847">
        <v>46022</v>
      </c>
      <c r="K277" s="3855">
        <v>0</v>
      </c>
      <c r="L277" s="2568" t="s">
        <v>296</v>
      </c>
      <c r="M277" s="4109"/>
      <c r="N277" s="3852"/>
      <c r="O277" s="3853"/>
      <c r="P277" s="3853"/>
    </row>
    <row r="278" spans="1:16" s="1945" customFormat="1" ht="56.25" hidden="1" customHeight="1">
      <c r="A278" s="3848"/>
      <c r="B278" s="3848"/>
      <c r="C278" s="3849"/>
      <c r="D278" s="4221"/>
      <c r="E278" s="4219"/>
      <c r="F278" s="4219"/>
      <c r="G278" s="4219"/>
      <c r="H278" s="2567" t="s">
        <v>417</v>
      </c>
      <c r="I278" s="3846">
        <v>46023</v>
      </c>
      <c r="J278" s="3847">
        <v>46387</v>
      </c>
      <c r="K278" s="3855">
        <v>0</v>
      </c>
      <c r="L278" s="2568" t="s">
        <v>296</v>
      </c>
      <c r="M278" s="4109"/>
      <c r="N278" s="3852"/>
      <c r="O278" s="3853"/>
      <c r="P278" s="3853"/>
    </row>
    <row r="279" spans="1:16" s="1945" customFormat="1" ht="56.25" hidden="1" customHeight="1">
      <c r="A279" s="3848"/>
      <c r="B279" s="3848"/>
      <c r="C279" s="3849"/>
      <c r="D279" s="4221"/>
      <c r="E279" s="4219"/>
      <c r="F279" s="4219"/>
      <c r="G279" s="4219"/>
      <c r="H279" s="2567" t="s">
        <v>417</v>
      </c>
      <c r="I279" s="3846">
        <v>46388</v>
      </c>
      <c r="J279" s="3847">
        <v>46752</v>
      </c>
      <c r="K279" s="3855">
        <v>0</v>
      </c>
      <c r="L279" s="2568" t="s">
        <v>296</v>
      </c>
      <c r="M279" s="4109"/>
      <c r="N279" s="3852"/>
      <c r="O279" s="3853"/>
      <c r="P279" s="3853"/>
    </row>
    <row r="280" spans="1:16" s="1945" customFormat="1" ht="56.25" hidden="1" customHeight="1">
      <c r="A280" s="3848"/>
      <c r="B280" s="3848"/>
      <c r="C280" s="3849"/>
      <c r="D280" s="4221"/>
      <c r="E280" s="4219"/>
      <c r="F280" s="4219"/>
      <c r="G280" s="4219"/>
      <c r="H280" s="2567" t="s">
        <v>417</v>
      </c>
      <c r="I280" s="3846">
        <v>46753</v>
      </c>
      <c r="J280" s="3847">
        <v>47118</v>
      </c>
      <c r="K280" s="3855">
        <v>0</v>
      </c>
      <c r="L280" s="2568" t="s">
        <v>296</v>
      </c>
      <c r="M280" s="4109"/>
      <c r="N280" s="3852"/>
      <c r="O280" s="3853"/>
      <c r="P280" s="3853"/>
    </row>
    <row r="281" spans="1:16" s="1945" customFormat="1" ht="56.25" hidden="1" customHeight="1">
      <c r="A281" s="3848"/>
      <c r="B281" s="3848"/>
      <c r="C281" s="3849"/>
      <c r="D281" s="4221"/>
      <c r="E281" s="4219"/>
      <c r="F281" s="4219"/>
      <c r="G281" s="4219"/>
      <c r="H281" s="2567" t="s">
        <v>417</v>
      </c>
      <c r="I281" s="3846">
        <v>47119</v>
      </c>
      <c r="J281" s="3847">
        <v>47483</v>
      </c>
      <c r="K281" s="3855">
        <v>0</v>
      </c>
      <c r="L281" s="2568" t="s">
        <v>296</v>
      </c>
      <c r="M281" s="4109"/>
      <c r="N281" s="3852"/>
      <c r="O281" s="3853"/>
      <c r="P281" s="3853"/>
    </row>
    <row r="282" spans="1:16" s="1945" customFormat="1" ht="56.25" hidden="1" customHeight="1">
      <c r="A282" s="3848"/>
      <c r="B282" s="3848"/>
      <c r="C282" s="3849"/>
      <c r="D282" s="4221"/>
      <c r="E282" s="4219"/>
      <c r="F282" s="4219"/>
      <c r="G282" s="4219"/>
      <c r="H282" s="2567" t="s">
        <v>417</v>
      </c>
      <c r="I282" s="3846">
        <v>47484</v>
      </c>
      <c r="J282" s="3847">
        <v>47848</v>
      </c>
      <c r="K282" s="3855">
        <v>0</v>
      </c>
      <c r="L282" s="2568" t="s">
        <v>296</v>
      </c>
      <c r="M282" s="4109"/>
      <c r="N282" s="3852"/>
      <c r="O282" s="3853"/>
      <c r="P282" s="3853"/>
    </row>
    <row r="283" spans="1:16" s="1945" customFormat="1" ht="56.25" hidden="1" customHeight="1">
      <c r="A283" s="3848"/>
      <c r="B283" s="3848"/>
      <c r="C283" s="3849"/>
      <c r="D283" s="4221"/>
      <c r="E283" s="4219"/>
      <c r="F283" s="4219"/>
      <c r="G283" s="4219"/>
      <c r="H283" s="2567" t="s">
        <v>417</v>
      </c>
      <c r="I283" s="3846">
        <v>47849</v>
      </c>
      <c r="J283" s="3847">
        <v>48213</v>
      </c>
      <c r="K283" s="3855">
        <v>0</v>
      </c>
      <c r="L283" s="2568" t="s">
        <v>296</v>
      </c>
      <c r="M283" s="4109"/>
      <c r="N283" s="3852"/>
      <c r="O283" s="3853"/>
      <c r="P283" s="3853"/>
    </row>
    <row r="284" spans="1:16" s="1945" customFormat="1" ht="56.25" hidden="1" customHeight="1">
      <c r="A284" s="3848"/>
      <c r="B284" s="3848"/>
      <c r="C284" s="3849"/>
      <c r="D284" s="4221"/>
      <c r="E284" s="4219"/>
      <c r="F284" s="4219"/>
      <c r="G284" s="4219"/>
      <c r="H284" s="2567" t="s">
        <v>417</v>
      </c>
      <c r="I284" s="3846">
        <v>48214</v>
      </c>
      <c r="J284" s="3847">
        <v>48579</v>
      </c>
      <c r="K284" s="3855">
        <v>0</v>
      </c>
      <c r="L284" s="2568" t="s">
        <v>296</v>
      </c>
      <c r="M284" s="4109"/>
      <c r="N284" s="3852"/>
      <c r="O284" s="3853"/>
      <c r="P284" s="3853"/>
    </row>
    <row r="285" spans="1:16" s="1945" customFormat="1" ht="56.25" hidden="1" customHeight="1">
      <c r="A285" s="3848"/>
      <c r="B285" s="3848"/>
      <c r="C285" s="3849"/>
      <c r="D285" s="4221"/>
      <c r="E285" s="4219"/>
      <c r="F285" s="4219"/>
      <c r="G285" s="4219"/>
      <c r="H285" s="2567" t="s">
        <v>417</v>
      </c>
      <c r="I285" s="3846">
        <v>48580</v>
      </c>
      <c r="J285" s="3847">
        <v>48944</v>
      </c>
      <c r="K285" s="3855">
        <v>0</v>
      </c>
      <c r="L285" s="2568" t="s">
        <v>296</v>
      </c>
      <c r="M285" s="4109"/>
      <c r="N285" s="3852"/>
      <c r="O285" s="3853"/>
      <c r="P285" s="3853"/>
    </row>
    <row r="286" spans="1:16" s="1945" customFormat="1" ht="56.25" hidden="1" customHeight="1">
      <c r="A286" s="3848"/>
      <c r="B286" s="3848"/>
      <c r="C286" s="3849"/>
      <c r="D286" s="4221"/>
      <c r="E286" s="4219"/>
      <c r="F286" s="4219"/>
      <c r="G286" s="4219"/>
      <c r="H286" s="2567" t="s">
        <v>417</v>
      </c>
      <c r="I286" s="3846">
        <v>48945</v>
      </c>
      <c r="J286" s="3847">
        <v>49309</v>
      </c>
      <c r="K286" s="3855">
        <v>0</v>
      </c>
      <c r="L286" s="2568" t="s">
        <v>296</v>
      </c>
      <c r="M286" s="4109"/>
      <c r="N286" s="3852"/>
      <c r="O286" s="3853"/>
      <c r="P286" s="3853"/>
    </row>
    <row r="287" spans="1:16" s="1945" customFormat="1" ht="56.25" hidden="1" customHeight="1">
      <c r="A287" s="3848"/>
      <c r="B287" s="3848"/>
      <c r="C287" s="3849"/>
      <c r="D287" s="4221"/>
      <c r="E287" s="4219"/>
      <c r="F287" s="4219"/>
      <c r="G287" s="4219"/>
      <c r="H287" s="2567" t="s">
        <v>417</v>
      </c>
      <c r="I287" s="3846">
        <v>49310</v>
      </c>
      <c r="J287" s="3847">
        <v>49674</v>
      </c>
      <c r="K287" s="3855">
        <v>0</v>
      </c>
      <c r="L287" s="2568" t="s">
        <v>296</v>
      </c>
      <c r="M287" s="4109"/>
      <c r="N287" s="3852"/>
      <c r="O287" s="3853"/>
      <c r="P287" s="3853"/>
    </row>
    <row r="288" spans="1:16" s="1945" customFormat="1" ht="56.25" hidden="1" customHeight="1">
      <c r="A288" s="3848"/>
      <c r="B288" s="3848"/>
      <c r="C288" s="3849"/>
      <c r="D288" s="4221"/>
      <c r="E288" s="4219"/>
      <c r="F288" s="4219"/>
      <c r="G288" s="4219"/>
      <c r="H288" s="2567" t="s">
        <v>417</v>
      </c>
      <c r="I288" s="3846">
        <v>49675</v>
      </c>
      <c r="J288" s="3847">
        <v>49856</v>
      </c>
      <c r="K288" s="3855">
        <v>0</v>
      </c>
      <c r="L288" s="2568" t="s">
        <v>296</v>
      </c>
      <c r="M288" s="4109"/>
      <c r="N288" s="3852"/>
      <c r="O288" s="3853"/>
      <c r="P288" s="3853"/>
    </row>
    <row r="289" spans="1:16" s="1923" customFormat="1" ht="18.75" hidden="1" customHeight="1">
      <c r="A289" s="1691"/>
      <c r="B289" s="1691"/>
      <c r="C289" s="297" t="s">
        <v>1044</v>
      </c>
      <c r="D289" s="4220"/>
      <c r="E289" s="4027"/>
      <c r="F289" s="4162"/>
      <c r="G289" s="4191"/>
      <c r="H289" s="1410"/>
      <c r="I289" s="572" t="s">
        <v>1043</v>
      </c>
      <c r="J289" s="496"/>
      <c r="K289" s="1410"/>
      <c r="L289" s="135"/>
      <c r="M289" s="3991"/>
      <c r="N289" s="261"/>
      <c r="O289" s="1536"/>
      <c r="P289" s="1536"/>
    </row>
    <row r="290" spans="1:16" s="1923" customFormat="1" ht="0.75" hidden="1" customHeight="1">
      <c r="A290" s="1691"/>
      <c r="B290" s="1691"/>
      <c r="C290" s="297" t="s">
        <v>1053</v>
      </c>
      <c r="D290" s="4220"/>
      <c r="E290" s="4027"/>
      <c r="F290" s="4162"/>
      <c r="G290" s="334"/>
      <c r="H290" s="1410"/>
      <c r="I290" s="572"/>
      <c r="J290" s="496"/>
      <c r="K290" s="1410"/>
      <c r="L290" s="135"/>
      <c r="M290" s="3991"/>
      <c r="N290" s="261"/>
      <c r="O290" s="1536"/>
      <c r="P290" s="1536"/>
    </row>
    <row r="291" spans="1:16" s="1923" customFormat="1" ht="45" customHeight="1">
      <c r="A291" s="1691" t="s">
        <v>161</v>
      </c>
      <c r="B291" s="1691" t="s">
        <v>162</v>
      </c>
      <c r="C291" s="297"/>
      <c r="D291" s="4220"/>
      <c r="E291" s="4027"/>
      <c r="F291" s="4162" t="str">
        <f>INDEX(PT_DIFFERENTIATION_VTAR,MATCH(A291,PT_DIFFERENTIATION_VTAR_ID,0))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91" s="4191" t="str">
        <f>INDEX(PT_DIFFERENTIATION_NTAR,MATCH(B291,PT_DIFFERENTIATION_NTAR_ID,0))</f>
        <v>Тарифы на тепловую энергию (мощность) на коллекторах источника тепловой энергии, поставляемую потребителям ООО "РИР-Сахалин"</v>
      </c>
      <c r="H291" s="1773"/>
      <c r="I291" s="3846">
        <v>45292</v>
      </c>
      <c r="J291" s="1684">
        <v>45657</v>
      </c>
      <c r="K291" s="1689">
        <v>0</v>
      </c>
      <c r="L291" s="1773" t="s">
        <v>296</v>
      </c>
      <c r="M291" s="3992"/>
      <c r="N291" s="261"/>
      <c r="O291" s="1536"/>
      <c r="P291" s="1536"/>
    </row>
    <row r="292" spans="1:16" s="1945" customFormat="1" ht="56.25" customHeight="1">
      <c r="A292" s="3848"/>
      <c r="B292" s="3848"/>
      <c r="C292" s="3849"/>
      <c r="D292" s="4221"/>
      <c r="E292" s="4219"/>
      <c r="F292" s="4219"/>
      <c r="G292" s="4219"/>
      <c r="H292" s="2567" t="s">
        <v>417</v>
      </c>
      <c r="I292" s="3846">
        <v>45658</v>
      </c>
      <c r="J292" s="3847">
        <v>46022</v>
      </c>
      <c r="K292" s="3855">
        <v>0</v>
      </c>
      <c r="L292" s="2568" t="s">
        <v>296</v>
      </c>
      <c r="M292" s="3851"/>
      <c r="N292" s="3852"/>
      <c r="O292" s="3853"/>
      <c r="P292" s="3853"/>
    </row>
    <row r="293" spans="1:16" s="1945" customFormat="1" ht="56.25" customHeight="1">
      <c r="A293" s="3848"/>
      <c r="B293" s="3848"/>
      <c r="C293" s="3849"/>
      <c r="D293" s="4221"/>
      <c r="E293" s="4219"/>
      <c r="F293" s="4219"/>
      <c r="G293" s="4219"/>
      <c r="H293" s="2567" t="s">
        <v>417</v>
      </c>
      <c r="I293" s="3846">
        <v>46023</v>
      </c>
      <c r="J293" s="3847">
        <v>46387</v>
      </c>
      <c r="K293" s="3855">
        <v>0</v>
      </c>
      <c r="L293" s="2568" t="s">
        <v>296</v>
      </c>
      <c r="M293" s="3851"/>
      <c r="N293" s="3852"/>
      <c r="O293" s="3853"/>
      <c r="P293" s="3853"/>
    </row>
    <row r="294" spans="1:16" s="1945" customFormat="1" ht="56.25" customHeight="1">
      <c r="A294" s="3848"/>
      <c r="B294" s="3848"/>
      <c r="C294" s="3849"/>
      <c r="D294" s="4221"/>
      <c r="E294" s="4219"/>
      <c r="F294" s="4219"/>
      <c r="G294" s="4219"/>
      <c r="H294" s="2567" t="s">
        <v>417</v>
      </c>
      <c r="I294" s="3846">
        <v>46388</v>
      </c>
      <c r="J294" s="3847">
        <v>46752</v>
      </c>
      <c r="K294" s="3855">
        <v>0</v>
      </c>
      <c r="L294" s="2568" t="s">
        <v>296</v>
      </c>
      <c r="M294" s="3851"/>
      <c r="N294" s="3852"/>
      <c r="O294" s="3853"/>
      <c r="P294" s="3853"/>
    </row>
    <row r="295" spans="1:16" s="1945" customFormat="1" ht="56.25" customHeight="1">
      <c r="A295" s="3848"/>
      <c r="B295" s="3848"/>
      <c r="C295" s="3849"/>
      <c r="D295" s="4221"/>
      <c r="E295" s="4219"/>
      <c r="F295" s="4219"/>
      <c r="G295" s="4219"/>
      <c r="H295" s="2567" t="s">
        <v>417</v>
      </c>
      <c r="I295" s="3846">
        <v>46753</v>
      </c>
      <c r="J295" s="3847">
        <v>47118</v>
      </c>
      <c r="K295" s="3855">
        <v>0</v>
      </c>
      <c r="L295" s="2568" t="s">
        <v>296</v>
      </c>
      <c r="M295" s="3851"/>
      <c r="N295" s="3852"/>
      <c r="O295" s="3853"/>
      <c r="P295" s="3853"/>
    </row>
    <row r="296" spans="1:16" s="1945" customFormat="1" ht="56.25" customHeight="1">
      <c r="A296" s="3848"/>
      <c r="B296" s="3848"/>
      <c r="C296" s="3849"/>
      <c r="D296" s="4221"/>
      <c r="E296" s="4219"/>
      <c r="F296" s="4219"/>
      <c r="G296" s="4219"/>
      <c r="H296" s="2567" t="s">
        <v>417</v>
      </c>
      <c r="I296" s="3846">
        <v>47119</v>
      </c>
      <c r="J296" s="3847">
        <v>47483</v>
      </c>
      <c r="K296" s="3855">
        <v>0</v>
      </c>
      <c r="L296" s="2568" t="s">
        <v>296</v>
      </c>
      <c r="M296" s="3851"/>
      <c r="N296" s="3852"/>
      <c r="O296" s="3853"/>
      <c r="P296" s="3853"/>
    </row>
    <row r="297" spans="1:16" s="1945" customFormat="1" ht="56.25" customHeight="1">
      <c r="A297" s="3848"/>
      <c r="B297" s="3848"/>
      <c r="C297" s="3849"/>
      <c r="D297" s="4221"/>
      <c r="E297" s="4219"/>
      <c r="F297" s="4219"/>
      <c r="G297" s="4219"/>
      <c r="H297" s="2567" t="s">
        <v>417</v>
      </c>
      <c r="I297" s="3846">
        <v>47484</v>
      </c>
      <c r="J297" s="3847">
        <v>47848</v>
      </c>
      <c r="K297" s="3855">
        <v>0</v>
      </c>
      <c r="L297" s="2568" t="s">
        <v>296</v>
      </c>
      <c r="M297" s="3851"/>
      <c r="N297" s="3852"/>
      <c r="O297" s="3853"/>
      <c r="P297" s="3853"/>
    </row>
    <row r="298" spans="1:16" s="1945" customFormat="1" ht="56.25" customHeight="1">
      <c r="A298" s="3848"/>
      <c r="B298" s="3848"/>
      <c r="C298" s="3849"/>
      <c r="D298" s="4221"/>
      <c r="E298" s="4219"/>
      <c r="F298" s="4219"/>
      <c r="G298" s="4219"/>
      <c r="H298" s="2567" t="s">
        <v>417</v>
      </c>
      <c r="I298" s="3846">
        <v>47849</v>
      </c>
      <c r="J298" s="3847">
        <v>48213</v>
      </c>
      <c r="K298" s="3855">
        <v>0</v>
      </c>
      <c r="L298" s="2568" t="s">
        <v>296</v>
      </c>
      <c r="M298" s="3851"/>
      <c r="N298" s="3852"/>
      <c r="O298" s="3853"/>
      <c r="P298" s="3853"/>
    </row>
    <row r="299" spans="1:16" s="1945" customFormat="1" ht="56.25" customHeight="1">
      <c r="A299" s="3848"/>
      <c r="B299" s="3848"/>
      <c r="C299" s="3849"/>
      <c r="D299" s="4221"/>
      <c r="E299" s="4219"/>
      <c r="F299" s="4219"/>
      <c r="G299" s="4219"/>
      <c r="H299" s="2567" t="s">
        <v>417</v>
      </c>
      <c r="I299" s="3846">
        <v>48214</v>
      </c>
      <c r="J299" s="3847">
        <v>48579</v>
      </c>
      <c r="K299" s="3855">
        <v>0</v>
      </c>
      <c r="L299" s="2568" t="s">
        <v>296</v>
      </c>
      <c r="M299" s="3851"/>
      <c r="N299" s="3852"/>
      <c r="O299" s="3853"/>
      <c r="P299" s="3853"/>
    </row>
    <row r="300" spans="1:16" s="1945" customFormat="1" ht="56.25" customHeight="1">
      <c r="A300" s="3848"/>
      <c r="B300" s="3848"/>
      <c r="C300" s="3849"/>
      <c r="D300" s="4221"/>
      <c r="E300" s="4219"/>
      <c r="F300" s="4219"/>
      <c r="G300" s="4219"/>
      <c r="H300" s="2567" t="s">
        <v>417</v>
      </c>
      <c r="I300" s="3846">
        <v>48580</v>
      </c>
      <c r="J300" s="3847">
        <v>48944</v>
      </c>
      <c r="K300" s="3855">
        <v>0</v>
      </c>
      <c r="L300" s="2568" t="s">
        <v>296</v>
      </c>
      <c r="M300" s="3851"/>
      <c r="N300" s="3852"/>
      <c r="O300" s="3853"/>
      <c r="P300" s="3853"/>
    </row>
    <row r="301" spans="1:16" s="1945" customFormat="1" ht="56.25" customHeight="1">
      <c r="A301" s="3848"/>
      <c r="B301" s="3848"/>
      <c r="C301" s="3849"/>
      <c r="D301" s="4221"/>
      <c r="E301" s="4219"/>
      <c r="F301" s="4219"/>
      <c r="G301" s="4219"/>
      <c r="H301" s="2567" t="s">
        <v>417</v>
      </c>
      <c r="I301" s="3846">
        <v>48945</v>
      </c>
      <c r="J301" s="3847">
        <v>49309</v>
      </c>
      <c r="K301" s="3855">
        <v>0</v>
      </c>
      <c r="L301" s="2568" t="s">
        <v>296</v>
      </c>
      <c r="M301" s="3851"/>
      <c r="N301" s="3852"/>
      <c r="O301" s="3853"/>
      <c r="P301" s="3853"/>
    </row>
    <row r="302" spans="1:16" s="1945" customFormat="1" ht="56.25" customHeight="1">
      <c r="A302" s="3848"/>
      <c r="B302" s="3848"/>
      <c r="C302" s="3849"/>
      <c r="D302" s="4221"/>
      <c r="E302" s="4219"/>
      <c r="F302" s="4219"/>
      <c r="G302" s="4219"/>
      <c r="H302" s="2567" t="s">
        <v>417</v>
      </c>
      <c r="I302" s="3846">
        <v>49310</v>
      </c>
      <c r="J302" s="3847">
        <v>49674</v>
      </c>
      <c r="K302" s="3855">
        <v>0</v>
      </c>
      <c r="L302" s="2568" t="s">
        <v>296</v>
      </c>
      <c r="M302" s="3851"/>
      <c r="N302" s="3852"/>
      <c r="O302" s="3853"/>
      <c r="P302" s="3853"/>
    </row>
    <row r="303" spans="1:16" s="1945" customFormat="1" ht="56.25" customHeight="1">
      <c r="A303" s="3848"/>
      <c r="B303" s="3848"/>
      <c r="C303" s="3849"/>
      <c r="D303" s="4221"/>
      <c r="E303" s="4219"/>
      <c r="F303" s="4219"/>
      <c r="G303" s="4219"/>
      <c r="H303" s="2567" t="s">
        <v>417</v>
      </c>
      <c r="I303" s="3846">
        <v>49675</v>
      </c>
      <c r="J303" s="3847">
        <v>49856</v>
      </c>
      <c r="K303" s="3855">
        <v>0</v>
      </c>
      <c r="L303" s="2568" t="s">
        <v>296</v>
      </c>
      <c r="M303" s="3851"/>
      <c r="N303" s="3852"/>
      <c r="O303" s="3853"/>
      <c r="P303" s="3853"/>
    </row>
    <row r="304" spans="1:16" s="1923" customFormat="1" ht="18.75" customHeight="1">
      <c r="A304" s="1691"/>
      <c r="B304" s="1691"/>
      <c r="C304" s="297" t="s">
        <v>1044</v>
      </c>
      <c r="D304" s="4220"/>
      <c r="E304" s="4027"/>
      <c r="F304" s="4162"/>
      <c r="G304" s="4191"/>
      <c r="H304" s="1410"/>
      <c r="I304" s="572" t="s">
        <v>1043</v>
      </c>
      <c r="J304" s="496"/>
      <c r="K304" s="1410"/>
      <c r="L304" s="135"/>
      <c r="M304" s="1772"/>
      <c r="N304" s="261"/>
      <c r="O304" s="1536"/>
      <c r="P304" s="1536"/>
    </row>
    <row r="305" spans="1:16" s="1923" customFormat="1" ht="0.75" customHeight="1">
      <c r="A305" s="1691"/>
      <c r="B305" s="1691"/>
      <c r="C305" s="297" t="s">
        <v>1053</v>
      </c>
      <c r="D305" s="4220"/>
      <c r="E305" s="4027"/>
      <c r="F305" s="4162"/>
      <c r="G305" s="334"/>
      <c r="H305" s="1410"/>
      <c r="I305" s="572"/>
      <c r="J305" s="496"/>
      <c r="K305" s="1410"/>
      <c r="L305" s="135"/>
      <c r="M305" s="268"/>
      <c r="N305" s="261"/>
      <c r="O305" s="1536"/>
      <c r="P305" s="1536"/>
    </row>
    <row r="306" spans="1:16" s="1923" customFormat="1" ht="45" hidden="1" customHeight="1">
      <c r="A306" s="1691" t="s">
        <v>171</v>
      </c>
      <c r="B306" s="1691" t="s">
        <v>172</v>
      </c>
      <c r="C306" s="297"/>
      <c r="D306" s="4220"/>
      <c r="E306" s="4027"/>
      <c r="F306" s="4162" t="str">
        <f>INDEX(PT_DIFFERENTIATION_VTAR,MATCH(A306,PT_DIFFERENTIATION_VTAR_ID,0))</f>
        <v>Тарифы на теплоноситель, поставляемый теплоснабжающими организациями потребителям, другим теплоснабжающим организациям</v>
      </c>
      <c r="G306" s="4191" t="str">
        <f>INDEX(PT_DIFFERENTIATION_NTAR,MATCH(B306,PT_DIFFERENTIATION_NTAR_ID,0))</f>
        <v/>
      </c>
      <c r="H306" s="1773"/>
      <c r="I306" s="1649"/>
      <c r="J306" s="1684"/>
      <c r="K306" s="1689"/>
      <c r="L306" s="1773" t="s">
        <v>296</v>
      </c>
      <c r="M306" s="268"/>
      <c r="N306" s="261"/>
      <c r="O306" s="1536"/>
      <c r="P306" s="1536"/>
    </row>
    <row r="307" spans="1:16" s="1923" customFormat="1" ht="18.75" hidden="1" customHeight="1">
      <c r="A307" s="1691"/>
      <c r="B307" s="1691"/>
      <c r="C307" s="297" t="s">
        <v>1044</v>
      </c>
      <c r="D307" s="4220"/>
      <c r="E307" s="4027"/>
      <c r="F307" s="4162"/>
      <c r="G307" s="4191"/>
      <c r="H307" s="1410"/>
      <c r="I307" s="572" t="s">
        <v>1043</v>
      </c>
      <c r="J307" s="496"/>
      <c r="K307" s="1410"/>
      <c r="L307" s="135"/>
      <c r="M307" s="268"/>
      <c r="N307" s="261"/>
      <c r="O307" s="1536"/>
      <c r="P307" s="1536"/>
    </row>
    <row r="308" spans="1:16" s="1923" customFormat="1" ht="0.75" hidden="1" customHeight="1">
      <c r="A308" s="1691"/>
      <c r="B308" s="1691"/>
      <c r="C308" s="297" t="s">
        <v>1053</v>
      </c>
      <c r="D308" s="4220"/>
      <c r="E308" s="4027"/>
      <c r="F308" s="4162"/>
      <c r="G308" s="334"/>
      <c r="H308" s="1410"/>
      <c r="I308" s="572"/>
      <c r="J308" s="496"/>
      <c r="K308" s="1410"/>
      <c r="L308" s="135"/>
      <c r="M308" s="268"/>
      <c r="N308" s="261"/>
      <c r="O308" s="1536"/>
      <c r="P308" s="1536"/>
    </row>
    <row r="309" spans="1:16" s="1923" customFormat="1" ht="45" hidden="1" customHeight="1">
      <c r="A309" s="1691" t="s">
        <v>177</v>
      </c>
      <c r="B309" s="1691" t="s">
        <v>178</v>
      </c>
      <c r="C309" s="297"/>
      <c r="D309" s="4220"/>
      <c r="E309" s="4027"/>
      <c r="F309" s="4162" t="str">
        <f>INDEX(PT_DIFFERENTIATION_VTAR,MATCH(A309,PT_DIFFERENTIATION_VTAR_ID,0))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09" s="4191" t="str">
        <f>INDEX(PT_DIFFERENTIATION_NTAR,MATCH(B309,PT_DIFFERENTIATION_NTAR_ID,0))</f>
        <v/>
      </c>
      <c r="H309" s="1773"/>
      <c r="I309" s="1649"/>
      <c r="J309" s="1684"/>
      <c r="K309" s="1689"/>
      <c r="L309" s="1773" t="s">
        <v>296</v>
      </c>
      <c r="M309" s="268"/>
      <c r="N309" s="261"/>
      <c r="O309" s="1536"/>
      <c r="P309" s="1536"/>
    </row>
    <row r="310" spans="1:16" s="1923" customFormat="1" ht="18.75" hidden="1" customHeight="1">
      <c r="A310" s="1691"/>
      <c r="B310" s="1691"/>
      <c r="C310" s="297" t="s">
        <v>1044</v>
      </c>
      <c r="D310" s="4220"/>
      <c r="E310" s="4027"/>
      <c r="F310" s="4162"/>
      <c r="G310" s="4191"/>
      <c r="H310" s="1410"/>
      <c r="I310" s="572" t="s">
        <v>1043</v>
      </c>
      <c r="J310" s="496"/>
      <c r="K310" s="1410"/>
      <c r="L310" s="135"/>
      <c r="M310" s="268"/>
      <c r="N310" s="261"/>
      <c r="O310" s="1536"/>
      <c r="P310" s="1536"/>
    </row>
    <row r="311" spans="1:16" s="1923" customFormat="1" ht="0.75" hidden="1" customHeight="1">
      <c r="A311" s="1691"/>
      <c r="B311" s="1691"/>
      <c r="C311" s="297" t="s">
        <v>1053</v>
      </c>
      <c r="D311" s="4220"/>
      <c r="E311" s="4027"/>
      <c r="F311" s="4162"/>
      <c r="G311" s="334"/>
      <c r="H311" s="1410"/>
      <c r="I311" s="572"/>
      <c r="J311" s="496"/>
      <c r="K311" s="1410"/>
      <c r="L311" s="135"/>
      <c r="M311" s="268"/>
      <c r="N311" s="261"/>
      <c r="O311" s="1536"/>
      <c r="P311" s="1536"/>
    </row>
    <row r="312" spans="1:16" s="1923" customFormat="1" ht="18.75" hidden="1" customHeight="1">
      <c r="A312" s="1691" t="s">
        <v>183</v>
      </c>
      <c r="B312" s="1691" t="s">
        <v>184</v>
      </c>
      <c r="C312" s="297"/>
      <c r="D312" s="4220"/>
      <c r="E312" s="4027"/>
      <c r="F312" s="4162" t="str">
        <f>INDEX(PT_DIFFERENTIATION_VTAR,MATCH(A312,PT_DIFFERENTIATION_VTAR_ID,0))</f>
        <v>Тарифы на услуги по передаче тепловой энергии</v>
      </c>
      <c r="G312" s="4191" t="str">
        <f>INDEX(PT_DIFFERENTIATION_NTAR,MATCH(B312,PT_DIFFERENTIATION_NTAR_ID,0))</f>
        <v/>
      </c>
      <c r="H312" s="1773"/>
      <c r="I312" s="1649"/>
      <c r="J312" s="1684"/>
      <c r="K312" s="1689"/>
      <c r="L312" s="1773" t="s">
        <v>296</v>
      </c>
      <c r="M312" s="268"/>
      <c r="N312" s="261"/>
      <c r="O312" s="1536"/>
      <c r="P312" s="1536"/>
    </row>
    <row r="313" spans="1:16" s="1923" customFormat="1" ht="18.75" hidden="1" customHeight="1">
      <c r="A313" s="1691"/>
      <c r="B313" s="1691"/>
      <c r="C313" s="297" t="s">
        <v>1044</v>
      </c>
      <c r="D313" s="4220"/>
      <c r="E313" s="4027"/>
      <c r="F313" s="4162"/>
      <c r="G313" s="4191"/>
      <c r="H313" s="1410"/>
      <c r="I313" s="572" t="s">
        <v>1043</v>
      </c>
      <c r="J313" s="496"/>
      <c r="K313" s="1410"/>
      <c r="L313" s="135"/>
      <c r="M313" s="268"/>
      <c r="N313" s="261"/>
      <c r="O313" s="1536"/>
      <c r="P313" s="1536"/>
    </row>
    <row r="314" spans="1:16" s="1923" customFormat="1" ht="0.75" hidden="1" customHeight="1">
      <c r="A314" s="1691"/>
      <c r="B314" s="1691"/>
      <c r="C314" s="297" t="s">
        <v>1053</v>
      </c>
      <c r="D314" s="4220"/>
      <c r="E314" s="4027"/>
      <c r="F314" s="4162"/>
      <c r="G314" s="334"/>
      <c r="H314" s="1410"/>
      <c r="I314" s="572"/>
      <c r="J314" s="496"/>
      <c r="K314" s="1410"/>
      <c r="L314" s="135"/>
      <c r="M314" s="268"/>
      <c r="N314" s="261"/>
      <c r="O314" s="1536"/>
      <c r="P314" s="1536"/>
    </row>
    <row r="315" spans="1:16" s="1923" customFormat="1" ht="18.75" hidden="1" customHeight="1">
      <c r="A315" s="1691" t="s">
        <v>189</v>
      </c>
      <c r="B315" s="1691" t="s">
        <v>190</v>
      </c>
      <c r="C315" s="297"/>
      <c r="D315" s="4220"/>
      <c r="E315" s="4027"/>
      <c r="F315" s="4162" t="str">
        <f>INDEX(PT_DIFFERENTIATION_VTAR,MATCH(A315,PT_DIFFERENTIATION_VTAR_ID,0))</f>
        <v>Тарифы на услуги по передаче теплоносителя</v>
      </c>
      <c r="G315" s="4191" t="str">
        <f>INDEX(PT_DIFFERENTIATION_NTAR,MATCH(B315,PT_DIFFERENTIATION_NTAR_ID,0))</f>
        <v/>
      </c>
      <c r="H315" s="1773"/>
      <c r="I315" s="1649"/>
      <c r="J315" s="1684"/>
      <c r="K315" s="1689"/>
      <c r="L315" s="1773" t="s">
        <v>296</v>
      </c>
      <c r="M315" s="268"/>
      <c r="N315" s="261"/>
      <c r="O315" s="1536"/>
      <c r="P315" s="1536"/>
    </row>
    <row r="316" spans="1:16" s="1923" customFormat="1" ht="18.75" hidden="1" customHeight="1">
      <c r="A316" s="1691"/>
      <c r="B316" s="1691"/>
      <c r="C316" s="297" t="s">
        <v>1044</v>
      </c>
      <c r="D316" s="4220"/>
      <c r="E316" s="4027"/>
      <c r="F316" s="4162"/>
      <c r="G316" s="4191"/>
      <c r="H316" s="1410"/>
      <c r="I316" s="572" t="s">
        <v>1043</v>
      </c>
      <c r="J316" s="496"/>
      <c r="K316" s="1410"/>
      <c r="L316" s="135"/>
      <c r="M316" s="268"/>
      <c r="N316" s="261"/>
      <c r="O316" s="1536"/>
      <c r="P316" s="1536"/>
    </row>
    <row r="317" spans="1:16" s="1923" customFormat="1" ht="0.75" hidden="1" customHeight="1">
      <c r="A317" s="1691"/>
      <c r="B317" s="1691"/>
      <c r="C317" s="297" t="s">
        <v>1053</v>
      </c>
      <c r="D317" s="4220"/>
      <c r="E317" s="4027"/>
      <c r="F317" s="4162"/>
      <c r="G317" s="334"/>
      <c r="H317" s="1410"/>
      <c r="I317" s="572"/>
      <c r="J317" s="496"/>
      <c r="K317" s="1410"/>
      <c r="L317" s="135"/>
      <c r="M317" s="268"/>
      <c r="N317" s="261"/>
      <c r="O317" s="1536"/>
      <c r="P317" s="1536"/>
    </row>
    <row r="318" spans="1:16" s="1923" customFormat="1" ht="18.75" hidden="1" customHeight="1">
      <c r="A318" s="1691" t="s">
        <v>195</v>
      </c>
      <c r="B318" s="1691" t="s">
        <v>196</v>
      </c>
      <c r="C318" s="297"/>
      <c r="D318" s="4220"/>
      <c r="E318" s="4027"/>
      <c r="F318" s="4162" t="str">
        <f>INDEX(PT_DIFFERENTIATION_VTAR,MATCH(A318,PT_DIFFERENTIATION_VTAR_ID,0))</f>
        <v>Плата за услуги по поддержанию резервной тепловой мощности при отсутствии потребления тепловой энергии</v>
      </c>
      <c r="G318" s="4191" t="str">
        <f>INDEX(PT_DIFFERENTIATION_NTAR,MATCH(B318,PT_DIFFERENTIATION_NTAR_ID,0))</f>
        <v/>
      </c>
      <c r="H318" s="1773"/>
      <c r="I318" s="1649"/>
      <c r="J318" s="1684"/>
      <c r="K318" s="1689"/>
      <c r="L318" s="1773" t="s">
        <v>296</v>
      </c>
      <c r="M318" s="268"/>
      <c r="N318" s="261"/>
      <c r="O318" s="1536"/>
      <c r="P318" s="1536"/>
    </row>
    <row r="319" spans="1:16" s="1923" customFormat="1" ht="18.75" hidden="1" customHeight="1">
      <c r="A319" s="1691"/>
      <c r="B319" s="1691"/>
      <c r="C319" s="297" t="s">
        <v>1044</v>
      </c>
      <c r="D319" s="4220"/>
      <c r="E319" s="4027"/>
      <c r="F319" s="4162"/>
      <c r="G319" s="4191"/>
      <c r="H319" s="1410"/>
      <c r="I319" s="572" t="s">
        <v>1043</v>
      </c>
      <c r="J319" s="496"/>
      <c r="K319" s="1410"/>
      <c r="L319" s="135"/>
      <c r="M319" s="268"/>
      <c r="N319" s="261"/>
      <c r="O319" s="1536"/>
      <c r="P319" s="1536"/>
    </row>
    <row r="320" spans="1:16" s="1923" customFormat="1" ht="0.75" hidden="1" customHeight="1">
      <c r="A320" s="1691"/>
      <c r="B320" s="1691"/>
      <c r="C320" s="297" t="s">
        <v>1053</v>
      </c>
      <c r="D320" s="4220"/>
      <c r="E320" s="4027"/>
      <c r="F320" s="4162"/>
      <c r="G320" s="334"/>
      <c r="H320" s="1410"/>
      <c r="I320" s="572"/>
      <c r="J320" s="496"/>
      <c r="K320" s="1410"/>
      <c r="L320" s="135"/>
      <c r="M320" s="268"/>
      <c r="N320" s="261"/>
      <c r="O320" s="1536"/>
      <c r="P320" s="1536"/>
    </row>
    <row r="321" spans="1:16" s="1923" customFormat="1" ht="18.75" hidden="1" customHeight="1">
      <c r="A321" s="1691" t="s">
        <v>201</v>
      </c>
      <c r="B321" s="1691" t="s">
        <v>202</v>
      </c>
      <c r="C321" s="297"/>
      <c r="D321" s="4220"/>
      <c r="E321" s="4027"/>
      <c r="F321" s="4162" t="str">
        <f>INDEX(PT_DIFFERENTIATION_VTAR,MATCH(A321,PT_DIFFERENTIATION_VTAR_ID,0))</f>
        <v>Плата за подключение (технологическое присоединение) к системе теплоснабжения</v>
      </c>
      <c r="G321" s="4191" t="str">
        <f>INDEX(PT_DIFFERENTIATION_NTAR,MATCH(B321,PT_DIFFERENTIATION_NTAR_ID,0))</f>
        <v/>
      </c>
      <c r="H321" s="1773"/>
      <c r="I321" s="1649"/>
      <c r="J321" s="1684"/>
      <c r="K321" s="1689"/>
      <c r="L321" s="1773" t="s">
        <v>296</v>
      </c>
      <c r="M321" s="268"/>
      <c r="N321" s="261"/>
      <c r="O321" s="1536"/>
      <c r="P321" s="1536"/>
    </row>
    <row r="322" spans="1:16" s="1923" customFormat="1" ht="18.75" hidden="1" customHeight="1">
      <c r="A322" s="1691"/>
      <c r="B322" s="1691"/>
      <c r="C322" s="297" t="s">
        <v>1044</v>
      </c>
      <c r="D322" s="4220"/>
      <c r="E322" s="4027"/>
      <c r="F322" s="4162"/>
      <c r="G322" s="4191"/>
      <c r="H322" s="1410"/>
      <c r="I322" s="572" t="s">
        <v>1043</v>
      </c>
      <c r="J322" s="496"/>
      <c r="K322" s="1410"/>
      <c r="L322" s="135"/>
      <c r="M322" s="268"/>
      <c r="N322" s="261"/>
      <c r="O322" s="1536"/>
      <c r="P322" s="1536"/>
    </row>
    <row r="323" spans="1:16" s="1923" customFormat="1" ht="0.75" hidden="1" customHeight="1">
      <c r="A323" s="1691"/>
      <c r="B323" s="1691"/>
      <c r="C323" s="297" t="s">
        <v>1053</v>
      </c>
      <c r="D323" s="4220"/>
      <c r="E323" s="4027"/>
      <c r="F323" s="4162"/>
      <c r="G323" s="334"/>
      <c r="H323" s="1410"/>
      <c r="I323" s="572"/>
      <c r="J323" s="496"/>
      <c r="K323" s="1410"/>
      <c r="L323" s="135"/>
      <c r="M323" s="268"/>
      <c r="N323" s="261"/>
      <c r="O323" s="1536"/>
      <c r="P323" s="1536"/>
    </row>
    <row r="324" spans="1:16" s="1923" customFormat="1" ht="18.75" hidden="1" customHeight="1">
      <c r="A324" s="1691" t="s">
        <v>215</v>
      </c>
      <c r="B324" s="1691" t="s">
        <v>216</v>
      </c>
      <c r="C324" s="297"/>
      <c r="D324" s="4220"/>
      <c r="E324" s="4027"/>
      <c r="F324" s="4162" t="str">
        <f>INDEX(PT_DIFFERENTIATION_VTAR,MATCH(A324,PT_DIFFERENTIATION_VTAR_ID,0))</f>
        <v>Тариф на питьевую воду (питьевое водоснабжение)</v>
      </c>
      <c r="G324" s="4191" t="str">
        <f>INDEX(PT_DIFFERENTIATION_NTAR,MATCH(B324,PT_DIFFERENTIATION_NTAR_ID,0))</f>
        <v/>
      </c>
      <c r="H324" s="1773"/>
      <c r="I324" s="1649"/>
      <c r="J324" s="1684"/>
      <c r="K324" s="1689"/>
      <c r="L324" s="1773" t="s">
        <v>296</v>
      </c>
      <c r="M324" s="268"/>
      <c r="N324" s="261"/>
      <c r="O324" s="1536"/>
      <c r="P324" s="1536"/>
    </row>
    <row r="325" spans="1:16" s="1923" customFormat="1" ht="18.75" hidden="1" customHeight="1">
      <c r="A325" s="1691"/>
      <c r="B325" s="1691"/>
      <c r="C325" s="297" t="s">
        <v>1044</v>
      </c>
      <c r="D325" s="4220"/>
      <c r="E325" s="4027"/>
      <c r="F325" s="4162"/>
      <c r="G325" s="4191"/>
      <c r="H325" s="1410"/>
      <c r="I325" s="572" t="s">
        <v>1043</v>
      </c>
      <c r="J325" s="496"/>
      <c r="K325" s="1410"/>
      <c r="L325" s="135"/>
      <c r="M325" s="268"/>
      <c r="N325" s="261"/>
      <c r="O325" s="1536"/>
      <c r="P325" s="1536"/>
    </row>
    <row r="326" spans="1:16" s="1923" customFormat="1" ht="0.75" hidden="1" customHeight="1">
      <c r="A326" s="1691"/>
      <c r="B326" s="1691"/>
      <c r="C326" s="297" t="s">
        <v>1053</v>
      </c>
      <c r="D326" s="4220"/>
      <c r="E326" s="4027"/>
      <c r="F326" s="4162"/>
      <c r="G326" s="334"/>
      <c r="H326" s="1410"/>
      <c r="I326" s="572"/>
      <c r="J326" s="496"/>
      <c r="K326" s="1410"/>
      <c r="L326" s="135"/>
      <c r="M326" s="268"/>
      <c r="N326" s="261"/>
      <c r="O326" s="1536"/>
      <c r="P326" s="1536"/>
    </row>
    <row r="327" spans="1:16" s="1923" customFormat="1" ht="18.75" hidden="1" customHeight="1">
      <c r="A327" s="1691" t="s">
        <v>220</v>
      </c>
      <c r="B327" s="1691" t="s">
        <v>221</v>
      </c>
      <c r="C327" s="297"/>
      <c r="D327" s="4220"/>
      <c r="E327" s="4027"/>
      <c r="F327" s="4162" t="str">
        <f>INDEX(PT_DIFFERENTIATION_VTAR,MATCH(A327,PT_DIFFERENTIATION_VTAR_ID,0))</f>
        <v>Тариф на техническую воду</v>
      </c>
      <c r="G327" s="4191" t="str">
        <f>INDEX(PT_DIFFERENTIATION_NTAR,MATCH(B327,PT_DIFFERENTIATION_NTAR_ID,0))</f>
        <v/>
      </c>
      <c r="H327" s="1773"/>
      <c r="I327" s="1649"/>
      <c r="J327" s="1684"/>
      <c r="K327" s="1689"/>
      <c r="L327" s="1773" t="s">
        <v>296</v>
      </c>
      <c r="M327" s="268"/>
      <c r="N327" s="261"/>
      <c r="O327" s="1536"/>
      <c r="P327" s="1536"/>
    </row>
    <row r="328" spans="1:16" s="1923" customFormat="1" ht="18.75" hidden="1" customHeight="1">
      <c r="A328" s="1691"/>
      <c r="B328" s="1691"/>
      <c r="C328" s="297" t="s">
        <v>1044</v>
      </c>
      <c r="D328" s="4220"/>
      <c r="E328" s="4027"/>
      <c r="F328" s="4162"/>
      <c r="G328" s="4191"/>
      <c r="H328" s="1410"/>
      <c r="I328" s="572" t="s">
        <v>1043</v>
      </c>
      <c r="J328" s="496"/>
      <c r="K328" s="1410"/>
      <c r="L328" s="135"/>
      <c r="M328" s="268"/>
      <c r="N328" s="261"/>
      <c r="O328" s="1536"/>
      <c r="P328" s="1536"/>
    </row>
    <row r="329" spans="1:16" s="1923" customFormat="1" ht="0.75" hidden="1" customHeight="1">
      <c r="A329" s="1691"/>
      <c r="B329" s="1691"/>
      <c r="C329" s="297" t="s">
        <v>1053</v>
      </c>
      <c r="D329" s="4220"/>
      <c r="E329" s="4027"/>
      <c r="F329" s="4162"/>
      <c r="G329" s="334"/>
      <c r="H329" s="1410"/>
      <c r="I329" s="572"/>
      <c r="J329" s="496"/>
      <c r="K329" s="1410"/>
      <c r="L329" s="135"/>
      <c r="M329" s="268"/>
      <c r="N329" s="261"/>
      <c r="O329" s="1536"/>
      <c r="P329" s="1536"/>
    </row>
    <row r="330" spans="1:16" s="1923" customFormat="1" ht="18.75" hidden="1" customHeight="1">
      <c r="A330" s="1691" t="s">
        <v>225</v>
      </c>
      <c r="B330" s="1691" t="s">
        <v>226</v>
      </c>
      <c r="C330" s="297"/>
      <c r="D330" s="4220"/>
      <c r="E330" s="4027"/>
      <c r="F330" s="4162" t="str">
        <f>INDEX(PT_DIFFERENTIATION_VTAR,MATCH(A330,PT_DIFFERENTIATION_VTAR_ID,0))</f>
        <v>Тариф на транспортировку воды</v>
      </c>
      <c r="G330" s="4191" t="str">
        <f>INDEX(PT_DIFFERENTIATION_NTAR,MATCH(B330,PT_DIFFERENTIATION_NTAR_ID,0))</f>
        <v/>
      </c>
      <c r="H330" s="1773"/>
      <c r="I330" s="1649"/>
      <c r="J330" s="1684"/>
      <c r="K330" s="1689"/>
      <c r="L330" s="1773" t="s">
        <v>296</v>
      </c>
      <c r="M330" s="268"/>
      <c r="N330" s="261"/>
      <c r="O330" s="1536"/>
      <c r="P330" s="1536"/>
    </row>
    <row r="331" spans="1:16" s="1923" customFormat="1" ht="18.75" hidden="1" customHeight="1">
      <c r="A331" s="1691"/>
      <c r="B331" s="1691"/>
      <c r="C331" s="297" t="s">
        <v>1044</v>
      </c>
      <c r="D331" s="4220"/>
      <c r="E331" s="4027"/>
      <c r="F331" s="4162"/>
      <c r="G331" s="4191"/>
      <c r="H331" s="1410"/>
      <c r="I331" s="572" t="s">
        <v>1043</v>
      </c>
      <c r="J331" s="496"/>
      <c r="K331" s="1410"/>
      <c r="L331" s="135"/>
      <c r="M331" s="268"/>
      <c r="N331" s="261"/>
      <c r="O331" s="1536"/>
      <c r="P331" s="1536"/>
    </row>
    <row r="332" spans="1:16" s="1923" customFormat="1" ht="0.75" hidden="1" customHeight="1">
      <c r="A332" s="1691"/>
      <c r="B332" s="1691"/>
      <c r="C332" s="297" t="s">
        <v>1053</v>
      </c>
      <c r="D332" s="4220"/>
      <c r="E332" s="4027"/>
      <c r="F332" s="4162"/>
      <c r="G332" s="334"/>
      <c r="H332" s="1410"/>
      <c r="I332" s="572"/>
      <c r="J332" s="496"/>
      <c r="K332" s="1410"/>
      <c r="L332" s="135"/>
      <c r="M332" s="268"/>
      <c r="N332" s="261"/>
      <c r="O332" s="1536"/>
      <c r="P332" s="1536"/>
    </row>
    <row r="333" spans="1:16" s="1923" customFormat="1" ht="18.75" hidden="1" customHeight="1">
      <c r="A333" s="1691" t="s">
        <v>230</v>
      </c>
      <c r="B333" s="1691" t="s">
        <v>231</v>
      </c>
      <c r="C333" s="297"/>
      <c r="D333" s="4220"/>
      <c r="E333" s="4027"/>
      <c r="F333" s="4162" t="str">
        <f>INDEX(PT_DIFFERENTIATION_VTAR,MATCH(A333,PT_DIFFERENTIATION_VTAR_ID,0))</f>
        <v>Тариф на подвоз воды</v>
      </c>
      <c r="G333" s="4191" t="str">
        <f>INDEX(PT_DIFFERENTIATION_NTAR,MATCH(B333,PT_DIFFERENTIATION_NTAR_ID,0))</f>
        <v/>
      </c>
      <c r="H333" s="1773"/>
      <c r="I333" s="1649"/>
      <c r="J333" s="1684"/>
      <c r="K333" s="1689"/>
      <c r="L333" s="1773" t="s">
        <v>296</v>
      </c>
      <c r="M333" s="268"/>
      <c r="N333" s="261"/>
      <c r="O333" s="1536"/>
      <c r="P333" s="1536"/>
    </row>
    <row r="334" spans="1:16" s="1923" customFormat="1" ht="18.75" hidden="1" customHeight="1">
      <c r="A334" s="1691"/>
      <c r="B334" s="1691"/>
      <c r="C334" s="297" t="s">
        <v>1044</v>
      </c>
      <c r="D334" s="4220"/>
      <c r="E334" s="4027"/>
      <c r="F334" s="4162"/>
      <c r="G334" s="4191"/>
      <c r="H334" s="1410"/>
      <c r="I334" s="572" t="s">
        <v>1043</v>
      </c>
      <c r="J334" s="496"/>
      <c r="K334" s="1410"/>
      <c r="L334" s="135"/>
      <c r="M334" s="268"/>
      <c r="N334" s="261"/>
      <c r="O334" s="1536"/>
      <c r="P334" s="1536"/>
    </row>
    <row r="335" spans="1:16" s="1923" customFormat="1" ht="0.75" hidden="1" customHeight="1">
      <c r="A335" s="1691"/>
      <c r="B335" s="1691"/>
      <c r="C335" s="297" t="s">
        <v>1053</v>
      </c>
      <c r="D335" s="4220"/>
      <c r="E335" s="4027"/>
      <c r="F335" s="4162"/>
      <c r="G335" s="334"/>
      <c r="H335" s="1410"/>
      <c r="I335" s="572"/>
      <c r="J335" s="496"/>
      <c r="K335" s="1410"/>
      <c r="L335" s="135"/>
      <c r="M335" s="268"/>
      <c r="N335" s="261"/>
      <c r="O335" s="1536"/>
      <c r="P335" s="1536"/>
    </row>
    <row r="336" spans="1:16" s="1923" customFormat="1" ht="18.75" hidden="1" customHeight="1">
      <c r="A336" s="1691" t="s">
        <v>235</v>
      </c>
      <c r="B336" s="1691" t="s">
        <v>236</v>
      </c>
      <c r="C336" s="297"/>
      <c r="D336" s="4220"/>
      <c r="E336" s="4027"/>
      <c r="F336" s="4162" t="str">
        <f>INDEX(PT_DIFFERENTIATION_VTAR,MATCH(A336,PT_DIFFERENTIATION_VTAR_ID,0))</f>
        <v>Тариф на подключение (технологическое присоединение) к централизованной системе холодного водоснабжения</v>
      </c>
      <c r="G336" s="4191" t="str">
        <f>INDEX(PT_DIFFERENTIATION_NTAR,MATCH(B336,PT_DIFFERENTIATION_NTAR_ID,0))</f>
        <v/>
      </c>
      <c r="H336" s="1773"/>
      <c r="I336" s="1649"/>
      <c r="J336" s="1684"/>
      <c r="K336" s="1689"/>
      <c r="L336" s="1773" t="s">
        <v>296</v>
      </c>
      <c r="M336" s="268"/>
      <c r="N336" s="261"/>
      <c r="O336" s="1536"/>
      <c r="P336" s="1536"/>
    </row>
    <row r="337" spans="1:16" s="1923" customFormat="1" ht="18.75" hidden="1" customHeight="1">
      <c r="A337" s="1691"/>
      <c r="B337" s="1691"/>
      <c r="C337" s="297" t="s">
        <v>1044</v>
      </c>
      <c r="D337" s="4220"/>
      <c r="E337" s="4027"/>
      <c r="F337" s="4162"/>
      <c r="G337" s="4191"/>
      <c r="H337" s="1410"/>
      <c r="I337" s="572" t="s">
        <v>1043</v>
      </c>
      <c r="J337" s="496"/>
      <c r="K337" s="1410"/>
      <c r="L337" s="135"/>
      <c r="M337" s="268"/>
      <c r="N337" s="261"/>
      <c r="O337" s="1536"/>
      <c r="P337" s="1536"/>
    </row>
    <row r="338" spans="1:16" s="1923" customFormat="1" ht="0.75" hidden="1" customHeight="1">
      <c r="A338" s="1691"/>
      <c r="B338" s="1691"/>
      <c r="C338" s="297" t="s">
        <v>1053</v>
      </c>
      <c r="D338" s="4220"/>
      <c r="E338" s="4027"/>
      <c r="F338" s="4162"/>
      <c r="G338" s="334"/>
      <c r="H338" s="1410"/>
      <c r="I338" s="572"/>
      <c r="J338" s="496"/>
      <c r="K338" s="1410"/>
      <c r="L338" s="135"/>
      <c r="M338" s="268"/>
      <c r="N338" s="261"/>
      <c r="O338" s="1536"/>
      <c r="P338" s="1536"/>
    </row>
    <row r="339" spans="1:16" s="1923" customFormat="1" ht="18.75" hidden="1" customHeight="1">
      <c r="A339" s="1691" t="s">
        <v>240</v>
      </c>
      <c r="B339" s="1691" t="s">
        <v>241</v>
      </c>
      <c r="C339" s="297"/>
      <c r="D339" s="4220"/>
      <c r="E339" s="4027"/>
      <c r="F339" s="4162" t="str">
        <f>INDEX(PT_DIFFERENTIATION_VTAR,MATCH(A339,PT_DIFFERENTIATION_VTAR_ID,0))</f>
        <v>Тариф на горячую воду (горячее водоснабжение)</v>
      </c>
      <c r="G339" s="4191" t="str">
        <f>INDEX(PT_DIFFERENTIATION_NTAR,MATCH(B339,PT_DIFFERENTIATION_NTAR_ID,0))</f>
        <v/>
      </c>
      <c r="H339" s="1773"/>
      <c r="I339" s="1649"/>
      <c r="J339" s="1684"/>
      <c r="K339" s="1689"/>
      <c r="L339" s="1773" t="s">
        <v>296</v>
      </c>
      <c r="M339" s="268"/>
      <c r="N339" s="261"/>
      <c r="O339" s="1536"/>
      <c r="P339" s="1536"/>
    </row>
    <row r="340" spans="1:16" s="1923" customFormat="1" ht="18.75" hidden="1" customHeight="1">
      <c r="A340" s="1691"/>
      <c r="B340" s="1691"/>
      <c r="C340" s="297" t="s">
        <v>1044</v>
      </c>
      <c r="D340" s="4220"/>
      <c r="E340" s="4027"/>
      <c r="F340" s="4162"/>
      <c r="G340" s="4191"/>
      <c r="H340" s="1410"/>
      <c r="I340" s="572" t="s">
        <v>1043</v>
      </c>
      <c r="J340" s="496"/>
      <c r="K340" s="1410"/>
      <c r="L340" s="135"/>
      <c r="M340" s="268"/>
      <c r="N340" s="261"/>
      <c r="O340" s="1536"/>
      <c r="P340" s="1536"/>
    </row>
    <row r="341" spans="1:16" s="1923" customFormat="1" ht="0.75" hidden="1" customHeight="1">
      <c r="A341" s="1691"/>
      <c r="B341" s="1691"/>
      <c r="C341" s="297" t="s">
        <v>1053</v>
      </c>
      <c r="D341" s="4220"/>
      <c r="E341" s="4027"/>
      <c r="F341" s="4162"/>
      <c r="G341" s="334"/>
      <c r="H341" s="1410"/>
      <c r="I341" s="572"/>
      <c r="J341" s="496"/>
      <c r="K341" s="1410"/>
      <c r="L341" s="135"/>
      <c r="M341" s="268"/>
      <c r="N341" s="261"/>
      <c r="O341" s="1536"/>
      <c r="P341" s="1536"/>
    </row>
    <row r="342" spans="1:16" s="1923" customFormat="1" ht="18.75" hidden="1" customHeight="1">
      <c r="A342" s="1691" t="s">
        <v>245</v>
      </c>
      <c r="B342" s="1691" t="s">
        <v>246</v>
      </c>
      <c r="C342" s="297"/>
      <c r="D342" s="4220"/>
      <c r="E342" s="4027"/>
      <c r="F342" s="4162" t="str">
        <f>INDEX(PT_DIFFERENTIATION_VTAR,MATCH(A342,PT_DIFFERENTIATION_VTAR_ID,0))</f>
        <v>Тариф на транспортировку горячей воды</v>
      </c>
      <c r="G342" s="4191" t="str">
        <f>INDEX(PT_DIFFERENTIATION_NTAR,MATCH(B342,PT_DIFFERENTIATION_NTAR_ID,0))</f>
        <v/>
      </c>
      <c r="H342" s="1773"/>
      <c r="I342" s="1649"/>
      <c r="J342" s="1684"/>
      <c r="K342" s="1689"/>
      <c r="L342" s="1773" t="s">
        <v>296</v>
      </c>
      <c r="M342" s="268"/>
      <c r="N342" s="261"/>
      <c r="O342" s="1536"/>
      <c r="P342" s="1536"/>
    </row>
    <row r="343" spans="1:16" s="1923" customFormat="1" ht="18.75" hidden="1" customHeight="1">
      <c r="A343" s="1691"/>
      <c r="B343" s="1691"/>
      <c r="C343" s="297" t="s">
        <v>1044</v>
      </c>
      <c r="D343" s="4220"/>
      <c r="E343" s="4027"/>
      <c r="F343" s="4162"/>
      <c r="G343" s="4191"/>
      <c r="H343" s="1410"/>
      <c r="I343" s="572" t="s">
        <v>1043</v>
      </c>
      <c r="J343" s="496"/>
      <c r="K343" s="1410"/>
      <c r="L343" s="135"/>
      <c r="M343" s="268"/>
      <c r="N343" s="261"/>
      <c r="O343" s="1536"/>
      <c r="P343" s="1536"/>
    </row>
    <row r="344" spans="1:16" s="1923" customFormat="1" ht="0.75" hidden="1" customHeight="1">
      <c r="A344" s="1691"/>
      <c r="B344" s="1691"/>
      <c r="C344" s="297" t="s">
        <v>1053</v>
      </c>
      <c r="D344" s="4220"/>
      <c r="E344" s="4027"/>
      <c r="F344" s="4162"/>
      <c r="G344" s="334"/>
      <c r="H344" s="1410"/>
      <c r="I344" s="572"/>
      <c r="J344" s="496"/>
      <c r="K344" s="1410"/>
      <c r="L344" s="135"/>
      <c r="M344" s="268"/>
      <c r="N344" s="261"/>
      <c r="O344" s="1536"/>
      <c r="P344" s="1536"/>
    </row>
    <row r="345" spans="1:16" s="1923" customFormat="1" ht="18.75" hidden="1" customHeight="1">
      <c r="A345" s="1691" t="s">
        <v>250</v>
      </c>
      <c r="B345" s="1691" t="s">
        <v>251</v>
      </c>
      <c r="C345" s="297"/>
      <c r="D345" s="4220"/>
      <c r="E345" s="4027"/>
      <c r="F345" s="4162" t="str">
        <f>INDEX(PT_DIFFERENTIATION_VTAR,MATCH(A345,PT_DIFFERENTIATION_VTAR_ID,0))</f>
        <v>Тариф на подключение (технологическое присоединение) к централизованной системе горячего водоснабжения</v>
      </c>
      <c r="G345" s="4191" t="str">
        <f>INDEX(PT_DIFFERENTIATION_NTAR,MATCH(B345,PT_DIFFERENTIATION_NTAR_ID,0))</f>
        <v/>
      </c>
      <c r="H345" s="1773"/>
      <c r="I345" s="1649"/>
      <c r="J345" s="1684"/>
      <c r="K345" s="1689"/>
      <c r="L345" s="1773" t="s">
        <v>296</v>
      </c>
      <c r="M345" s="268"/>
      <c r="N345" s="261"/>
      <c r="O345" s="1536"/>
      <c r="P345" s="1536"/>
    </row>
    <row r="346" spans="1:16" s="1923" customFormat="1" ht="18.75" hidden="1" customHeight="1">
      <c r="A346" s="1691"/>
      <c r="B346" s="1691"/>
      <c r="C346" s="297" t="s">
        <v>1044</v>
      </c>
      <c r="D346" s="4220"/>
      <c r="E346" s="4027"/>
      <c r="F346" s="4162"/>
      <c r="G346" s="4191"/>
      <c r="H346" s="1410"/>
      <c r="I346" s="572" t="s">
        <v>1043</v>
      </c>
      <c r="J346" s="496"/>
      <c r="K346" s="1410"/>
      <c r="L346" s="135"/>
      <c r="M346" s="268"/>
      <c r="N346" s="261"/>
      <c r="O346" s="1536"/>
      <c r="P346" s="1536"/>
    </row>
    <row r="347" spans="1:16" s="1923" customFormat="1" ht="0.75" hidden="1" customHeight="1">
      <c r="A347" s="1691"/>
      <c r="B347" s="1691"/>
      <c r="C347" s="297" t="s">
        <v>1053</v>
      </c>
      <c r="D347" s="4220"/>
      <c r="E347" s="4027"/>
      <c r="F347" s="4162"/>
      <c r="G347" s="334"/>
      <c r="H347" s="1410"/>
      <c r="I347" s="572"/>
      <c r="J347" s="496"/>
      <c r="K347" s="1410"/>
      <c r="L347" s="135"/>
      <c r="M347" s="268"/>
      <c r="N347" s="261"/>
      <c r="O347" s="1536"/>
      <c r="P347" s="1536"/>
    </row>
    <row r="348" spans="1:16" s="1923" customFormat="1" ht="18.75" hidden="1" customHeight="1">
      <c r="A348" s="1691" t="s">
        <v>255</v>
      </c>
      <c r="B348" s="1691" t="s">
        <v>256</v>
      </c>
      <c r="C348" s="297"/>
      <c r="D348" s="4220"/>
      <c r="E348" s="4027"/>
      <c r="F348" s="4162" t="str">
        <f>INDEX(PT_DIFFERENTIATION_VTAR,MATCH(A348,PT_DIFFERENTIATION_VTAR_ID,0))</f>
        <v>Тариф на водоотведение</v>
      </c>
      <c r="G348" s="4191" t="str">
        <f>INDEX(PT_DIFFERENTIATION_NTAR,MATCH(B348,PT_DIFFERENTIATION_NTAR_ID,0))</f>
        <v/>
      </c>
      <c r="H348" s="1773"/>
      <c r="I348" s="1649"/>
      <c r="J348" s="1684"/>
      <c r="K348" s="1689"/>
      <c r="L348" s="1773" t="s">
        <v>296</v>
      </c>
      <c r="M348" s="268"/>
      <c r="N348" s="261"/>
      <c r="O348" s="1536"/>
      <c r="P348" s="1536"/>
    </row>
    <row r="349" spans="1:16" s="1923" customFormat="1" ht="18.75" hidden="1" customHeight="1">
      <c r="A349" s="1691"/>
      <c r="B349" s="1691"/>
      <c r="C349" s="297" t="s">
        <v>1044</v>
      </c>
      <c r="D349" s="4220"/>
      <c r="E349" s="4027"/>
      <c r="F349" s="4162"/>
      <c r="G349" s="4191"/>
      <c r="H349" s="1410"/>
      <c r="I349" s="572" t="s">
        <v>1043</v>
      </c>
      <c r="J349" s="496"/>
      <c r="K349" s="1410"/>
      <c r="L349" s="135"/>
      <c r="M349" s="268"/>
      <c r="N349" s="261"/>
      <c r="O349" s="1536"/>
      <c r="P349" s="1536"/>
    </row>
    <row r="350" spans="1:16" s="1923" customFormat="1" ht="0.75" hidden="1" customHeight="1">
      <c r="A350" s="1691"/>
      <c r="B350" s="1691"/>
      <c r="C350" s="297" t="s">
        <v>1053</v>
      </c>
      <c r="D350" s="4220"/>
      <c r="E350" s="4027"/>
      <c r="F350" s="4162"/>
      <c r="G350" s="334"/>
      <c r="H350" s="1410"/>
      <c r="I350" s="572"/>
      <c r="J350" s="496"/>
      <c r="K350" s="1410"/>
      <c r="L350" s="135"/>
      <c r="M350" s="268"/>
      <c r="N350" s="261"/>
      <c r="O350" s="1536"/>
      <c r="P350" s="1536"/>
    </row>
    <row r="351" spans="1:16" s="1923" customFormat="1" ht="18.75" hidden="1" customHeight="1">
      <c r="A351" s="1691" t="s">
        <v>260</v>
      </c>
      <c r="B351" s="1691" t="s">
        <v>261</v>
      </c>
      <c r="C351" s="297"/>
      <c r="D351" s="4220"/>
      <c r="E351" s="4027"/>
      <c r="F351" s="4162" t="str">
        <f>INDEX(PT_DIFFERENTIATION_VTAR,MATCH(A351,PT_DIFFERENTIATION_VTAR_ID,0))</f>
        <v>Тариф на транспортировку сточных вод</v>
      </c>
      <c r="G351" s="4191" t="str">
        <f>INDEX(PT_DIFFERENTIATION_NTAR,MATCH(B351,PT_DIFFERENTIATION_NTAR_ID,0))</f>
        <v/>
      </c>
      <c r="H351" s="1773"/>
      <c r="I351" s="1649"/>
      <c r="J351" s="1684"/>
      <c r="K351" s="1689"/>
      <c r="L351" s="1773" t="s">
        <v>296</v>
      </c>
      <c r="M351" s="268"/>
      <c r="N351" s="261"/>
      <c r="O351" s="1536"/>
      <c r="P351" s="1536"/>
    </row>
    <row r="352" spans="1:16" s="1923" customFormat="1" ht="18.75" hidden="1" customHeight="1">
      <c r="A352" s="1691"/>
      <c r="B352" s="1691"/>
      <c r="C352" s="297" t="s">
        <v>1044</v>
      </c>
      <c r="D352" s="4220"/>
      <c r="E352" s="4027"/>
      <c r="F352" s="4162"/>
      <c r="G352" s="4191"/>
      <c r="H352" s="1410"/>
      <c r="I352" s="572" t="s">
        <v>1043</v>
      </c>
      <c r="J352" s="496"/>
      <c r="K352" s="1410"/>
      <c r="L352" s="135"/>
      <c r="M352" s="268"/>
      <c r="N352" s="261"/>
      <c r="O352" s="1536"/>
      <c r="P352" s="1536"/>
    </row>
    <row r="353" spans="1:16" s="1923" customFormat="1" ht="0.75" hidden="1" customHeight="1">
      <c r="A353" s="1691"/>
      <c r="B353" s="1691"/>
      <c r="C353" s="297" t="s">
        <v>1053</v>
      </c>
      <c r="D353" s="4220"/>
      <c r="E353" s="4027"/>
      <c r="F353" s="4162"/>
      <c r="G353" s="334"/>
      <c r="H353" s="1410"/>
      <c r="I353" s="572"/>
      <c r="J353" s="496"/>
      <c r="K353" s="1410"/>
      <c r="L353" s="135"/>
      <c r="M353" s="268"/>
      <c r="N353" s="261"/>
      <c r="O353" s="1536"/>
      <c r="P353" s="1536"/>
    </row>
    <row r="354" spans="1:16" s="1923" customFormat="1" ht="18.75" hidden="1" customHeight="1">
      <c r="A354" s="1691" t="s">
        <v>265</v>
      </c>
      <c r="B354" s="1691" t="s">
        <v>266</v>
      </c>
      <c r="C354" s="297"/>
      <c r="D354" s="4220"/>
      <c r="E354" s="4027"/>
      <c r="F354" s="4162" t="str">
        <f>INDEX(PT_DIFFERENTIATION_VTAR,MATCH(A354,PT_DIFFERENTIATION_VTAR_ID,0))</f>
        <v>Тариф на подключение (технологическое присоединение) к централизованной системе водоотведения</v>
      </c>
      <c r="G354" s="4191" t="str">
        <f>INDEX(PT_DIFFERENTIATION_NTAR,MATCH(B354,PT_DIFFERENTIATION_NTAR_ID,0))</f>
        <v/>
      </c>
      <c r="H354" s="1773"/>
      <c r="I354" s="1649"/>
      <c r="J354" s="1684"/>
      <c r="K354" s="1689"/>
      <c r="L354" s="1773" t="s">
        <v>296</v>
      </c>
      <c r="M354" s="268"/>
      <c r="N354" s="261"/>
      <c r="O354" s="1536"/>
      <c r="P354" s="1536"/>
    </row>
    <row r="355" spans="1:16" s="1923" customFormat="1" ht="18.75" hidden="1" customHeight="1">
      <c r="A355" s="1691"/>
      <c r="B355" s="1691"/>
      <c r="C355" s="297" t="s">
        <v>1044</v>
      </c>
      <c r="D355" s="4220"/>
      <c r="E355" s="4027"/>
      <c r="F355" s="4162"/>
      <c r="G355" s="4191"/>
      <c r="H355" s="1410"/>
      <c r="I355" s="572" t="s">
        <v>1043</v>
      </c>
      <c r="J355" s="496"/>
      <c r="K355" s="1410"/>
      <c r="L355" s="135"/>
      <c r="M355" s="268"/>
      <c r="N355" s="261"/>
      <c r="O355" s="1536"/>
      <c r="P355" s="1536"/>
    </row>
    <row r="356" spans="1:16" s="1923" customFormat="1" ht="0.75" customHeight="1">
      <c r="A356" s="1691"/>
      <c r="B356" s="1691"/>
      <c r="C356" s="297" t="s">
        <v>1053</v>
      </c>
      <c r="D356" s="4220"/>
      <c r="E356" s="4027"/>
      <c r="F356" s="4162"/>
      <c r="G356" s="334"/>
      <c r="H356" s="1410"/>
      <c r="I356" s="572"/>
      <c r="J356" s="496"/>
      <c r="K356" s="1410"/>
      <c r="L356" s="135"/>
      <c r="M356" s="268"/>
      <c r="N356" s="261"/>
      <c r="O356" s="1536"/>
      <c r="P356" s="1536"/>
    </row>
    <row r="357" spans="1:16" ht="25.5" customHeight="1">
      <c r="A357" s="1691"/>
      <c r="B357" s="1691"/>
      <c r="D357" s="305"/>
      <c r="E357" s="71" t="s">
        <v>90</v>
      </c>
      <c r="F357" s="421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357" s="4218"/>
      <c r="H357" s="4218"/>
      <c r="I357" s="4218"/>
      <c r="J357" s="4218"/>
      <c r="K357" s="4218"/>
      <c r="L357" s="4218"/>
      <c r="M357" s="216"/>
      <c r="N357" s="261"/>
    </row>
    <row r="358" spans="1:16" s="1923" customFormat="1" ht="60.75" hidden="1" customHeight="1">
      <c r="A358" s="1691" t="s">
        <v>153</v>
      </c>
      <c r="B358" s="1691" t="s">
        <v>154</v>
      </c>
      <c r="C358" s="297"/>
      <c r="D358" s="4220"/>
      <c r="E358" s="4027"/>
      <c r="F358" s="4162" t="str">
        <f>INDEX(PT_DIFFERENTIATION_VTAR,MATCH(A358,PT_DIFFERENTIATION_VTAR_ID,0))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358" s="4191" t="str">
        <f>INDEX(PT_DIFFERENTIATION_NTAR,MATCH(B358,PT_DIFFERENTIATION_NTAR_ID,0))</f>
        <v/>
      </c>
      <c r="H358" s="1773"/>
      <c r="I358" s="3846">
        <v>45200</v>
      </c>
      <c r="J358" s="1684">
        <v>45291</v>
      </c>
      <c r="K358" s="1689">
        <v>0</v>
      </c>
      <c r="L358" s="1773" t="s">
        <v>296</v>
      </c>
      <c r="M358" s="39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358" s="261"/>
      <c r="O358" s="1536"/>
      <c r="P358" s="1536"/>
    </row>
    <row r="359" spans="1:16" s="1945" customFormat="1" ht="56.25" hidden="1" customHeight="1">
      <c r="A359" s="3848"/>
      <c r="B359" s="3848"/>
      <c r="C359" s="3849"/>
      <c r="D359" s="4221"/>
      <c r="E359" s="4219"/>
      <c r="F359" s="4219"/>
      <c r="G359" s="4219"/>
      <c r="H359" s="2567" t="s">
        <v>417</v>
      </c>
      <c r="I359" s="3846">
        <v>45292</v>
      </c>
      <c r="J359" s="3847">
        <v>45657</v>
      </c>
      <c r="K359" s="3855">
        <v>0</v>
      </c>
      <c r="L359" s="2568" t="s">
        <v>296</v>
      </c>
      <c r="M359" s="4109"/>
      <c r="N359" s="3852"/>
      <c r="O359" s="3853"/>
      <c r="P359" s="3853"/>
    </row>
    <row r="360" spans="1:16" s="1945" customFormat="1" ht="56.25" hidden="1" customHeight="1">
      <c r="A360" s="3848"/>
      <c r="B360" s="3848"/>
      <c r="C360" s="3849"/>
      <c r="D360" s="4221"/>
      <c r="E360" s="4219"/>
      <c r="F360" s="4219"/>
      <c r="G360" s="4219"/>
      <c r="H360" s="2567" t="s">
        <v>417</v>
      </c>
      <c r="I360" s="3846">
        <v>45658</v>
      </c>
      <c r="J360" s="3847">
        <v>46022</v>
      </c>
      <c r="K360" s="3855">
        <v>2503.23</v>
      </c>
      <c r="L360" s="2568" t="s">
        <v>296</v>
      </c>
      <c r="M360" s="4109"/>
      <c r="N360" s="3852"/>
      <c r="O360" s="3853"/>
      <c r="P360" s="3853"/>
    </row>
    <row r="361" spans="1:16" s="1945" customFormat="1" ht="56.25" hidden="1" customHeight="1">
      <c r="A361" s="3848"/>
      <c r="B361" s="3848"/>
      <c r="C361" s="3849"/>
      <c r="D361" s="4221"/>
      <c r="E361" s="4219"/>
      <c r="F361" s="4219"/>
      <c r="G361" s="4219"/>
      <c r="H361" s="2567" t="s">
        <v>417</v>
      </c>
      <c r="I361" s="3846">
        <v>46023</v>
      </c>
      <c r="J361" s="3847">
        <v>46387</v>
      </c>
      <c r="K361" s="3855">
        <v>0</v>
      </c>
      <c r="L361" s="2568" t="s">
        <v>296</v>
      </c>
      <c r="M361" s="4109"/>
      <c r="N361" s="3852"/>
      <c r="O361" s="3853"/>
      <c r="P361" s="3853"/>
    </row>
    <row r="362" spans="1:16" s="1945" customFormat="1" ht="56.25" hidden="1" customHeight="1">
      <c r="A362" s="3848"/>
      <c r="B362" s="3848"/>
      <c r="C362" s="3849"/>
      <c r="D362" s="4221"/>
      <c r="E362" s="4219"/>
      <c r="F362" s="4219"/>
      <c r="G362" s="4219"/>
      <c r="H362" s="2567" t="s">
        <v>417</v>
      </c>
      <c r="I362" s="3846">
        <v>46388</v>
      </c>
      <c r="J362" s="3847">
        <v>46752</v>
      </c>
      <c r="K362" s="3855">
        <v>0</v>
      </c>
      <c r="L362" s="2568" t="s">
        <v>296</v>
      </c>
      <c r="M362" s="4109"/>
      <c r="N362" s="3852"/>
      <c r="O362" s="3853"/>
      <c r="P362" s="3853"/>
    </row>
    <row r="363" spans="1:16" s="1945" customFormat="1" ht="56.25" hidden="1" customHeight="1">
      <c r="A363" s="3848"/>
      <c r="B363" s="3848"/>
      <c r="C363" s="3849"/>
      <c r="D363" s="4221"/>
      <c r="E363" s="4219"/>
      <c r="F363" s="4219"/>
      <c r="G363" s="4219"/>
      <c r="H363" s="2567" t="s">
        <v>417</v>
      </c>
      <c r="I363" s="3846">
        <v>46753</v>
      </c>
      <c r="J363" s="3847">
        <v>47118</v>
      </c>
      <c r="K363" s="3855">
        <v>0</v>
      </c>
      <c r="L363" s="2568" t="s">
        <v>296</v>
      </c>
      <c r="M363" s="4109"/>
      <c r="N363" s="3852"/>
      <c r="O363" s="3853"/>
      <c r="P363" s="3853"/>
    </row>
    <row r="364" spans="1:16" s="1945" customFormat="1" ht="56.25" hidden="1" customHeight="1">
      <c r="A364" s="3848"/>
      <c r="B364" s="3848"/>
      <c r="C364" s="3849"/>
      <c r="D364" s="4221"/>
      <c r="E364" s="4219"/>
      <c r="F364" s="4219"/>
      <c r="G364" s="4219"/>
      <c r="H364" s="2567" t="s">
        <v>417</v>
      </c>
      <c r="I364" s="3846">
        <v>47119</v>
      </c>
      <c r="J364" s="3847">
        <v>47483</v>
      </c>
      <c r="K364" s="3855">
        <v>0</v>
      </c>
      <c r="L364" s="2568" t="s">
        <v>296</v>
      </c>
      <c r="M364" s="4109"/>
      <c r="N364" s="3852"/>
      <c r="O364" s="3853"/>
      <c r="P364" s="3853"/>
    </row>
    <row r="365" spans="1:16" s="1945" customFormat="1" ht="56.25" hidden="1" customHeight="1">
      <c r="A365" s="3848"/>
      <c r="B365" s="3848"/>
      <c r="C365" s="3849"/>
      <c r="D365" s="4221"/>
      <c r="E365" s="4219"/>
      <c r="F365" s="4219"/>
      <c r="G365" s="4219"/>
      <c r="H365" s="2567" t="s">
        <v>417</v>
      </c>
      <c r="I365" s="3846">
        <v>47484</v>
      </c>
      <c r="J365" s="3847">
        <v>47848</v>
      </c>
      <c r="K365" s="3855">
        <v>0</v>
      </c>
      <c r="L365" s="2568" t="s">
        <v>296</v>
      </c>
      <c r="M365" s="4109"/>
      <c r="N365" s="3852"/>
      <c r="O365" s="3853"/>
      <c r="P365" s="3853"/>
    </row>
    <row r="366" spans="1:16" s="1945" customFormat="1" ht="56.25" hidden="1" customHeight="1">
      <c r="A366" s="3848"/>
      <c r="B366" s="3848"/>
      <c r="C366" s="3849"/>
      <c r="D366" s="4221"/>
      <c r="E366" s="4219"/>
      <c r="F366" s="4219"/>
      <c r="G366" s="4219"/>
      <c r="H366" s="2567" t="s">
        <v>417</v>
      </c>
      <c r="I366" s="3846">
        <v>47849</v>
      </c>
      <c r="J366" s="3847">
        <v>48213</v>
      </c>
      <c r="K366" s="3855">
        <v>0</v>
      </c>
      <c r="L366" s="2568" t="s">
        <v>296</v>
      </c>
      <c r="M366" s="4109"/>
      <c r="N366" s="3852"/>
      <c r="O366" s="3853"/>
      <c r="P366" s="3853"/>
    </row>
    <row r="367" spans="1:16" s="1945" customFormat="1" ht="56.25" hidden="1" customHeight="1">
      <c r="A367" s="3848"/>
      <c r="B367" s="3848"/>
      <c r="C367" s="3849"/>
      <c r="D367" s="4221"/>
      <c r="E367" s="4219"/>
      <c r="F367" s="4219"/>
      <c r="G367" s="4219"/>
      <c r="H367" s="2567" t="s">
        <v>417</v>
      </c>
      <c r="I367" s="3846">
        <v>48214</v>
      </c>
      <c r="J367" s="3847">
        <v>48579</v>
      </c>
      <c r="K367" s="3855">
        <v>0</v>
      </c>
      <c r="L367" s="2568" t="s">
        <v>296</v>
      </c>
      <c r="M367" s="4109"/>
      <c r="N367" s="3852"/>
      <c r="O367" s="3853"/>
      <c r="P367" s="3853"/>
    </row>
    <row r="368" spans="1:16" s="1945" customFormat="1" ht="56.25" hidden="1" customHeight="1">
      <c r="A368" s="3848"/>
      <c r="B368" s="3848"/>
      <c r="C368" s="3849"/>
      <c r="D368" s="4221"/>
      <c r="E368" s="4219"/>
      <c r="F368" s="4219"/>
      <c r="G368" s="4219"/>
      <c r="H368" s="2567" t="s">
        <v>417</v>
      </c>
      <c r="I368" s="3846">
        <v>48580</v>
      </c>
      <c r="J368" s="3847">
        <v>48944</v>
      </c>
      <c r="K368" s="3855">
        <v>0</v>
      </c>
      <c r="L368" s="2568" t="s">
        <v>296</v>
      </c>
      <c r="M368" s="4109"/>
      <c r="N368" s="3852"/>
      <c r="O368" s="3853"/>
      <c r="P368" s="3853"/>
    </row>
    <row r="369" spans="1:16" s="1945" customFormat="1" ht="56.25" hidden="1" customHeight="1">
      <c r="A369" s="3848"/>
      <c r="B369" s="3848"/>
      <c r="C369" s="3849"/>
      <c r="D369" s="4221"/>
      <c r="E369" s="4219"/>
      <c r="F369" s="4219"/>
      <c r="G369" s="4219"/>
      <c r="H369" s="2567" t="s">
        <v>417</v>
      </c>
      <c r="I369" s="3846">
        <v>48945</v>
      </c>
      <c r="J369" s="3847">
        <v>49309</v>
      </c>
      <c r="K369" s="3855">
        <v>0</v>
      </c>
      <c r="L369" s="2568" t="s">
        <v>296</v>
      </c>
      <c r="M369" s="4109"/>
      <c r="N369" s="3852"/>
      <c r="O369" s="3853"/>
      <c r="P369" s="3853"/>
    </row>
    <row r="370" spans="1:16" s="1945" customFormat="1" ht="56.25" hidden="1" customHeight="1">
      <c r="A370" s="3848"/>
      <c r="B370" s="3848"/>
      <c r="C370" s="3849"/>
      <c r="D370" s="4221"/>
      <c r="E370" s="4219"/>
      <c r="F370" s="4219"/>
      <c r="G370" s="4219"/>
      <c r="H370" s="2567" t="s">
        <v>417</v>
      </c>
      <c r="I370" s="3846">
        <v>49310</v>
      </c>
      <c r="J370" s="3847">
        <v>49674</v>
      </c>
      <c r="K370" s="3855">
        <v>0</v>
      </c>
      <c r="L370" s="2568" t="s">
        <v>296</v>
      </c>
      <c r="M370" s="4109"/>
      <c r="N370" s="3852"/>
      <c r="O370" s="3853"/>
      <c r="P370" s="3853"/>
    </row>
    <row r="371" spans="1:16" s="1945" customFormat="1" ht="56.25" hidden="1" customHeight="1">
      <c r="A371" s="3848"/>
      <c r="B371" s="3848"/>
      <c r="C371" s="3849"/>
      <c r="D371" s="4221"/>
      <c r="E371" s="4219"/>
      <c r="F371" s="4219"/>
      <c r="G371" s="4219"/>
      <c r="H371" s="2567" t="s">
        <v>417</v>
      </c>
      <c r="I371" s="3846">
        <v>49675</v>
      </c>
      <c r="J371" s="3847">
        <v>49856</v>
      </c>
      <c r="K371" s="3855">
        <v>0</v>
      </c>
      <c r="L371" s="2568" t="s">
        <v>296</v>
      </c>
      <c r="M371" s="4109"/>
      <c r="N371" s="3852"/>
      <c r="O371" s="3853"/>
      <c r="P371" s="3853"/>
    </row>
    <row r="372" spans="1:16" s="1923" customFormat="1" ht="18.75" hidden="1" customHeight="1">
      <c r="A372" s="1691"/>
      <c r="B372" s="1691"/>
      <c r="C372" s="297" t="s">
        <v>1044</v>
      </c>
      <c r="D372" s="4220"/>
      <c r="E372" s="4027"/>
      <c r="F372" s="4162"/>
      <c r="G372" s="4191"/>
      <c r="H372" s="1410"/>
      <c r="I372" s="572" t="s">
        <v>1043</v>
      </c>
      <c r="J372" s="496"/>
      <c r="K372" s="1410"/>
      <c r="L372" s="135"/>
      <c r="M372" s="3991"/>
      <c r="N372" s="261"/>
      <c r="O372" s="1536"/>
      <c r="P372" s="1536"/>
    </row>
    <row r="373" spans="1:16" s="1923" customFormat="1" ht="0.75" hidden="1" customHeight="1">
      <c r="A373" s="1691"/>
      <c r="B373" s="1691"/>
      <c r="C373" s="297" t="s">
        <v>1053</v>
      </c>
      <c r="D373" s="4220"/>
      <c r="E373" s="4027"/>
      <c r="F373" s="4162"/>
      <c r="G373" s="334"/>
      <c r="H373" s="1410"/>
      <c r="I373" s="572"/>
      <c r="J373" s="496"/>
      <c r="K373" s="1410"/>
      <c r="L373" s="135"/>
      <c r="M373" s="3991"/>
      <c r="N373" s="261"/>
      <c r="O373" s="1536"/>
      <c r="P373" s="1536"/>
    </row>
    <row r="374" spans="1:16" s="1923" customFormat="1" ht="45" customHeight="1">
      <c r="A374" s="1691" t="s">
        <v>161</v>
      </c>
      <c r="B374" s="1691" t="s">
        <v>162</v>
      </c>
      <c r="C374" s="297"/>
      <c r="D374" s="4220"/>
      <c r="E374" s="4027"/>
      <c r="F374" s="4162" t="str">
        <f>INDEX(PT_DIFFERENTIATION_VTAR,MATCH(A374,PT_DIFFERENTIATION_VTAR_ID,0))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374" s="4191" t="str">
        <f>INDEX(PT_DIFFERENTIATION_NTAR,MATCH(B374,PT_DIFFERENTIATION_NTAR_ID,0))</f>
        <v>Тарифы на тепловую энергию (мощность) на коллекторах источника тепловой энергии, поставляемую потребителям ООО "РИР-Сахалин"</v>
      </c>
      <c r="H374" s="1773"/>
      <c r="I374" s="3846">
        <v>45292</v>
      </c>
      <c r="J374" s="1684">
        <v>45657</v>
      </c>
      <c r="K374" s="1689">
        <v>0</v>
      </c>
      <c r="L374" s="1773" t="s">
        <v>296</v>
      </c>
      <c r="M374" s="3992"/>
      <c r="N374" s="261"/>
      <c r="O374" s="1536"/>
      <c r="P374" s="1536"/>
    </row>
    <row r="375" spans="1:16" s="1945" customFormat="1" ht="56.25" customHeight="1">
      <c r="A375" s="3848"/>
      <c r="B375" s="3848"/>
      <c r="C375" s="3849"/>
      <c r="D375" s="4221"/>
      <c r="E375" s="4219"/>
      <c r="F375" s="4219"/>
      <c r="G375" s="4219"/>
      <c r="H375" s="2567" t="s">
        <v>417</v>
      </c>
      <c r="I375" s="3846">
        <v>45658</v>
      </c>
      <c r="J375" s="3847">
        <v>46022</v>
      </c>
      <c r="K375" s="3855">
        <v>2503.23</v>
      </c>
      <c r="L375" s="2568" t="s">
        <v>296</v>
      </c>
      <c r="M375" s="3851"/>
      <c r="N375" s="3852"/>
      <c r="O375" s="3853"/>
      <c r="P375" s="3853"/>
    </row>
    <row r="376" spans="1:16" s="1945" customFormat="1" ht="56.25" customHeight="1">
      <c r="A376" s="3848"/>
      <c r="B376" s="3848"/>
      <c r="C376" s="3849"/>
      <c r="D376" s="4221"/>
      <c r="E376" s="4219"/>
      <c r="F376" s="4219"/>
      <c r="G376" s="4219"/>
      <c r="H376" s="2567" t="s">
        <v>417</v>
      </c>
      <c r="I376" s="3846">
        <v>46023</v>
      </c>
      <c r="J376" s="3847">
        <v>46387</v>
      </c>
      <c r="K376" s="3855">
        <v>0</v>
      </c>
      <c r="L376" s="2568" t="s">
        <v>296</v>
      </c>
      <c r="M376" s="3851"/>
      <c r="N376" s="3852"/>
      <c r="O376" s="3853"/>
      <c r="P376" s="3853"/>
    </row>
    <row r="377" spans="1:16" s="1945" customFormat="1" ht="56.25" customHeight="1">
      <c r="A377" s="3848"/>
      <c r="B377" s="3848"/>
      <c r="C377" s="3849"/>
      <c r="D377" s="4221"/>
      <c r="E377" s="4219"/>
      <c r="F377" s="4219"/>
      <c r="G377" s="4219"/>
      <c r="H377" s="2567" t="s">
        <v>417</v>
      </c>
      <c r="I377" s="3846">
        <v>46388</v>
      </c>
      <c r="J377" s="3847">
        <v>46752</v>
      </c>
      <c r="K377" s="3855">
        <v>0</v>
      </c>
      <c r="L377" s="2568" t="s">
        <v>296</v>
      </c>
      <c r="M377" s="3851"/>
      <c r="N377" s="3852"/>
      <c r="O377" s="3853"/>
      <c r="P377" s="3853"/>
    </row>
    <row r="378" spans="1:16" s="1945" customFormat="1" ht="56.25" customHeight="1">
      <c r="A378" s="3848"/>
      <c r="B378" s="3848"/>
      <c r="C378" s="3849"/>
      <c r="D378" s="4221"/>
      <c r="E378" s="4219"/>
      <c r="F378" s="4219"/>
      <c r="G378" s="4219"/>
      <c r="H378" s="2567" t="s">
        <v>417</v>
      </c>
      <c r="I378" s="3846">
        <v>46753</v>
      </c>
      <c r="J378" s="3847">
        <v>47118</v>
      </c>
      <c r="K378" s="3855">
        <v>0</v>
      </c>
      <c r="L378" s="2568" t="s">
        <v>296</v>
      </c>
      <c r="M378" s="3851"/>
      <c r="N378" s="3852"/>
      <c r="O378" s="3853"/>
      <c r="P378" s="3853"/>
    </row>
    <row r="379" spans="1:16" s="1945" customFormat="1" ht="56.25" customHeight="1">
      <c r="A379" s="3848"/>
      <c r="B379" s="3848"/>
      <c r="C379" s="3849"/>
      <c r="D379" s="4221"/>
      <c r="E379" s="4219"/>
      <c r="F379" s="4219"/>
      <c r="G379" s="4219"/>
      <c r="H379" s="2567" t="s">
        <v>417</v>
      </c>
      <c r="I379" s="3846">
        <v>47119</v>
      </c>
      <c r="J379" s="3847">
        <v>47483</v>
      </c>
      <c r="K379" s="3855">
        <v>0</v>
      </c>
      <c r="L379" s="2568" t="s">
        <v>296</v>
      </c>
      <c r="M379" s="3851"/>
      <c r="N379" s="3852"/>
      <c r="O379" s="3853"/>
      <c r="P379" s="3853"/>
    </row>
    <row r="380" spans="1:16" s="1945" customFormat="1" ht="56.25" customHeight="1">
      <c r="A380" s="3848"/>
      <c r="B380" s="3848"/>
      <c r="C380" s="3849"/>
      <c r="D380" s="4221"/>
      <c r="E380" s="4219"/>
      <c r="F380" s="4219"/>
      <c r="G380" s="4219"/>
      <c r="H380" s="2567" t="s">
        <v>417</v>
      </c>
      <c r="I380" s="3846">
        <v>47484</v>
      </c>
      <c r="J380" s="3847">
        <v>47848</v>
      </c>
      <c r="K380" s="3855">
        <v>0</v>
      </c>
      <c r="L380" s="2568" t="s">
        <v>296</v>
      </c>
      <c r="M380" s="3851"/>
      <c r="N380" s="3852"/>
      <c r="O380" s="3853"/>
      <c r="P380" s="3853"/>
    </row>
    <row r="381" spans="1:16" s="1945" customFormat="1" ht="56.25" customHeight="1">
      <c r="A381" s="3848"/>
      <c r="B381" s="3848"/>
      <c r="C381" s="3849"/>
      <c r="D381" s="4221"/>
      <c r="E381" s="4219"/>
      <c r="F381" s="4219"/>
      <c r="G381" s="4219"/>
      <c r="H381" s="2567" t="s">
        <v>417</v>
      </c>
      <c r="I381" s="3846">
        <v>47849</v>
      </c>
      <c r="J381" s="3847">
        <v>48213</v>
      </c>
      <c r="K381" s="3855">
        <v>0</v>
      </c>
      <c r="L381" s="2568" t="s">
        <v>296</v>
      </c>
      <c r="M381" s="3851"/>
      <c r="N381" s="3852"/>
      <c r="O381" s="3853"/>
      <c r="P381" s="3853"/>
    </row>
    <row r="382" spans="1:16" s="1945" customFormat="1" ht="56.25" customHeight="1">
      <c r="A382" s="3848"/>
      <c r="B382" s="3848"/>
      <c r="C382" s="3849"/>
      <c r="D382" s="4221"/>
      <c r="E382" s="4219"/>
      <c r="F382" s="4219"/>
      <c r="G382" s="4219"/>
      <c r="H382" s="2567" t="s">
        <v>417</v>
      </c>
      <c r="I382" s="3846">
        <v>48214</v>
      </c>
      <c r="J382" s="3847">
        <v>48579</v>
      </c>
      <c r="K382" s="3855">
        <v>0</v>
      </c>
      <c r="L382" s="2568" t="s">
        <v>296</v>
      </c>
      <c r="M382" s="3851"/>
      <c r="N382" s="3852"/>
      <c r="O382" s="3853"/>
      <c r="P382" s="3853"/>
    </row>
    <row r="383" spans="1:16" s="1945" customFormat="1" ht="56.25" customHeight="1">
      <c r="A383" s="3848"/>
      <c r="B383" s="3848"/>
      <c r="C383" s="3849"/>
      <c r="D383" s="4221"/>
      <c r="E383" s="4219"/>
      <c r="F383" s="4219"/>
      <c r="G383" s="4219"/>
      <c r="H383" s="2567" t="s">
        <v>417</v>
      </c>
      <c r="I383" s="3846">
        <v>48580</v>
      </c>
      <c r="J383" s="3847">
        <v>48944</v>
      </c>
      <c r="K383" s="3855">
        <v>0</v>
      </c>
      <c r="L383" s="2568" t="s">
        <v>296</v>
      </c>
      <c r="M383" s="3851"/>
      <c r="N383" s="3852"/>
      <c r="O383" s="3853"/>
      <c r="P383" s="3853"/>
    </row>
    <row r="384" spans="1:16" s="1945" customFormat="1" ht="56.25" customHeight="1">
      <c r="A384" s="3848"/>
      <c r="B384" s="3848"/>
      <c r="C384" s="3849"/>
      <c r="D384" s="4221"/>
      <c r="E384" s="4219"/>
      <c r="F384" s="4219"/>
      <c r="G384" s="4219"/>
      <c r="H384" s="2567" t="s">
        <v>417</v>
      </c>
      <c r="I384" s="3846">
        <v>48945</v>
      </c>
      <c r="J384" s="3847">
        <v>49309</v>
      </c>
      <c r="K384" s="3855">
        <v>0</v>
      </c>
      <c r="L384" s="2568" t="s">
        <v>296</v>
      </c>
      <c r="M384" s="3851"/>
      <c r="N384" s="3852"/>
      <c r="O384" s="3853"/>
      <c r="P384" s="3853"/>
    </row>
    <row r="385" spans="1:16" s="1945" customFormat="1" ht="56.25" customHeight="1">
      <c r="A385" s="3848"/>
      <c r="B385" s="3848"/>
      <c r="C385" s="3849"/>
      <c r="D385" s="4221"/>
      <c r="E385" s="4219"/>
      <c r="F385" s="4219"/>
      <c r="G385" s="4219"/>
      <c r="H385" s="2567" t="s">
        <v>417</v>
      </c>
      <c r="I385" s="3846">
        <v>49310</v>
      </c>
      <c r="J385" s="3847">
        <v>49674</v>
      </c>
      <c r="K385" s="3855">
        <v>0</v>
      </c>
      <c r="L385" s="2568" t="s">
        <v>296</v>
      </c>
      <c r="M385" s="3851"/>
      <c r="N385" s="3852"/>
      <c r="O385" s="3853"/>
      <c r="P385" s="3853"/>
    </row>
    <row r="386" spans="1:16" s="1945" customFormat="1" ht="56.25" customHeight="1">
      <c r="A386" s="3848"/>
      <c r="B386" s="3848"/>
      <c r="C386" s="3849"/>
      <c r="D386" s="4221"/>
      <c r="E386" s="4219"/>
      <c r="F386" s="4219"/>
      <c r="G386" s="4219"/>
      <c r="H386" s="2567" t="s">
        <v>417</v>
      </c>
      <c r="I386" s="3846">
        <v>49675</v>
      </c>
      <c r="J386" s="3847">
        <v>49856</v>
      </c>
      <c r="K386" s="3855">
        <v>0</v>
      </c>
      <c r="L386" s="2568" t="s">
        <v>296</v>
      </c>
      <c r="M386" s="3851"/>
      <c r="N386" s="3852"/>
      <c r="O386" s="3853"/>
      <c r="P386" s="3853"/>
    </row>
    <row r="387" spans="1:16" s="1923" customFormat="1" ht="18.75" customHeight="1">
      <c r="A387" s="1691"/>
      <c r="B387" s="1691"/>
      <c r="C387" s="297" t="s">
        <v>1044</v>
      </c>
      <c r="D387" s="4220"/>
      <c r="E387" s="4027"/>
      <c r="F387" s="4162"/>
      <c r="G387" s="4191"/>
      <c r="H387" s="1410"/>
      <c r="I387" s="572" t="s">
        <v>1043</v>
      </c>
      <c r="J387" s="496"/>
      <c r="K387" s="1410"/>
      <c r="L387" s="135"/>
      <c r="M387" s="1772"/>
      <c r="N387" s="261"/>
      <c r="O387" s="1536"/>
      <c r="P387" s="1536"/>
    </row>
    <row r="388" spans="1:16" s="1923" customFormat="1" ht="0.75" customHeight="1">
      <c r="A388" s="1691"/>
      <c r="B388" s="1691"/>
      <c r="C388" s="297" t="s">
        <v>1053</v>
      </c>
      <c r="D388" s="4220"/>
      <c r="E388" s="4027"/>
      <c r="F388" s="4162"/>
      <c r="G388" s="334"/>
      <c r="H388" s="1410"/>
      <c r="I388" s="572"/>
      <c r="J388" s="496"/>
      <c r="K388" s="1410"/>
      <c r="L388" s="135"/>
      <c r="M388" s="268"/>
      <c r="N388" s="261"/>
      <c r="O388" s="1536"/>
      <c r="P388" s="1536"/>
    </row>
    <row r="389" spans="1:16" s="1923" customFormat="1" ht="45" hidden="1" customHeight="1">
      <c r="A389" s="1691" t="s">
        <v>171</v>
      </c>
      <c r="B389" s="1691" t="s">
        <v>172</v>
      </c>
      <c r="C389" s="297"/>
      <c r="D389" s="4220"/>
      <c r="E389" s="4027"/>
      <c r="F389" s="4162" t="str">
        <f>INDEX(PT_DIFFERENTIATION_VTAR,MATCH(A389,PT_DIFFERENTIATION_VTAR_ID,0))</f>
        <v>Тарифы на теплоноситель, поставляемый теплоснабжающими организациями потребителям, другим теплоснабжающим организациям</v>
      </c>
      <c r="G389" s="4191" t="str">
        <f>INDEX(PT_DIFFERENTIATION_NTAR,MATCH(B389,PT_DIFFERENTIATION_NTAR_ID,0))</f>
        <v/>
      </c>
      <c r="H389" s="1773"/>
      <c r="I389" s="1649"/>
      <c r="J389" s="1684"/>
      <c r="K389" s="1689"/>
      <c r="L389" s="1773" t="s">
        <v>296</v>
      </c>
      <c r="M389" s="268"/>
      <c r="N389" s="261"/>
      <c r="O389" s="1536"/>
      <c r="P389" s="1536"/>
    </row>
    <row r="390" spans="1:16" s="1923" customFormat="1" ht="18.75" hidden="1" customHeight="1">
      <c r="A390" s="1691"/>
      <c r="B390" s="1691"/>
      <c r="C390" s="297" t="s">
        <v>1044</v>
      </c>
      <c r="D390" s="4220"/>
      <c r="E390" s="4027"/>
      <c r="F390" s="4162"/>
      <c r="G390" s="4191"/>
      <c r="H390" s="1410"/>
      <c r="I390" s="572" t="s">
        <v>1043</v>
      </c>
      <c r="J390" s="496"/>
      <c r="K390" s="1410"/>
      <c r="L390" s="135"/>
      <c r="M390" s="268"/>
      <c r="N390" s="261"/>
      <c r="O390" s="1536"/>
      <c r="P390" s="1536"/>
    </row>
    <row r="391" spans="1:16" s="1923" customFormat="1" ht="0.75" hidden="1" customHeight="1">
      <c r="A391" s="1691"/>
      <c r="B391" s="1691"/>
      <c r="C391" s="297" t="s">
        <v>1053</v>
      </c>
      <c r="D391" s="4220"/>
      <c r="E391" s="4027"/>
      <c r="F391" s="4162"/>
      <c r="G391" s="334"/>
      <c r="H391" s="1410"/>
      <c r="I391" s="572"/>
      <c r="J391" s="496"/>
      <c r="K391" s="1410"/>
      <c r="L391" s="135"/>
      <c r="M391" s="268"/>
      <c r="N391" s="261"/>
      <c r="O391" s="1536"/>
      <c r="P391" s="1536"/>
    </row>
    <row r="392" spans="1:16" s="1923" customFormat="1" ht="45" hidden="1" customHeight="1">
      <c r="A392" s="1691" t="s">
        <v>177</v>
      </c>
      <c r="B392" s="1691" t="s">
        <v>178</v>
      </c>
      <c r="C392" s="297"/>
      <c r="D392" s="4220"/>
      <c r="E392" s="4027"/>
      <c r="F392" s="4162" t="str">
        <f>INDEX(PT_DIFFERENTIATION_VTAR,MATCH(A392,PT_DIFFERENTIATION_VTAR_ID,0))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92" s="4191" t="str">
        <f>INDEX(PT_DIFFERENTIATION_NTAR,MATCH(B392,PT_DIFFERENTIATION_NTAR_ID,0))</f>
        <v/>
      </c>
      <c r="H392" s="1773"/>
      <c r="I392" s="1649"/>
      <c r="J392" s="1684"/>
      <c r="K392" s="1689"/>
      <c r="L392" s="1773" t="s">
        <v>296</v>
      </c>
      <c r="M392" s="268"/>
      <c r="N392" s="261"/>
      <c r="O392" s="1536"/>
      <c r="P392" s="1536"/>
    </row>
    <row r="393" spans="1:16" s="1923" customFormat="1" ht="18.75" hidden="1" customHeight="1">
      <c r="A393" s="1691"/>
      <c r="B393" s="1691"/>
      <c r="C393" s="297" t="s">
        <v>1044</v>
      </c>
      <c r="D393" s="4220"/>
      <c r="E393" s="4027"/>
      <c r="F393" s="4162"/>
      <c r="G393" s="4191"/>
      <c r="H393" s="1410"/>
      <c r="I393" s="572" t="s">
        <v>1043</v>
      </c>
      <c r="J393" s="496"/>
      <c r="K393" s="1410"/>
      <c r="L393" s="135"/>
      <c r="M393" s="268"/>
      <c r="N393" s="261"/>
      <c r="O393" s="1536"/>
      <c r="P393" s="1536"/>
    </row>
    <row r="394" spans="1:16" s="1923" customFormat="1" ht="0.75" hidden="1" customHeight="1">
      <c r="A394" s="1691"/>
      <c r="B394" s="1691"/>
      <c r="C394" s="297" t="s">
        <v>1053</v>
      </c>
      <c r="D394" s="4220"/>
      <c r="E394" s="4027"/>
      <c r="F394" s="4162"/>
      <c r="G394" s="334"/>
      <c r="H394" s="1410"/>
      <c r="I394" s="572"/>
      <c r="J394" s="496"/>
      <c r="K394" s="1410"/>
      <c r="L394" s="135"/>
      <c r="M394" s="268"/>
      <c r="N394" s="261"/>
      <c r="O394" s="1536"/>
      <c r="P394" s="1536"/>
    </row>
    <row r="395" spans="1:16" s="1923" customFormat="1" ht="18.75" hidden="1" customHeight="1">
      <c r="A395" s="1691" t="s">
        <v>183</v>
      </c>
      <c r="B395" s="1691" t="s">
        <v>184</v>
      </c>
      <c r="C395" s="297"/>
      <c r="D395" s="4220"/>
      <c r="E395" s="4027"/>
      <c r="F395" s="4162" t="str">
        <f>INDEX(PT_DIFFERENTIATION_VTAR,MATCH(A395,PT_DIFFERENTIATION_VTAR_ID,0))</f>
        <v>Тарифы на услуги по передаче тепловой энергии</v>
      </c>
      <c r="G395" s="4191" t="str">
        <f>INDEX(PT_DIFFERENTIATION_NTAR,MATCH(B395,PT_DIFFERENTIATION_NTAR_ID,0))</f>
        <v/>
      </c>
      <c r="H395" s="1773"/>
      <c r="I395" s="1649"/>
      <c r="J395" s="1684"/>
      <c r="K395" s="1689"/>
      <c r="L395" s="1773" t="s">
        <v>296</v>
      </c>
      <c r="M395" s="268"/>
      <c r="N395" s="261"/>
      <c r="O395" s="1536"/>
      <c r="P395" s="1536"/>
    </row>
    <row r="396" spans="1:16" s="1923" customFormat="1" ht="18.75" hidden="1" customHeight="1">
      <c r="A396" s="1691"/>
      <c r="B396" s="1691"/>
      <c r="C396" s="297" t="s">
        <v>1044</v>
      </c>
      <c r="D396" s="4220"/>
      <c r="E396" s="4027"/>
      <c r="F396" s="4162"/>
      <c r="G396" s="4191"/>
      <c r="H396" s="1410"/>
      <c r="I396" s="572" t="s">
        <v>1043</v>
      </c>
      <c r="J396" s="496"/>
      <c r="K396" s="1410"/>
      <c r="L396" s="135"/>
      <c r="M396" s="268"/>
      <c r="N396" s="261"/>
      <c r="O396" s="1536"/>
      <c r="P396" s="1536"/>
    </row>
    <row r="397" spans="1:16" s="1923" customFormat="1" ht="0.75" hidden="1" customHeight="1">
      <c r="A397" s="1691"/>
      <c r="B397" s="1691"/>
      <c r="C397" s="297" t="s">
        <v>1053</v>
      </c>
      <c r="D397" s="4220"/>
      <c r="E397" s="4027"/>
      <c r="F397" s="4162"/>
      <c r="G397" s="334"/>
      <c r="H397" s="1410"/>
      <c r="I397" s="572"/>
      <c r="J397" s="496"/>
      <c r="K397" s="1410"/>
      <c r="L397" s="135"/>
      <c r="M397" s="268"/>
      <c r="N397" s="261"/>
      <c r="O397" s="1536"/>
      <c r="P397" s="1536"/>
    </row>
    <row r="398" spans="1:16" s="1923" customFormat="1" ht="18.75" hidden="1" customHeight="1">
      <c r="A398" s="1691" t="s">
        <v>189</v>
      </c>
      <c r="B398" s="1691" t="s">
        <v>190</v>
      </c>
      <c r="C398" s="297"/>
      <c r="D398" s="4220"/>
      <c r="E398" s="4027"/>
      <c r="F398" s="4162" t="str">
        <f>INDEX(PT_DIFFERENTIATION_VTAR,MATCH(A398,PT_DIFFERENTIATION_VTAR_ID,0))</f>
        <v>Тарифы на услуги по передаче теплоносителя</v>
      </c>
      <c r="G398" s="4191" t="str">
        <f>INDEX(PT_DIFFERENTIATION_NTAR,MATCH(B398,PT_DIFFERENTIATION_NTAR_ID,0))</f>
        <v/>
      </c>
      <c r="H398" s="1773"/>
      <c r="I398" s="1649"/>
      <c r="J398" s="1684"/>
      <c r="K398" s="1689"/>
      <c r="L398" s="1773" t="s">
        <v>296</v>
      </c>
      <c r="M398" s="268"/>
      <c r="N398" s="261"/>
      <c r="O398" s="1536"/>
      <c r="P398" s="1536"/>
    </row>
    <row r="399" spans="1:16" s="1923" customFormat="1" ht="18.75" hidden="1" customHeight="1">
      <c r="A399" s="1691"/>
      <c r="B399" s="1691"/>
      <c r="C399" s="297" t="s">
        <v>1044</v>
      </c>
      <c r="D399" s="4220"/>
      <c r="E399" s="4027"/>
      <c r="F399" s="4162"/>
      <c r="G399" s="4191"/>
      <c r="H399" s="1410"/>
      <c r="I399" s="572" t="s">
        <v>1043</v>
      </c>
      <c r="J399" s="496"/>
      <c r="K399" s="1410"/>
      <c r="L399" s="135"/>
      <c r="M399" s="268"/>
      <c r="N399" s="261"/>
      <c r="O399" s="1536"/>
      <c r="P399" s="1536"/>
    </row>
    <row r="400" spans="1:16" s="1923" customFormat="1" ht="0.75" hidden="1" customHeight="1">
      <c r="A400" s="1691"/>
      <c r="B400" s="1691"/>
      <c r="C400" s="297" t="s">
        <v>1053</v>
      </c>
      <c r="D400" s="4220"/>
      <c r="E400" s="4027"/>
      <c r="F400" s="4162"/>
      <c r="G400" s="334"/>
      <c r="H400" s="1410"/>
      <c r="I400" s="572"/>
      <c r="J400" s="496"/>
      <c r="K400" s="1410"/>
      <c r="L400" s="135"/>
      <c r="M400" s="268"/>
      <c r="N400" s="261"/>
      <c r="O400" s="1536"/>
      <c r="P400" s="1536"/>
    </row>
    <row r="401" spans="1:16" s="1923" customFormat="1" ht="18.75" hidden="1" customHeight="1">
      <c r="A401" s="1691" t="s">
        <v>195</v>
      </c>
      <c r="B401" s="1691" t="s">
        <v>196</v>
      </c>
      <c r="C401" s="297"/>
      <c r="D401" s="4220"/>
      <c r="E401" s="4027"/>
      <c r="F401" s="4162" t="str">
        <f>INDEX(PT_DIFFERENTIATION_VTAR,MATCH(A401,PT_DIFFERENTIATION_VTAR_ID,0))</f>
        <v>Плата за услуги по поддержанию резервной тепловой мощности при отсутствии потребления тепловой энергии</v>
      </c>
      <c r="G401" s="4191" t="str">
        <f>INDEX(PT_DIFFERENTIATION_NTAR,MATCH(B401,PT_DIFFERENTIATION_NTAR_ID,0))</f>
        <v/>
      </c>
      <c r="H401" s="1773"/>
      <c r="I401" s="1649"/>
      <c r="J401" s="1684"/>
      <c r="K401" s="1689"/>
      <c r="L401" s="1773" t="s">
        <v>296</v>
      </c>
      <c r="M401" s="268"/>
      <c r="N401" s="261"/>
      <c r="O401" s="1536"/>
      <c r="P401" s="1536"/>
    </row>
    <row r="402" spans="1:16" s="1923" customFormat="1" ht="18.75" hidden="1" customHeight="1">
      <c r="A402" s="1691"/>
      <c r="B402" s="1691"/>
      <c r="C402" s="297" t="s">
        <v>1044</v>
      </c>
      <c r="D402" s="4220"/>
      <c r="E402" s="4027"/>
      <c r="F402" s="4162"/>
      <c r="G402" s="4191"/>
      <c r="H402" s="1410"/>
      <c r="I402" s="572" t="s">
        <v>1043</v>
      </c>
      <c r="J402" s="496"/>
      <c r="K402" s="1410"/>
      <c r="L402" s="135"/>
      <c r="M402" s="268"/>
      <c r="N402" s="261"/>
      <c r="O402" s="1536"/>
      <c r="P402" s="1536"/>
    </row>
    <row r="403" spans="1:16" s="1923" customFormat="1" ht="0.75" hidden="1" customHeight="1">
      <c r="A403" s="1691"/>
      <c r="B403" s="1691"/>
      <c r="C403" s="297" t="s">
        <v>1053</v>
      </c>
      <c r="D403" s="4220"/>
      <c r="E403" s="4027"/>
      <c r="F403" s="4162"/>
      <c r="G403" s="334"/>
      <c r="H403" s="1410"/>
      <c r="I403" s="572"/>
      <c r="J403" s="496"/>
      <c r="K403" s="1410"/>
      <c r="L403" s="135"/>
      <c r="M403" s="268"/>
      <c r="N403" s="261"/>
      <c r="O403" s="1536"/>
      <c r="P403" s="1536"/>
    </row>
    <row r="404" spans="1:16" s="1923" customFormat="1" ht="18.75" hidden="1" customHeight="1">
      <c r="A404" s="1691" t="s">
        <v>201</v>
      </c>
      <c r="B404" s="1691" t="s">
        <v>202</v>
      </c>
      <c r="C404" s="297"/>
      <c r="D404" s="4220"/>
      <c r="E404" s="4027"/>
      <c r="F404" s="4162" t="str">
        <f>INDEX(PT_DIFFERENTIATION_VTAR,MATCH(A404,PT_DIFFERENTIATION_VTAR_ID,0))</f>
        <v>Плата за подключение (технологическое присоединение) к системе теплоснабжения</v>
      </c>
      <c r="G404" s="4191" t="str">
        <f>INDEX(PT_DIFFERENTIATION_NTAR,MATCH(B404,PT_DIFFERENTIATION_NTAR_ID,0))</f>
        <v/>
      </c>
      <c r="H404" s="1773"/>
      <c r="I404" s="1649"/>
      <c r="J404" s="1684"/>
      <c r="K404" s="1689"/>
      <c r="L404" s="1773" t="s">
        <v>296</v>
      </c>
      <c r="M404" s="268"/>
      <c r="N404" s="261"/>
      <c r="O404" s="1536"/>
      <c r="P404" s="1536"/>
    </row>
    <row r="405" spans="1:16" s="1923" customFormat="1" ht="18.75" hidden="1" customHeight="1">
      <c r="A405" s="1691"/>
      <c r="B405" s="1691"/>
      <c r="C405" s="297" t="s">
        <v>1044</v>
      </c>
      <c r="D405" s="4220"/>
      <c r="E405" s="4027"/>
      <c r="F405" s="4162"/>
      <c r="G405" s="4191"/>
      <c r="H405" s="1410"/>
      <c r="I405" s="572" t="s">
        <v>1043</v>
      </c>
      <c r="J405" s="496"/>
      <c r="K405" s="1410"/>
      <c r="L405" s="135"/>
      <c r="M405" s="268"/>
      <c r="N405" s="261"/>
      <c r="O405" s="1536"/>
      <c r="P405" s="1536"/>
    </row>
    <row r="406" spans="1:16" s="1923" customFormat="1" ht="0.75" hidden="1" customHeight="1">
      <c r="A406" s="1691"/>
      <c r="B406" s="1691"/>
      <c r="C406" s="297" t="s">
        <v>1053</v>
      </c>
      <c r="D406" s="4220"/>
      <c r="E406" s="4027"/>
      <c r="F406" s="4162"/>
      <c r="G406" s="334"/>
      <c r="H406" s="1410"/>
      <c r="I406" s="572"/>
      <c r="J406" s="496"/>
      <c r="K406" s="1410"/>
      <c r="L406" s="135"/>
      <c r="M406" s="268"/>
      <c r="N406" s="261"/>
      <c r="O406" s="1536"/>
      <c r="P406" s="1536"/>
    </row>
    <row r="407" spans="1:16" s="1923" customFormat="1" ht="18.75" hidden="1" customHeight="1">
      <c r="A407" s="1691" t="s">
        <v>215</v>
      </c>
      <c r="B407" s="1691" t="s">
        <v>216</v>
      </c>
      <c r="C407" s="297"/>
      <c r="D407" s="4220"/>
      <c r="E407" s="4027"/>
      <c r="F407" s="4162" t="str">
        <f>INDEX(PT_DIFFERENTIATION_VTAR,MATCH(A407,PT_DIFFERENTIATION_VTAR_ID,0))</f>
        <v>Тариф на питьевую воду (питьевое водоснабжение)</v>
      </c>
      <c r="G407" s="4191" t="str">
        <f>INDEX(PT_DIFFERENTIATION_NTAR,MATCH(B407,PT_DIFFERENTIATION_NTAR_ID,0))</f>
        <v/>
      </c>
      <c r="H407" s="1773"/>
      <c r="I407" s="1649"/>
      <c r="J407" s="1684"/>
      <c r="K407" s="1689"/>
      <c r="L407" s="1773" t="s">
        <v>296</v>
      </c>
      <c r="M407" s="268"/>
      <c r="N407" s="261"/>
      <c r="O407" s="1536"/>
      <c r="P407" s="1536"/>
    </row>
    <row r="408" spans="1:16" s="1923" customFormat="1" ht="18.75" hidden="1" customHeight="1">
      <c r="A408" s="1691"/>
      <c r="B408" s="1691"/>
      <c r="C408" s="297" t="s">
        <v>1044</v>
      </c>
      <c r="D408" s="4220"/>
      <c r="E408" s="4027"/>
      <c r="F408" s="4162"/>
      <c r="G408" s="4191"/>
      <c r="H408" s="1410"/>
      <c r="I408" s="572" t="s">
        <v>1043</v>
      </c>
      <c r="J408" s="496"/>
      <c r="K408" s="1410"/>
      <c r="L408" s="135"/>
      <c r="M408" s="268"/>
      <c r="N408" s="261"/>
      <c r="O408" s="1536"/>
      <c r="P408" s="1536"/>
    </row>
    <row r="409" spans="1:16" s="1923" customFormat="1" ht="0.75" hidden="1" customHeight="1">
      <c r="A409" s="1691"/>
      <c r="B409" s="1691"/>
      <c r="C409" s="297" t="s">
        <v>1053</v>
      </c>
      <c r="D409" s="4220"/>
      <c r="E409" s="4027"/>
      <c r="F409" s="4162"/>
      <c r="G409" s="334"/>
      <c r="H409" s="1410"/>
      <c r="I409" s="572"/>
      <c r="J409" s="496"/>
      <c r="K409" s="1410"/>
      <c r="L409" s="135"/>
      <c r="M409" s="268"/>
      <c r="N409" s="261"/>
      <c r="O409" s="1536"/>
      <c r="P409" s="1536"/>
    </row>
    <row r="410" spans="1:16" s="1923" customFormat="1" ht="18.75" hidden="1" customHeight="1">
      <c r="A410" s="1691" t="s">
        <v>220</v>
      </c>
      <c r="B410" s="1691" t="s">
        <v>221</v>
      </c>
      <c r="C410" s="297"/>
      <c r="D410" s="4220"/>
      <c r="E410" s="4027"/>
      <c r="F410" s="4162" t="str">
        <f>INDEX(PT_DIFFERENTIATION_VTAR,MATCH(A410,PT_DIFFERENTIATION_VTAR_ID,0))</f>
        <v>Тариф на техническую воду</v>
      </c>
      <c r="G410" s="4191" t="str">
        <f>INDEX(PT_DIFFERENTIATION_NTAR,MATCH(B410,PT_DIFFERENTIATION_NTAR_ID,0))</f>
        <v/>
      </c>
      <c r="H410" s="1773"/>
      <c r="I410" s="1649"/>
      <c r="J410" s="1684"/>
      <c r="K410" s="1689"/>
      <c r="L410" s="1773" t="s">
        <v>296</v>
      </c>
      <c r="M410" s="268"/>
      <c r="N410" s="261"/>
      <c r="O410" s="1536"/>
      <c r="P410" s="1536"/>
    </row>
    <row r="411" spans="1:16" s="1923" customFormat="1" ht="18.75" hidden="1" customHeight="1">
      <c r="A411" s="1691"/>
      <c r="B411" s="1691"/>
      <c r="C411" s="297" t="s">
        <v>1044</v>
      </c>
      <c r="D411" s="4220"/>
      <c r="E411" s="4027"/>
      <c r="F411" s="4162"/>
      <c r="G411" s="4191"/>
      <c r="H411" s="1410"/>
      <c r="I411" s="572" t="s">
        <v>1043</v>
      </c>
      <c r="J411" s="496"/>
      <c r="K411" s="1410"/>
      <c r="L411" s="135"/>
      <c r="M411" s="268"/>
      <c r="N411" s="261"/>
      <c r="O411" s="1536"/>
      <c r="P411" s="1536"/>
    </row>
    <row r="412" spans="1:16" s="1923" customFormat="1" ht="0.75" hidden="1" customHeight="1">
      <c r="A412" s="1691"/>
      <c r="B412" s="1691"/>
      <c r="C412" s="297" t="s">
        <v>1053</v>
      </c>
      <c r="D412" s="4220"/>
      <c r="E412" s="4027"/>
      <c r="F412" s="4162"/>
      <c r="G412" s="334"/>
      <c r="H412" s="1410"/>
      <c r="I412" s="572"/>
      <c r="J412" s="496"/>
      <c r="K412" s="1410"/>
      <c r="L412" s="135"/>
      <c r="M412" s="268"/>
      <c r="N412" s="261"/>
      <c r="O412" s="1536"/>
      <c r="P412" s="1536"/>
    </row>
    <row r="413" spans="1:16" s="1923" customFormat="1" ht="18.75" hidden="1" customHeight="1">
      <c r="A413" s="1691" t="s">
        <v>225</v>
      </c>
      <c r="B413" s="1691" t="s">
        <v>226</v>
      </c>
      <c r="C413" s="297"/>
      <c r="D413" s="4220"/>
      <c r="E413" s="4027"/>
      <c r="F413" s="4162" t="str">
        <f>INDEX(PT_DIFFERENTIATION_VTAR,MATCH(A413,PT_DIFFERENTIATION_VTAR_ID,0))</f>
        <v>Тариф на транспортировку воды</v>
      </c>
      <c r="G413" s="4191" t="str">
        <f>INDEX(PT_DIFFERENTIATION_NTAR,MATCH(B413,PT_DIFFERENTIATION_NTAR_ID,0))</f>
        <v/>
      </c>
      <c r="H413" s="1773"/>
      <c r="I413" s="1649"/>
      <c r="J413" s="1684"/>
      <c r="K413" s="1689"/>
      <c r="L413" s="1773" t="s">
        <v>296</v>
      </c>
      <c r="M413" s="268"/>
      <c r="N413" s="261"/>
      <c r="O413" s="1536"/>
      <c r="P413" s="1536"/>
    </row>
    <row r="414" spans="1:16" s="1923" customFormat="1" ht="18.75" hidden="1" customHeight="1">
      <c r="A414" s="1691"/>
      <c r="B414" s="1691"/>
      <c r="C414" s="297" t="s">
        <v>1044</v>
      </c>
      <c r="D414" s="4220"/>
      <c r="E414" s="4027"/>
      <c r="F414" s="4162"/>
      <c r="G414" s="4191"/>
      <c r="H414" s="1410"/>
      <c r="I414" s="572" t="s">
        <v>1043</v>
      </c>
      <c r="J414" s="496"/>
      <c r="K414" s="1410"/>
      <c r="L414" s="135"/>
      <c r="M414" s="268"/>
      <c r="N414" s="261"/>
      <c r="O414" s="1536"/>
      <c r="P414" s="1536"/>
    </row>
    <row r="415" spans="1:16" s="1923" customFormat="1" ht="0.75" hidden="1" customHeight="1">
      <c r="A415" s="1691"/>
      <c r="B415" s="1691"/>
      <c r="C415" s="297" t="s">
        <v>1053</v>
      </c>
      <c r="D415" s="4220"/>
      <c r="E415" s="4027"/>
      <c r="F415" s="4162"/>
      <c r="G415" s="334"/>
      <c r="H415" s="1410"/>
      <c r="I415" s="572"/>
      <c r="J415" s="496"/>
      <c r="K415" s="1410"/>
      <c r="L415" s="135"/>
      <c r="M415" s="268"/>
      <c r="N415" s="261"/>
      <c r="O415" s="1536"/>
      <c r="P415" s="1536"/>
    </row>
    <row r="416" spans="1:16" s="1923" customFormat="1" ht="18.75" hidden="1" customHeight="1">
      <c r="A416" s="1691" t="s">
        <v>230</v>
      </c>
      <c r="B416" s="1691" t="s">
        <v>231</v>
      </c>
      <c r="C416" s="297"/>
      <c r="D416" s="4220"/>
      <c r="E416" s="4027"/>
      <c r="F416" s="4162" t="str">
        <f>INDEX(PT_DIFFERENTIATION_VTAR,MATCH(A416,PT_DIFFERENTIATION_VTAR_ID,0))</f>
        <v>Тариф на подвоз воды</v>
      </c>
      <c r="G416" s="4191" t="str">
        <f>INDEX(PT_DIFFERENTIATION_NTAR,MATCH(B416,PT_DIFFERENTIATION_NTAR_ID,0))</f>
        <v/>
      </c>
      <c r="H416" s="1773"/>
      <c r="I416" s="1649"/>
      <c r="J416" s="1684"/>
      <c r="K416" s="1689"/>
      <c r="L416" s="1773" t="s">
        <v>296</v>
      </c>
      <c r="M416" s="268"/>
      <c r="N416" s="261"/>
      <c r="O416" s="1536"/>
      <c r="P416" s="1536"/>
    </row>
    <row r="417" spans="1:16" s="1923" customFormat="1" ht="18.75" hidden="1" customHeight="1">
      <c r="A417" s="1691"/>
      <c r="B417" s="1691"/>
      <c r="C417" s="297" t="s">
        <v>1044</v>
      </c>
      <c r="D417" s="4220"/>
      <c r="E417" s="4027"/>
      <c r="F417" s="4162"/>
      <c r="G417" s="4191"/>
      <c r="H417" s="1410"/>
      <c r="I417" s="572" t="s">
        <v>1043</v>
      </c>
      <c r="J417" s="496"/>
      <c r="K417" s="1410"/>
      <c r="L417" s="135"/>
      <c r="M417" s="268"/>
      <c r="N417" s="261"/>
      <c r="O417" s="1536"/>
      <c r="P417" s="1536"/>
    </row>
    <row r="418" spans="1:16" s="1923" customFormat="1" ht="0.75" hidden="1" customHeight="1">
      <c r="A418" s="1691"/>
      <c r="B418" s="1691"/>
      <c r="C418" s="297" t="s">
        <v>1053</v>
      </c>
      <c r="D418" s="4220"/>
      <c r="E418" s="4027"/>
      <c r="F418" s="4162"/>
      <c r="G418" s="334"/>
      <c r="H418" s="1410"/>
      <c r="I418" s="572"/>
      <c r="J418" s="496"/>
      <c r="K418" s="1410"/>
      <c r="L418" s="135"/>
      <c r="M418" s="268"/>
      <c r="N418" s="261"/>
      <c r="O418" s="1536"/>
      <c r="P418" s="1536"/>
    </row>
    <row r="419" spans="1:16" s="1923" customFormat="1" ht="18.75" hidden="1" customHeight="1">
      <c r="A419" s="1691" t="s">
        <v>235</v>
      </c>
      <c r="B419" s="1691" t="s">
        <v>236</v>
      </c>
      <c r="C419" s="297"/>
      <c r="D419" s="4220"/>
      <c r="E419" s="4027"/>
      <c r="F419" s="4162" t="str">
        <f>INDEX(PT_DIFFERENTIATION_VTAR,MATCH(A419,PT_DIFFERENTIATION_VTAR_ID,0))</f>
        <v>Тариф на подключение (технологическое присоединение) к централизованной системе холодного водоснабжения</v>
      </c>
      <c r="G419" s="4191" t="str">
        <f>INDEX(PT_DIFFERENTIATION_NTAR,MATCH(B419,PT_DIFFERENTIATION_NTAR_ID,0))</f>
        <v/>
      </c>
      <c r="H419" s="1773"/>
      <c r="I419" s="1649"/>
      <c r="J419" s="1684"/>
      <c r="K419" s="1689"/>
      <c r="L419" s="1773" t="s">
        <v>296</v>
      </c>
      <c r="M419" s="268"/>
      <c r="N419" s="261"/>
      <c r="O419" s="1536"/>
      <c r="P419" s="1536"/>
    </row>
    <row r="420" spans="1:16" s="1923" customFormat="1" ht="18.75" hidden="1" customHeight="1">
      <c r="A420" s="1691"/>
      <c r="B420" s="1691"/>
      <c r="C420" s="297" t="s">
        <v>1044</v>
      </c>
      <c r="D420" s="4220"/>
      <c r="E420" s="4027"/>
      <c r="F420" s="4162"/>
      <c r="G420" s="4191"/>
      <c r="H420" s="1410"/>
      <c r="I420" s="572" t="s">
        <v>1043</v>
      </c>
      <c r="J420" s="496"/>
      <c r="K420" s="1410"/>
      <c r="L420" s="135"/>
      <c r="M420" s="268"/>
      <c r="N420" s="261"/>
      <c r="O420" s="1536"/>
      <c r="P420" s="1536"/>
    </row>
    <row r="421" spans="1:16" s="1923" customFormat="1" ht="0.75" hidden="1" customHeight="1">
      <c r="A421" s="1691"/>
      <c r="B421" s="1691"/>
      <c r="C421" s="297" t="s">
        <v>1053</v>
      </c>
      <c r="D421" s="4220"/>
      <c r="E421" s="4027"/>
      <c r="F421" s="4162"/>
      <c r="G421" s="334"/>
      <c r="H421" s="1410"/>
      <c r="I421" s="572"/>
      <c r="J421" s="496"/>
      <c r="K421" s="1410"/>
      <c r="L421" s="135"/>
      <c r="M421" s="268"/>
      <c r="N421" s="261"/>
      <c r="O421" s="1536"/>
      <c r="P421" s="1536"/>
    </row>
    <row r="422" spans="1:16" s="1923" customFormat="1" ht="18.75" hidden="1" customHeight="1">
      <c r="A422" s="1691" t="s">
        <v>240</v>
      </c>
      <c r="B422" s="1691" t="s">
        <v>241</v>
      </c>
      <c r="C422" s="297"/>
      <c r="D422" s="4220"/>
      <c r="E422" s="4027"/>
      <c r="F422" s="4162" t="str">
        <f>INDEX(PT_DIFFERENTIATION_VTAR,MATCH(A422,PT_DIFFERENTIATION_VTAR_ID,0))</f>
        <v>Тариф на горячую воду (горячее водоснабжение)</v>
      </c>
      <c r="G422" s="4191" t="str">
        <f>INDEX(PT_DIFFERENTIATION_NTAR,MATCH(B422,PT_DIFFERENTIATION_NTAR_ID,0))</f>
        <v/>
      </c>
      <c r="H422" s="1773"/>
      <c r="I422" s="1649"/>
      <c r="J422" s="1684"/>
      <c r="K422" s="1689"/>
      <c r="L422" s="1773" t="s">
        <v>296</v>
      </c>
      <c r="M422" s="268"/>
      <c r="N422" s="261"/>
      <c r="O422" s="1536"/>
      <c r="P422" s="1536"/>
    </row>
    <row r="423" spans="1:16" s="1923" customFormat="1" ht="18.75" hidden="1" customHeight="1">
      <c r="A423" s="1691"/>
      <c r="B423" s="1691"/>
      <c r="C423" s="297" t="s">
        <v>1044</v>
      </c>
      <c r="D423" s="4220"/>
      <c r="E423" s="4027"/>
      <c r="F423" s="4162"/>
      <c r="G423" s="4191"/>
      <c r="H423" s="1410"/>
      <c r="I423" s="572" t="s">
        <v>1043</v>
      </c>
      <c r="J423" s="496"/>
      <c r="K423" s="1410"/>
      <c r="L423" s="135"/>
      <c r="M423" s="268"/>
      <c r="N423" s="261"/>
      <c r="O423" s="1536"/>
      <c r="P423" s="1536"/>
    </row>
    <row r="424" spans="1:16" s="1923" customFormat="1" ht="0.75" hidden="1" customHeight="1">
      <c r="A424" s="1691"/>
      <c r="B424" s="1691"/>
      <c r="C424" s="297" t="s">
        <v>1053</v>
      </c>
      <c r="D424" s="4220"/>
      <c r="E424" s="4027"/>
      <c r="F424" s="4162"/>
      <c r="G424" s="334"/>
      <c r="H424" s="1410"/>
      <c r="I424" s="572"/>
      <c r="J424" s="496"/>
      <c r="K424" s="1410"/>
      <c r="L424" s="135"/>
      <c r="M424" s="268"/>
      <c r="N424" s="261"/>
      <c r="O424" s="1536"/>
      <c r="P424" s="1536"/>
    </row>
    <row r="425" spans="1:16" s="1923" customFormat="1" ht="18.75" hidden="1" customHeight="1">
      <c r="A425" s="1691" t="s">
        <v>245</v>
      </c>
      <c r="B425" s="1691" t="s">
        <v>246</v>
      </c>
      <c r="C425" s="297"/>
      <c r="D425" s="4220"/>
      <c r="E425" s="4027"/>
      <c r="F425" s="4162" t="str">
        <f>INDEX(PT_DIFFERENTIATION_VTAR,MATCH(A425,PT_DIFFERENTIATION_VTAR_ID,0))</f>
        <v>Тариф на транспортировку горячей воды</v>
      </c>
      <c r="G425" s="4191" t="str">
        <f>INDEX(PT_DIFFERENTIATION_NTAR,MATCH(B425,PT_DIFFERENTIATION_NTAR_ID,0))</f>
        <v/>
      </c>
      <c r="H425" s="1773"/>
      <c r="I425" s="1649"/>
      <c r="J425" s="1684"/>
      <c r="K425" s="1689"/>
      <c r="L425" s="1773" t="s">
        <v>296</v>
      </c>
      <c r="M425" s="268"/>
      <c r="N425" s="261"/>
      <c r="O425" s="1536"/>
      <c r="P425" s="1536"/>
    </row>
    <row r="426" spans="1:16" s="1923" customFormat="1" ht="18.75" hidden="1" customHeight="1">
      <c r="A426" s="1691"/>
      <c r="B426" s="1691"/>
      <c r="C426" s="297" t="s">
        <v>1044</v>
      </c>
      <c r="D426" s="4220"/>
      <c r="E426" s="4027"/>
      <c r="F426" s="4162"/>
      <c r="G426" s="4191"/>
      <c r="H426" s="1410"/>
      <c r="I426" s="572" t="s">
        <v>1043</v>
      </c>
      <c r="J426" s="496"/>
      <c r="K426" s="1410"/>
      <c r="L426" s="135"/>
      <c r="M426" s="268"/>
      <c r="N426" s="261"/>
      <c r="O426" s="1536"/>
      <c r="P426" s="1536"/>
    </row>
    <row r="427" spans="1:16" s="1923" customFormat="1" ht="0.75" hidden="1" customHeight="1">
      <c r="A427" s="1691"/>
      <c r="B427" s="1691"/>
      <c r="C427" s="297" t="s">
        <v>1053</v>
      </c>
      <c r="D427" s="4220"/>
      <c r="E427" s="4027"/>
      <c r="F427" s="4162"/>
      <c r="G427" s="334"/>
      <c r="H427" s="1410"/>
      <c r="I427" s="572"/>
      <c r="J427" s="496"/>
      <c r="K427" s="1410"/>
      <c r="L427" s="135"/>
      <c r="M427" s="268"/>
      <c r="N427" s="261"/>
      <c r="O427" s="1536"/>
      <c r="P427" s="1536"/>
    </row>
    <row r="428" spans="1:16" s="1923" customFormat="1" ht="18.75" hidden="1" customHeight="1">
      <c r="A428" s="1691" t="s">
        <v>250</v>
      </c>
      <c r="B428" s="1691" t="s">
        <v>251</v>
      </c>
      <c r="C428" s="297"/>
      <c r="D428" s="4220"/>
      <c r="E428" s="4027"/>
      <c r="F428" s="4162" t="str">
        <f>INDEX(PT_DIFFERENTIATION_VTAR,MATCH(A428,PT_DIFFERENTIATION_VTAR_ID,0))</f>
        <v>Тариф на подключение (технологическое присоединение) к централизованной системе горячего водоснабжения</v>
      </c>
      <c r="G428" s="4191" t="str">
        <f>INDEX(PT_DIFFERENTIATION_NTAR,MATCH(B428,PT_DIFFERENTIATION_NTAR_ID,0))</f>
        <v/>
      </c>
      <c r="H428" s="1773"/>
      <c r="I428" s="1649"/>
      <c r="J428" s="1684"/>
      <c r="K428" s="1689"/>
      <c r="L428" s="1773" t="s">
        <v>296</v>
      </c>
      <c r="M428" s="268"/>
      <c r="N428" s="261"/>
      <c r="O428" s="1536"/>
      <c r="P428" s="1536"/>
    </row>
    <row r="429" spans="1:16" s="1923" customFormat="1" ht="18.75" hidden="1" customHeight="1">
      <c r="A429" s="1691"/>
      <c r="B429" s="1691"/>
      <c r="C429" s="297" t="s">
        <v>1044</v>
      </c>
      <c r="D429" s="4220"/>
      <c r="E429" s="4027"/>
      <c r="F429" s="4162"/>
      <c r="G429" s="4191"/>
      <c r="H429" s="1410"/>
      <c r="I429" s="572" t="s">
        <v>1043</v>
      </c>
      <c r="J429" s="496"/>
      <c r="K429" s="1410"/>
      <c r="L429" s="135"/>
      <c r="M429" s="268"/>
      <c r="N429" s="261"/>
      <c r="O429" s="1536"/>
      <c r="P429" s="1536"/>
    </row>
    <row r="430" spans="1:16" s="1923" customFormat="1" ht="0.75" hidden="1" customHeight="1">
      <c r="A430" s="1691"/>
      <c r="B430" s="1691"/>
      <c r="C430" s="297" t="s">
        <v>1053</v>
      </c>
      <c r="D430" s="4220"/>
      <c r="E430" s="4027"/>
      <c r="F430" s="4162"/>
      <c r="G430" s="334"/>
      <c r="H430" s="1410"/>
      <c r="I430" s="572"/>
      <c r="J430" s="496"/>
      <c r="K430" s="1410"/>
      <c r="L430" s="135"/>
      <c r="M430" s="268"/>
      <c r="N430" s="261"/>
      <c r="O430" s="1536"/>
      <c r="P430" s="1536"/>
    </row>
    <row r="431" spans="1:16" s="1923" customFormat="1" ht="18.75" hidden="1" customHeight="1">
      <c r="A431" s="1691" t="s">
        <v>255</v>
      </c>
      <c r="B431" s="1691" t="s">
        <v>256</v>
      </c>
      <c r="C431" s="297"/>
      <c r="D431" s="4220"/>
      <c r="E431" s="4027"/>
      <c r="F431" s="4162" t="str">
        <f>INDEX(PT_DIFFERENTIATION_VTAR,MATCH(A431,PT_DIFFERENTIATION_VTAR_ID,0))</f>
        <v>Тариф на водоотведение</v>
      </c>
      <c r="G431" s="4191" t="str">
        <f>INDEX(PT_DIFFERENTIATION_NTAR,MATCH(B431,PT_DIFFERENTIATION_NTAR_ID,0))</f>
        <v/>
      </c>
      <c r="H431" s="1773"/>
      <c r="I431" s="1649"/>
      <c r="J431" s="1684"/>
      <c r="K431" s="1689"/>
      <c r="L431" s="1773" t="s">
        <v>296</v>
      </c>
      <c r="M431" s="268"/>
      <c r="N431" s="261"/>
      <c r="O431" s="1536"/>
      <c r="P431" s="1536"/>
    </row>
    <row r="432" spans="1:16" s="1923" customFormat="1" ht="18.75" hidden="1" customHeight="1">
      <c r="A432" s="1691"/>
      <c r="B432" s="1691"/>
      <c r="C432" s="297" t="s">
        <v>1044</v>
      </c>
      <c r="D432" s="4220"/>
      <c r="E432" s="4027"/>
      <c r="F432" s="4162"/>
      <c r="G432" s="4191"/>
      <c r="H432" s="1410"/>
      <c r="I432" s="572" t="s">
        <v>1043</v>
      </c>
      <c r="J432" s="496"/>
      <c r="K432" s="1410"/>
      <c r="L432" s="135"/>
      <c r="M432" s="268"/>
      <c r="N432" s="261"/>
      <c r="O432" s="1536"/>
      <c r="P432" s="1536"/>
    </row>
    <row r="433" spans="1:16" s="1923" customFormat="1" ht="0.75" hidden="1" customHeight="1">
      <c r="A433" s="1691"/>
      <c r="B433" s="1691"/>
      <c r="C433" s="297" t="s">
        <v>1053</v>
      </c>
      <c r="D433" s="4220"/>
      <c r="E433" s="4027"/>
      <c r="F433" s="4162"/>
      <c r="G433" s="334"/>
      <c r="H433" s="1410"/>
      <c r="I433" s="572"/>
      <c r="J433" s="496"/>
      <c r="K433" s="1410"/>
      <c r="L433" s="135"/>
      <c r="M433" s="268"/>
      <c r="N433" s="261"/>
      <c r="O433" s="1536"/>
      <c r="P433" s="1536"/>
    </row>
    <row r="434" spans="1:16" s="1923" customFormat="1" ht="18.75" hidden="1" customHeight="1">
      <c r="A434" s="1691" t="s">
        <v>260</v>
      </c>
      <c r="B434" s="1691" t="s">
        <v>261</v>
      </c>
      <c r="C434" s="297"/>
      <c r="D434" s="4220"/>
      <c r="E434" s="4027"/>
      <c r="F434" s="4162" t="str">
        <f>INDEX(PT_DIFFERENTIATION_VTAR,MATCH(A434,PT_DIFFERENTIATION_VTAR_ID,0))</f>
        <v>Тариф на транспортировку сточных вод</v>
      </c>
      <c r="G434" s="4191" t="str">
        <f>INDEX(PT_DIFFERENTIATION_NTAR,MATCH(B434,PT_DIFFERENTIATION_NTAR_ID,0))</f>
        <v/>
      </c>
      <c r="H434" s="1773"/>
      <c r="I434" s="1649"/>
      <c r="J434" s="1684"/>
      <c r="K434" s="1689"/>
      <c r="L434" s="1773" t="s">
        <v>296</v>
      </c>
      <c r="M434" s="268"/>
      <c r="N434" s="261"/>
      <c r="O434" s="1536"/>
      <c r="P434" s="1536"/>
    </row>
    <row r="435" spans="1:16" s="1923" customFormat="1" ht="18.75" hidden="1" customHeight="1">
      <c r="A435" s="1691"/>
      <c r="B435" s="1691"/>
      <c r="C435" s="297" t="s">
        <v>1044</v>
      </c>
      <c r="D435" s="4220"/>
      <c r="E435" s="4027"/>
      <c r="F435" s="4162"/>
      <c r="G435" s="4191"/>
      <c r="H435" s="1410"/>
      <c r="I435" s="572" t="s">
        <v>1043</v>
      </c>
      <c r="J435" s="496"/>
      <c r="K435" s="1410"/>
      <c r="L435" s="135"/>
      <c r="M435" s="268"/>
      <c r="N435" s="261"/>
      <c r="O435" s="1536"/>
      <c r="P435" s="1536"/>
    </row>
    <row r="436" spans="1:16" s="1923" customFormat="1" ht="0.75" hidden="1" customHeight="1">
      <c r="A436" s="1691"/>
      <c r="B436" s="1691"/>
      <c r="C436" s="297" t="s">
        <v>1053</v>
      </c>
      <c r="D436" s="4220"/>
      <c r="E436" s="4027"/>
      <c r="F436" s="4162"/>
      <c r="G436" s="334"/>
      <c r="H436" s="1410"/>
      <c r="I436" s="572"/>
      <c r="J436" s="496"/>
      <c r="K436" s="1410"/>
      <c r="L436" s="135"/>
      <c r="M436" s="268"/>
      <c r="N436" s="261"/>
      <c r="O436" s="1536"/>
      <c r="P436" s="1536"/>
    </row>
    <row r="437" spans="1:16" s="1923" customFormat="1" ht="18.75" hidden="1" customHeight="1">
      <c r="A437" s="1691" t="s">
        <v>265</v>
      </c>
      <c r="B437" s="1691" t="s">
        <v>266</v>
      </c>
      <c r="C437" s="297"/>
      <c r="D437" s="4220"/>
      <c r="E437" s="4027"/>
      <c r="F437" s="4162" t="str">
        <f>INDEX(PT_DIFFERENTIATION_VTAR,MATCH(A437,PT_DIFFERENTIATION_VTAR_ID,0))</f>
        <v>Тариф на подключение (технологическое присоединение) к централизованной системе водоотведения</v>
      </c>
      <c r="G437" s="4191" t="str">
        <f>INDEX(PT_DIFFERENTIATION_NTAR,MATCH(B437,PT_DIFFERENTIATION_NTAR_ID,0))</f>
        <v/>
      </c>
      <c r="H437" s="1773"/>
      <c r="I437" s="1649"/>
      <c r="J437" s="1684"/>
      <c r="K437" s="1689"/>
      <c r="L437" s="1773" t="s">
        <v>296</v>
      </c>
      <c r="M437" s="268"/>
      <c r="N437" s="261"/>
      <c r="O437" s="1536"/>
      <c r="P437" s="1536"/>
    </row>
    <row r="438" spans="1:16" s="1923" customFormat="1" ht="18.75" hidden="1" customHeight="1">
      <c r="A438" s="1691"/>
      <c r="B438" s="1691"/>
      <c r="C438" s="297" t="s">
        <v>1044</v>
      </c>
      <c r="D438" s="4220"/>
      <c r="E438" s="4027"/>
      <c r="F438" s="4162"/>
      <c r="G438" s="4191"/>
      <c r="H438" s="1410"/>
      <c r="I438" s="572" t="s">
        <v>1043</v>
      </c>
      <c r="J438" s="496"/>
      <c r="K438" s="1410"/>
      <c r="L438" s="135"/>
      <c r="M438" s="268"/>
      <c r="N438" s="261"/>
      <c r="O438" s="1536"/>
      <c r="P438" s="1536"/>
    </row>
    <row r="439" spans="1:16" s="1923" customFormat="1" ht="0.75" customHeight="1">
      <c r="A439" s="1691"/>
      <c r="B439" s="1691"/>
      <c r="C439" s="297" t="s">
        <v>1053</v>
      </c>
      <c r="D439" s="4220"/>
      <c r="E439" s="4027"/>
      <c r="F439" s="4162"/>
      <c r="G439" s="334"/>
      <c r="H439" s="1410"/>
      <c r="I439" s="572"/>
      <c r="J439" s="496"/>
      <c r="K439" s="1410"/>
      <c r="L439" s="135"/>
      <c r="M439" s="268"/>
      <c r="N439" s="261"/>
      <c r="O439" s="1536"/>
      <c r="P439" s="1536"/>
    </row>
    <row r="440" spans="1:16" s="3844" customFormat="1" ht="3" customHeight="1">
      <c r="A440" s="1691"/>
      <c r="B440" s="1691"/>
      <c r="C440" s="1692"/>
      <c r="E440" s="336"/>
      <c r="F440" s="336"/>
      <c r="G440" s="336"/>
      <c r="H440" s="336"/>
      <c r="I440" s="336"/>
      <c r="J440" s="336"/>
      <c r="K440" s="336"/>
      <c r="L440" s="336"/>
      <c r="M440" s="336"/>
      <c r="O440" s="117"/>
      <c r="P440" s="117"/>
    </row>
    <row r="441" spans="1:16" ht="24.75" customHeight="1">
      <c r="E441" s="123"/>
      <c r="F441" s="4094"/>
      <c r="G441" s="4094"/>
      <c r="H441" s="4094"/>
      <c r="I441" s="4094"/>
      <c r="J441" s="4094"/>
      <c r="K441" s="4094"/>
      <c r="L441" s="4094"/>
      <c r="M441" s="4094"/>
    </row>
  </sheetData>
  <sheetProtection formatColumns="0" formatRows="0" insertRows="0" deleteColumns="0" deleteRows="0" sort="0" autoFilter="0"/>
  <mergeCells count="408">
    <mergeCell ref="G2:G3"/>
    <mergeCell ref="G5:G6"/>
    <mergeCell ref="E14:L14"/>
    <mergeCell ref="G16:L16"/>
    <mergeCell ref="G17:L17"/>
    <mergeCell ref="E19:L19"/>
    <mergeCell ref="D24:D39"/>
    <mergeCell ref="M19:M21"/>
    <mergeCell ref="E20:E21"/>
    <mergeCell ref="F20:F21"/>
    <mergeCell ref="G20:G21"/>
    <mergeCell ref="H20:J20"/>
    <mergeCell ref="K20:K21"/>
    <mergeCell ref="L20:L21"/>
    <mergeCell ref="H21:I21"/>
    <mergeCell ref="H22:I22"/>
    <mergeCell ref="F23:L23"/>
    <mergeCell ref="G24:G38"/>
    <mergeCell ref="F24:F39"/>
    <mergeCell ref="E24:E39"/>
    <mergeCell ref="G40:G53"/>
    <mergeCell ref="G55:G56"/>
    <mergeCell ref="G58:G59"/>
    <mergeCell ref="G61:G62"/>
    <mergeCell ref="G64:G65"/>
    <mergeCell ref="D61:D63"/>
    <mergeCell ref="E61:E63"/>
    <mergeCell ref="F61:F63"/>
    <mergeCell ref="D64:D66"/>
    <mergeCell ref="E64:E66"/>
    <mergeCell ref="F64:F66"/>
    <mergeCell ref="D67:D69"/>
    <mergeCell ref="E67:E69"/>
    <mergeCell ref="F67:F69"/>
    <mergeCell ref="D40:D54"/>
    <mergeCell ref="E40:E54"/>
    <mergeCell ref="F40:F54"/>
    <mergeCell ref="D55:D57"/>
    <mergeCell ref="E55:E57"/>
    <mergeCell ref="F55:F57"/>
    <mergeCell ref="D58:D60"/>
    <mergeCell ref="E58:E60"/>
    <mergeCell ref="F58:F60"/>
    <mergeCell ref="D91:D93"/>
    <mergeCell ref="E91:E93"/>
    <mergeCell ref="F91:F93"/>
    <mergeCell ref="F441:M441"/>
    <mergeCell ref="F357:L357"/>
    <mergeCell ref="D358:D373"/>
    <mergeCell ref="E358:E373"/>
    <mergeCell ref="F358:F373"/>
    <mergeCell ref="D374:D388"/>
    <mergeCell ref="E374:E388"/>
    <mergeCell ref="F374:F388"/>
    <mergeCell ref="D389:D391"/>
    <mergeCell ref="D395:D397"/>
    <mergeCell ref="E395:E397"/>
    <mergeCell ref="F395:F397"/>
    <mergeCell ref="D398:D400"/>
    <mergeCell ref="E398:E400"/>
    <mergeCell ref="F398:F400"/>
    <mergeCell ref="E389:E391"/>
    <mergeCell ref="F389:F391"/>
    <mergeCell ref="D392:D394"/>
    <mergeCell ref="E392:E394"/>
    <mergeCell ref="D125:D139"/>
    <mergeCell ref="E125:E139"/>
    <mergeCell ref="G70:G71"/>
    <mergeCell ref="G73:G74"/>
    <mergeCell ref="G76:G77"/>
    <mergeCell ref="G79:G80"/>
    <mergeCell ref="M275:M291"/>
    <mergeCell ref="M109:M125"/>
    <mergeCell ref="F191:L191"/>
    <mergeCell ref="M192:M208"/>
    <mergeCell ref="F274:L274"/>
    <mergeCell ref="F73:F75"/>
    <mergeCell ref="F76:F78"/>
    <mergeCell ref="F97:F99"/>
    <mergeCell ref="F100:F102"/>
    <mergeCell ref="F125:F139"/>
    <mergeCell ref="F140:F142"/>
    <mergeCell ref="M24:M105"/>
    <mergeCell ref="G67:G68"/>
    <mergeCell ref="G173:G174"/>
    <mergeCell ref="G176:G177"/>
    <mergeCell ref="G179:G180"/>
    <mergeCell ref="G182:G183"/>
    <mergeCell ref="G223:G224"/>
    <mergeCell ref="G226:G227"/>
    <mergeCell ref="G229:G230"/>
    <mergeCell ref="D70:D72"/>
    <mergeCell ref="E70:E72"/>
    <mergeCell ref="F70:F72"/>
    <mergeCell ref="D85:D87"/>
    <mergeCell ref="E85:E87"/>
    <mergeCell ref="F85:F87"/>
    <mergeCell ref="D88:D90"/>
    <mergeCell ref="E88:E90"/>
    <mergeCell ref="F88:F90"/>
    <mergeCell ref="D79:D81"/>
    <mergeCell ref="E79:E81"/>
    <mergeCell ref="F79:F81"/>
    <mergeCell ref="D82:D84"/>
    <mergeCell ref="E82:E84"/>
    <mergeCell ref="F82:F84"/>
    <mergeCell ref="D73:D75"/>
    <mergeCell ref="E73:E75"/>
    <mergeCell ref="D76:D78"/>
    <mergeCell ref="E76:E78"/>
    <mergeCell ref="D94:D96"/>
    <mergeCell ref="E94:E96"/>
    <mergeCell ref="F94:F96"/>
    <mergeCell ref="F143:F145"/>
    <mergeCell ref="D146:D148"/>
    <mergeCell ref="E146:E148"/>
    <mergeCell ref="F146:F148"/>
    <mergeCell ref="D103:D105"/>
    <mergeCell ref="E103:E105"/>
    <mergeCell ref="F103:F105"/>
    <mergeCell ref="D109:D124"/>
    <mergeCell ref="E109:E124"/>
    <mergeCell ref="F109:F124"/>
    <mergeCell ref="D143:D145"/>
    <mergeCell ref="E143:E145"/>
    <mergeCell ref="F106:L106"/>
    <mergeCell ref="H107:I107"/>
    <mergeCell ref="F108:L108"/>
    <mergeCell ref="D97:D99"/>
    <mergeCell ref="E97:E99"/>
    <mergeCell ref="D100:D102"/>
    <mergeCell ref="E100:E102"/>
    <mergeCell ref="D140:D142"/>
    <mergeCell ref="E140:E142"/>
    <mergeCell ref="D155:D157"/>
    <mergeCell ref="E155:E157"/>
    <mergeCell ref="F155:F157"/>
    <mergeCell ref="D158:D160"/>
    <mergeCell ref="E158:E160"/>
    <mergeCell ref="F158:F160"/>
    <mergeCell ref="D149:D151"/>
    <mergeCell ref="E149:E151"/>
    <mergeCell ref="F149:F151"/>
    <mergeCell ref="D152:D154"/>
    <mergeCell ref="E152:E154"/>
    <mergeCell ref="F152:F154"/>
    <mergeCell ref="D161:D163"/>
    <mergeCell ref="E161:E163"/>
    <mergeCell ref="F161:F163"/>
    <mergeCell ref="D164:D166"/>
    <mergeCell ref="E164:E166"/>
    <mergeCell ref="F164:F166"/>
    <mergeCell ref="G164:G165"/>
    <mergeCell ref="G167:G168"/>
    <mergeCell ref="G170:G171"/>
    <mergeCell ref="D167:D169"/>
    <mergeCell ref="E167:E169"/>
    <mergeCell ref="F167:F169"/>
    <mergeCell ref="D170:D172"/>
    <mergeCell ref="E170:E172"/>
    <mergeCell ref="F170:F172"/>
    <mergeCell ref="D179:D181"/>
    <mergeCell ref="E179:E181"/>
    <mergeCell ref="F179:F181"/>
    <mergeCell ref="D182:D184"/>
    <mergeCell ref="E182:E184"/>
    <mergeCell ref="F182:F184"/>
    <mergeCell ref="D173:D175"/>
    <mergeCell ref="E173:E175"/>
    <mergeCell ref="F173:F175"/>
    <mergeCell ref="D176:D178"/>
    <mergeCell ref="E176:E178"/>
    <mergeCell ref="F176:F178"/>
    <mergeCell ref="G232:G233"/>
    <mergeCell ref="D208:D222"/>
    <mergeCell ref="E208:E222"/>
    <mergeCell ref="F208:F222"/>
    <mergeCell ref="D185:D187"/>
    <mergeCell ref="E185:E187"/>
    <mergeCell ref="F185:F187"/>
    <mergeCell ref="D188:D190"/>
    <mergeCell ref="E188:E190"/>
    <mergeCell ref="F188:F190"/>
    <mergeCell ref="D192:D207"/>
    <mergeCell ref="E192:E207"/>
    <mergeCell ref="F192:F207"/>
    <mergeCell ref="G185:G186"/>
    <mergeCell ref="G188:G189"/>
    <mergeCell ref="G192:G206"/>
    <mergeCell ref="G208:G221"/>
    <mergeCell ref="D229:D231"/>
    <mergeCell ref="E229:E231"/>
    <mergeCell ref="F229:F231"/>
    <mergeCell ref="D232:D234"/>
    <mergeCell ref="E232:E234"/>
    <mergeCell ref="F232:F234"/>
    <mergeCell ref="D223:D225"/>
    <mergeCell ref="E223:E225"/>
    <mergeCell ref="F223:F225"/>
    <mergeCell ref="D226:D228"/>
    <mergeCell ref="E226:E228"/>
    <mergeCell ref="F226:F228"/>
    <mergeCell ref="D235:D237"/>
    <mergeCell ref="E235:E237"/>
    <mergeCell ref="F235:F237"/>
    <mergeCell ref="D238:D240"/>
    <mergeCell ref="E238:E240"/>
    <mergeCell ref="F238:F240"/>
    <mergeCell ref="G235:G236"/>
    <mergeCell ref="G238:G239"/>
    <mergeCell ref="G241:G242"/>
    <mergeCell ref="G247:G248"/>
    <mergeCell ref="G250:G251"/>
    <mergeCell ref="G253:G254"/>
    <mergeCell ref="G256:G257"/>
    <mergeCell ref="D241:D243"/>
    <mergeCell ref="E241:E243"/>
    <mergeCell ref="F241:F243"/>
    <mergeCell ref="D244:D246"/>
    <mergeCell ref="E244:E246"/>
    <mergeCell ref="F244:F246"/>
    <mergeCell ref="G244:G245"/>
    <mergeCell ref="D253:D255"/>
    <mergeCell ref="E253:E255"/>
    <mergeCell ref="F253:F255"/>
    <mergeCell ref="D256:D258"/>
    <mergeCell ref="E256:E258"/>
    <mergeCell ref="F256:F258"/>
    <mergeCell ref="D247:D249"/>
    <mergeCell ref="E247:E249"/>
    <mergeCell ref="F247:F249"/>
    <mergeCell ref="D250:D252"/>
    <mergeCell ref="E250:E252"/>
    <mergeCell ref="F250:F252"/>
    <mergeCell ref="D259:D261"/>
    <mergeCell ref="E259:E261"/>
    <mergeCell ref="F259:F261"/>
    <mergeCell ref="D262:D264"/>
    <mergeCell ref="E262:E264"/>
    <mergeCell ref="F262:F264"/>
    <mergeCell ref="G259:G260"/>
    <mergeCell ref="G262:G263"/>
    <mergeCell ref="G265:G266"/>
    <mergeCell ref="G271:G272"/>
    <mergeCell ref="G275:G289"/>
    <mergeCell ref="G291:G304"/>
    <mergeCell ref="G306:G307"/>
    <mergeCell ref="D265:D267"/>
    <mergeCell ref="E265:E267"/>
    <mergeCell ref="F265:F267"/>
    <mergeCell ref="D268:D270"/>
    <mergeCell ref="E268:E270"/>
    <mergeCell ref="F268:F270"/>
    <mergeCell ref="G268:G269"/>
    <mergeCell ref="D291:D305"/>
    <mergeCell ref="E291:E305"/>
    <mergeCell ref="F291:F305"/>
    <mergeCell ref="D306:D308"/>
    <mergeCell ref="E306:E308"/>
    <mergeCell ref="F306:F308"/>
    <mergeCell ref="D271:D273"/>
    <mergeCell ref="E271:E273"/>
    <mergeCell ref="F271:F273"/>
    <mergeCell ref="D275:D290"/>
    <mergeCell ref="E275:E290"/>
    <mergeCell ref="F275:F290"/>
    <mergeCell ref="D309:D311"/>
    <mergeCell ref="E309:E311"/>
    <mergeCell ref="F309:F311"/>
    <mergeCell ref="D312:D314"/>
    <mergeCell ref="E312:E314"/>
    <mergeCell ref="F312:F314"/>
    <mergeCell ref="G309:G310"/>
    <mergeCell ref="G312:G313"/>
    <mergeCell ref="G315:G316"/>
    <mergeCell ref="G321:G322"/>
    <mergeCell ref="G324:G325"/>
    <mergeCell ref="G327:G328"/>
    <mergeCell ref="G330:G331"/>
    <mergeCell ref="D315:D317"/>
    <mergeCell ref="E315:E317"/>
    <mergeCell ref="F315:F317"/>
    <mergeCell ref="D318:D320"/>
    <mergeCell ref="E318:E320"/>
    <mergeCell ref="F318:F320"/>
    <mergeCell ref="G318:G319"/>
    <mergeCell ref="D327:D329"/>
    <mergeCell ref="E327:E329"/>
    <mergeCell ref="F327:F329"/>
    <mergeCell ref="D330:D332"/>
    <mergeCell ref="E330:E332"/>
    <mergeCell ref="F330:F332"/>
    <mergeCell ref="D321:D323"/>
    <mergeCell ref="E321:E323"/>
    <mergeCell ref="F321:F323"/>
    <mergeCell ref="D324:D326"/>
    <mergeCell ref="E324:E326"/>
    <mergeCell ref="F324:F326"/>
    <mergeCell ref="D333:D335"/>
    <mergeCell ref="E333:E335"/>
    <mergeCell ref="F333:F335"/>
    <mergeCell ref="D336:D338"/>
    <mergeCell ref="E336:E338"/>
    <mergeCell ref="F336:F338"/>
    <mergeCell ref="G333:G334"/>
    <mergeCell ref="G336:G337"/>
    <mergeCell ref="G339:G340"/>
    <mergeCell ref="G345:G346"/>
    <mergeCell ref="G348:G349"/>
    <mergeCell ref="G351:G352"/>
    <mergeCell ref="G354:G355"/>
    <mergeCell ref="D339:D341"/>
    <mergeCell ref="E339:E341"/>
    <mergeCell ref="F339:F341"/>
    <mergeCell ref="D342:D344"/>
    <mergeCell ref="E342:E344"/>
    <mergeCell ref="F342:F344"/>
    <mergeCell ref="G342:G343"/>
    <mergeCell ref="D351:D353"/>
    <mergeCell ref="E351:E353"/>
    <mergeCell ref="F351:F353"/>
    <mergeCell ref="D354:D356"/>
    <mergeCell ref="E354:E356"/>
    <mergeCell ref="F354:F356"/>
    <mergeCell ref="D345:D347"/>
    <mergeCell ref="E345:E347"/>
    <mergeCell ref="F345:F347"/>
    <mergeCell ref="D348:D350"/>
    <mergeCell ref="E348:E350"/>
    <mergeCell ref="F348:F350"/>
    <mergeCell ref="F413:F415"/>
    <mergeCell ref="D416:D418"/>
    <mergeCell ref="E416:E418"/>
    <mergeCell ref="F416:F418"/>
    <mergeCell ref="G413:G414"/>
    <mergeCell ref="G416:G417"/>
    <mergeCell ref="G419:G420"/>
    <mergeCell ref="G422:G423"/>
    <mergeCell ref="F392:F394"/>
    <mergeCell ref="D407:D409"/>
    <mergeCell ref="E407:E409"/>
    <mergeCell ref="F407:F409"/>
    <mergeCell ref="D410:D412"/>
    <mergeCell ref="E410:E412"/>
    <mergeCell ref="F410:F412"/>
    <mergeCell ref="D401:D403"/>
    <mergeCell ref="E401:E403"/>
    <mergeCell ref="F401:F403"/>
    <mergeCell ref="D404:D406"/>
    <mergeCell ref="E404:E406"/>
    <mergeCell ref="F404:F406"/>
    <mergeCell ref="G410:G411"/>
    <mergeCell ref="D437:D439"/>
    <mergeCell ref="E437:E439"/>
    <mergeCell ref="F437:F439"/>
    <mergeCell ref="M358:M374"/>
    <mergeCell ref="D431:D433"/>
    <mergeCell ref="E431:E433"/>
    <mergeCell ref="F431:F433"/>
    <mergeCell ref="D434:D436"/>
    <mergeCell ref="E434:E436"/>
    <mergeCell ref="F434:F436"/>
    <mergeCell ref="D425:D427"/>
    <mergeCell ref="E425:E427"/>
    <mergeCell ref="F425:F427"/>
    <mergeCell ref="D428:D430"/>
    <mergeCell ref="E428:E430"/>
    <mergeCell ref="F428:F430"/>
    <mergeCell ref="D419:D421"/>
    <mergeCell ref="E419:E421"/>
    <mergeCell ref="F419:F421"/>
    <mergeCell ref="D422:D424"/>
    <mergeCell ref="E422:E424"/>
    <mergeCell ref="F422:F424"/>
    <mergeCell ref="D413:D415"/>
    <mergeCell ref="E413:E415"/>
    <mergeCell ref="G82:G83"/>
    <mergeCell ref="G85:G86"/>
    <mergeCell ref="G88:G89"/>
    <mergeCell ref="G91:G92"/>
    <mergeCell ref="G94:G95"/>
    <mergeCell ref="G97:G98"/>
    <mergeCell ref="G100:G101"/>
    <mergeCell ref="G103:G104"/>
    <mergeCell ref="G109:G123"/>
    <mergeCell ref="G125:G138"/>
    <mergeCell ref="G140:G141"/>
    <mergeCell ref="G143:G144"/>
    <mergeCell ref="G146:G147"/>
    <mergeCell ref="G149:G150"/>
    <mergeCell ref="G152:G153"/>
    <mergeCell ref="G155:G156"/>
    <mergeCell ref="G158:G159"/>
    <mergeCell ref="G161:G162"/>
    <mergeCell ref="G425:G426"/>
    <mergeCell ref="G428:G429"/>
    <mergeCell ref="G431:G432"/>
    <mergeCell ref="G434:G435"/>
    <mergeCell ref="G437:G438"/>
    <mergeCell ref="G358:G372"/>
    <mergeCell ref="G374:G387"/>
    <mergeCell ref="G389:G390"/>
    <mergeCell ref="G392:G393"/>
    <mergeCell ref="G395:G396"/>
    <mergeCell ref="G398:G399"/>
    <mergeCell ref="G401:G402"/>
    <mergeCell ref="G404:G405"/>
    <mergeCell ref="G407:G408"/>
  </mergeCells>
  <dataValidations count="4">
    <dataValidation type="decimal" allowBlank="1" showErrorMessage="1" errorTitle="Ошибка" error="Допускается ввод только действительных чисел!" sqref="K275:K288 K291:K303 K306 K309 K312 K315 K318 K321 K324 K327 K330 K333 K336 K339 K342 K345 K348 K351 K10 K109:K122 K185 K182 K179 K176 K173 K170 K167 K164 K161 K158 K155 K152 K149 K146 K143 K140 K125:K137 K192:K205 K188 K208:K220 K223 K226 K229 K232 K235 K238 K241 K244 K247 K250 K253 K259 K262 K265 K268 K271 K256 K354 K358:K371 K374:K386 K389 K392 K395 K398 K401 K404 K407 K410 K413 K416 K419 K422 K425 K428 K431 K434 K437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92 M206 M275 M289 M23 M109 M123 M358 M37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0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64:J64 I24:J37 I40:J52 I55:J55 I58:J58 I61:J61 I67:J67 I70:J70 I73:J73 I76:J76 I79:J79 I82:J82 I85:J85 I88:J88 I91:J91 I94:J94 I97:J97 I100:J100 I275:J288 I291:J303 I306:J306 I309:J309 I312:J312 I315:J315 I318:J318 I321:J321 I324:J324 I327:J327 I330:J330 I333:J333 I336:J336 I339:J339 I342:J342 I345:J345 I348:J348 I8:J8 I103:J103 I188:J188 I125:J137 I140:J140 I143:J143 I146:J146 I149:J149 I152:J152 I155:J155 I158:J158 I161:J161 I164:J164 I167:J167 I170:J170 I173:J173 I176:J176 I179:J179 I182:J182 I185:J185 I192:J205 I109:J122 I208:J220 I223:J223 I226:J226 I229:J229 I232:J232 I235:J235 I238:J238 I241:J241 I244:J244 I247:J247 I250:J250 I253:J253 I259:J259 I262:J262 I265:J265 I268:J268 I271:J271 I256:J256 I351:J351 I354:J354 I358:J371 I374:J386 I389:J389 I392:J392 I395:J395 I398:J398 I401:J401 I404:J404 I407:J407 I410:J410 I413:J413 I416:J416 I419:J419 I422:J422 I425:J425 I428:J428 I431:J431 I434:J434 I437:J437 I2:J2 I5:J5"/>
  </dataValidations>
  <hyperlinks>
    <hyperlink ref="L107" r:id="rId1" tooltip="https://portal.eias.ru/Portal/DownloadPage.aspx?type=12&amp;guid=ea5940f9-62e9-4edf-a0e3-32bf9a024f1e"/>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election activeCell="E15" sqref="E15"/>
    </sheetView>
  </sheetViews>
  <sheetFormatPr defaultColWidth="10.5703125" defaultRowHeight="14.25" customHeight="1"/>
  <cols>
    <col min="1" max="1" width="9.140625" style="3858" hidden="1" customWidth="1"/>
    <col min="2" max="2" width="9.140625" style="3840" hidden="1" customWidth="1"/>
    <col min="3" max="3" width="3.7109375" style="3173" customWidth="1"/>
    <col min="4" max="4" width="6.28515625" style="3856" customWidth="1"/>
    <col min="5" max="5" width="66.7109375" style="3856" customWidth="1"/>
    <col min="6" max="7" width="35.7109375" style="3856" customWidth="1"/>
    <col min="8" max="8" width="89.5703125" style="3856" customWidth="1"/>
    <col min="9" max="9" width="10.5703125" style="3856"/>
    <col min="10" max="11" width="10.5703125" style="3841"/>
    <col min="12" max="17" width="10.5703125" style="3856"/>
  </cols>
  <sheetData>
    <row r="1" spans="1:17" ht="14.25" hidden="1" customHeight="1">
      <c r="N1" s="174"/>
      <c r="O1" s="174"/>
      <c r="Q1" s="174"/>
    </row>
    <row r="2" spans="1:17" s="1923" customFormat="1" ht="18.75" hidden="1" customHeight="1">
      <c r="A2" s="34"/>
      <c r="B2" s="1060"/>
      <c r="C2" s="1640" t="s">
        <v>417</v>
      </c>
      <c r="D2" s="1584"/>
      <c r="E2" s="1593"/>
      <c r="F2" s="176"/>
      <c r="G2" s="1061"/>
      <c r="H2" s="302"/>
      <c r="I2" s="1536"/>
      <c r="J2" s="1536"/>
    </row>
    <row r="3" spans="1:17" ht="14.25" hidden="1" customHeight="1"/>
    <row r="4" spans="1:17" ht="6" customHeight="1">
      <c r="C4" s="305"/>
      <c r="D4" s="290"/>
      <c r="E4" s="290"/>
      <c r="F4" s="290"/>
      <c r="G4" s="19"/>
      <c r="H4" s="19"/>
    </row>
    <row r="5" spans="1:17" ht="33" customHeight="1">
      <c r="C5" s="305"/>
      <c r="D5" s="397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3979"/>
      <c r="F5" s="3979"/>
      <c r="G5" s="3980"/>
      <c r="H5" s="185"/>
    </row>
    <row r="6" spans="1:17" s="1923" customFormat="1" ht="17.25" customHeight="1">
      <c r="A6" s="1580"/>
      <c r="B6" s="1060"/>
      <c r="C6" s="305"/>
      <c r="D6" s="4038" t="str">
        <f>IF(org=0,"Не определено",org)</f>
        <v>ООО «РИР-Сахалин»</v>
      </c>
      <c r="E6" s="4039"/>
      <c r="F6" s="4039"/>
      <c r="G6" s="4040"/>
      <c r="H6" s="185"/>
      <c r="J6" s="1536"/>
      <c r="K6" s="1536"/>
    </row>
    <row r="7" spans="1:17" ht="14.25" customHeight="1">
      <c r="C7" s="305"/>
      <c r="D7" s="290"/>
      <c r="E7" s="323"/>
      <c r="F7" s="323"/>
      <c r="G7" s="669"/>
      <c r="H7" s="114"/>
    </row>
    <row r="8" spans="1:17" ht="14.25" customHeight="1">
      <c r="C8" s="305"/>
      <c r="D8" s="4033" t="s">
        <v>290</v>
      </c>
      <c r="E8" s="4033"/>
      <c r="F8" s="4033"/>
      <c r="G8" s="4033"/>
      <c r="H8" s="4217" t="s">
        <v>291</v>
      </c>
    </row>
    <row r="9" spans="1:17" ht="14.25" customHeight="1">
      <c r="C9" s="305"/>
      <c r="D9" s="320" t="s">
        <v>86</v>
      </c>
      <c r="E9" s="39" t="s">
        <v>292</v>
      </c>
      <c r="F9" s="39" t="s">
        <v>293</v>
      </c>
      <c r="G9" s="39" t="s">
        <v>382</v>
      </c>
      <c r="H9" s="4217"/>
    </row>
    <row r="10" spans="1:17" ht="92.1" customHeight="1">
      <c r="A10" s="269"/>
      <c r="C10" s="305"/>
      <c r="D10" s="71" t="s">
        <v>107</v>
      </c>
      <c r="E10" s="179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6" t="s">
        <v>1054</v>
      </c>
      <c r="G10" s="134" t="s">
        <v>1055</v>
      </c>
      <c r="H10" s="3990" t="s">
        <v>1056</v>
      </c>
    </row>
    <row r="11" spans="1:17" ht="45.75" customHeight="1">
      <c r="A11" s="269"/>
      <c r="C11" s="305"/>
      <c r="D11" s="71" t="s">
        <v>108</v>
      </c>
      <c r="E11" s="179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6" t="s">
        <v>1057</v>
      </c>
      <c r="G11" s="134" t="s">
        <v>1057</v>
      </c>
      <c r="H11" s="3991"/>
    </row>
    <row r="12" spans="1:17" ht="19.899999999999999" customHeight="1">
      <c r="A12" s="34"/>
      <c r="C12" s="321"/>
      <c r="D12" s="71" t="s">
        <v>88</v>
      </c>
      <c r="E12" s="322" t="str">
        <f>"Сведения о планировании закупочных процедур"&amp;IF(TEMPLATE_SPHERE="TKO"," &lt;1&gt;","")</f>
        <v>Сведения о планировании закупочных процедур</v>
      </c>
      <c r="F12" s="176" t="s">
        <v>1057</v>
      </c>
      <c r="G12" s="134" t="s">
        <v>1057</v>
      </c>
      <c r="H12" s="399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5"/>
      <c r="K12" s="302"/>
    </row>
    <row r="13" spans="1:17" ht="19.899999999999999" customHeight="1">
      <c r="A13" s="34"/>
      <c r="C13" s="321"/>
      <c r="D13" s="71" t="s">
        <v>89</v>
      </c>
      <c r="E13" s="322" t="str">
        <f>"Сведения о результатах проведения закупочных процедур"&amp;IF(TEMPLATE_SPHERE="TKO"," &lt;1&gt;","")</f>
        <v>Сведения о результатах проведения закупочных процедур</v>
      </c>
      <c r="F13" s="176" t="s">
        <v>1058</v>
      </c>
      <c r="G13" s="3857" t="s">
        <v>1059</v>
      </c>
      <c r="H13" s="3991"/>
      <c r="I13" s="275"/>
      <c r="K13" s="302"/>
    </row>
    <row r="14" spans="1:17" ht="14.25" customHeight="1">
      <c r="A14" s="269"/>
      <c r="C14" s="305"/>
      <c r="D14" s="273"/>
      <c r="E14" s="329" t="s">
        <v>1020</v>
      </c>
      <c r="F14" s="274"/>
      <c r="G14" s="122"/>
      <c r="H14" s="3992"/>
    </row>
    <row r="15" spans="1:17" s="1923" customFormat="1" ht="14.25" customHeight="1">
      <c r="A15" s="269"/>
      <c r="B15" s="1060"/>
      <c r="C15" s="305"/>
      <c r="D15" s="330"/>
      <c r="E15" s="1588"/>
      <c r="F15" s="1589"/>
      <c r="G15" s="1590"/>
      <c r="H15" s="1591"/>
      <c r="J15" s="1536"/>
      <c r="K15" s="1536"/>
    </row>
    <row r="16" spans="1:17" ht="14.25" customHeight="1">
      <c r="D16" s="1592"/>
      <c r="E16" s="4094"/>
      <c r="F16" s="4094"/>
      <c r="G16" s="4094"/>
      <c r="H16" s="4094"/>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hyperlinks>
    <hyperlink ref="G10" r:id="rId1" tooltip="https://portal.eias.ru/Portal/DownloadPage.aspx?type=12&amp;guid=36d7fa92-9b52-4264-8068-e906ea5a6b35"/>
    <hyperlink ref="G13" r:id="rId2"/>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935" hidden="1" customWidth="1"/>
    <col min="2" max="2" width="9.140625" style="1937" hidden="1" customWidth="1"/>
    <col min="3" max="3" width="4.7109375" style="3824" customWidth="1"/>
    <col min="4" max="4" width="6.28515625" style="1937" customWidth="1"/>
    <col min="5" max="5" width="47.85546875" style="1937" customWidth="1"/>
    <col min="6" max="6" width="9.5703125" style="1937" customWidth="1"/>
    <col min="7" max="7" width="25.7109375" style="1824" hidden="1" customWidth="1"/>
    <col min="8" max="8" width="34" style="1824" hidden="1" customWidth="1"/>
    <col min="9" max="9" width="25.7109375" style="1937" customWidth="1"/>
    <col min="10" max="10" width="34" style="1937" customWidth="1"/>
    <col min="11" max="11" width="50.85546875" style="1825" customWidth="1"/>
    <col min="12" max="20" width="10.5703125" style="1937"/>
    <col min="21" max="21" width="10.5703125" style="3823"/>
  </cols>
  <sheetData>
    <row r="1" spans="1:21" s="1825" customFormat="1" ht="15" hidden="1" customHeight="1">
      <c r="C1" s="593"/>
      <c r="G1" s="351">
        <v>4</v>
      </c>
      <c r="I1" s="351">
        <v>4</v>
      </c>
      <c r="U1" s="353"/>
    </row>
    <row r="2" spans="1:21" s="1826" customFormat="1" ht="15" hidden="1" customHeight="1">
      <c r="A2" s="289"/>
      <c r="C2" s="97"/>
      <c r="D2" s="272"/>
      <c r="E2" s="594"/>
      <c r="F2" s="448"/>
      <c r="G2" s="537"/>
      <c r="H2" s="537"/>
      <c r="I2" s="537"/>
      <c r="J2" s="537"/>
      <c r="U2" s="595"/>
    </row>
    <row r="3" spans="1:21" s="1825" customFormat="1" ht="15" hidden="1" customHeight="1">
      <c r="C3" s="593"/>
      <c r="U3" s="353"/>
    </row>
    <row r="4" spans="1:21" ht="15" customHeight="1">
      <c r="C4" s="97"/>
      <c r="D4" s="435"/>
      <c r="E4" s="435"/>
      <c r="F4" s="435"/>
      <c r="G4" s="435"/>
      <c r="H4" s="435"/>
      <c r="I4" s="435"/>
      <c r="J4" s="435"/>
    </row>
    <row r="5" spans="1:21" ht="63" customHeight="1">
      <c r="C5" s="97"/>
      <c r="D5" s="4058" t="s">
        <v>1060</v>
      </c>
      <c r="E5" s="4058"/>
      <c r="F5" s="4058"/>
      <c r="G5" s="4058"/>
      <c r="H5" s="4058"/>
      <c r="I5" s="4058"/>
      <c r="J5" s="4058"/>
    </row>
    <row r="6" spans="1:21" ht="15" customHeight="1">
      <c r="C6" s="97"/>
      <c r="D6" s="4004" t="str">
        <f>IF(org=0,"Не определено",org)</f>
        <v>ООО «РИР-Сахалин»</v>
      </c>
      <c r="E6" s="4004"/>
      <c r="F6" s="4004"/>
      <c r="G6" s="4004"/>
      <c r="H6" s="4004"/>
      <c r="I6" s="4004"/>
      <c r="J6" s="4004"/>
      <c r="K6" s="462"/>
    </row>
    <row r="7" spans="1:21" ht="15" customHeight="1">
      <c r="C7" s="97"/>
      <c r="D7" s="669"/>
      <c r="E7" s="435"/>
      <c r="F7" s="435"/>
      <c r="G7" s="462">
        <v>22</v>
      </c>
      <c r="I7" s="462">
        <v>1</v>
      </c>
      <c r="J7" s="669"/>
    </row>
    <row r="8" spans="1:21" s="1824" customFormat="1" ht="0.75" customHeight="1">
      <c r="A8" s="676"/>
      <c r="C8" s="97"/>
      <c r="D8" s="435"/>
      <c r="E8" s="435"/>
      <c r="F8" s="435"/>
      <c r="G8" s="462"/>
      <c r="H8" s="669"/>
      <c r="I8" s="462" t="s">
        <v>115</v>
      </c>
      <c r="J8" s="669"/>
      <c r="K8" s="351"/>
      <c r="U8" s="596"/>
    </row>
    <row r="9" spans="1:21" ht="15" customHeight="1">
      <c r="C9" s="97"/>
      <c r="D9" s="630"/>
      <c r="E9" s="4148" t="s">
        <v>103</v>
      </c>
      <c r="F9" s="4149"/>
      <c r="G9" s="4169" t="str">
        <f>IF(G8="","",INDEX(DIFFERENTIATION_UNMERGE_VD,MATCH(G8,DIFFERENTIATION_ID_DIFF,0)))</f>
        <v/>
      </c>
      <c r="H9" s="4170"/>
      <c r="I9" s="4169">
        <f>IF(I8="","",INDEX(DIFFERENTIATION_UNMERGE_VD,MATCH(I8,DIFFERENTIATION_ID_DIFF,0)))</f>
        <v>0</v>
      </c>
      <c r="J9" s="4170"/>
      <c r="K9" s="4003" t="s">
        <v>291</v>
      </c>
    </row>
    <row r="10" spans="1:21" s="1824" customFormat="1" ht="15" customHeight="1">
      <c r="A10" s="676"/>
      <c r="C10" s="97"/>
      <c r="D10" s="630"/>
      <c r="E10" s="4148" t="s">
        <v>547</v>
      </c>
      <c r="F10" s="4149"/>
      <c r="G10" s="4169" t="str">
        <f>IF(G8="","",INDEX(DIFFERENTIATION_UNMERGE_AREA,MATCH(G8,DIFFERENTIATION_ID_DIFF,0)))</f>
        <v/>
      </c>
      <c r="H10" s="4170"/>
      <c r="I10" s="4169" t="str">
        <f>IF(I8="","",INDEX(DIFFERENTIATION_UNMERGE_AREA,MATCH(I8,DIFFERENTIATION_ID_DIFF,0)))</f>
        <v/>
      </c>
      <c r="J10" s="4170"/>
      <c r="K10" s="4022"/>
      <c r="U10" s="596"/>
    </row>
    <row r="11" spans="1:21" s="1824" customFormat="1" ht="15" customHeight="1">
      <c r="A11" s="676"/>
      <c r="C11" s="97"/>
      <c r="D11" s="630"/>
      <c r="E11" s="4148" t="s">
        <v>548</v>
      </c>
      <c r="F11" s="4149"/>
      <c r="G11" s="4169" t="str">
        <f>IF(G8="","",INDEX(DIFFERENTIATION_UNMERGE_SYSTEM,MATCH(G8,DIFFERENTIATION_ID_DIFF,0)))</f>
        <v/>
      </c>
      <c r="H11" s="4170"/>
      <c r="I11" s="4169" t="str">
        <f>IF(I8="","",INDEX(DIFFERENTIATION_UNMERGE_SYSTEM,MATCH(I8,DIFFERENTIATION_ID_DIFF,0)))</f>
        <v>без дифференциации</v>
      </c>
      <c r="J11" s="4170"/>
      <c r="K11" s="4022"/>
      <c r="U11" s="596"/>
    </row>
    <row r="12" spans="1:21" s="1824" customFormat="1" ht="15" customHeight="1">
      <c r="A12" s="676"/>
      <c r="C12" s="97"/>
      <c r="D12" s="4150" t="s">
        <v>290</v>
      </c>
      <c r="E12" s="4151"/>
      <c r="F12" s="4151"/>
      <c r="G12" s="800"/>
      <c r="H12" s="800"/>
      <c r="I12" s="800"/>
      <c r="J12" s="800"/>
      <c r="K12" s="4022"/>
      <c r="U12" s="596"/>
    </row>
    <row r="13" spans="1:21" ht="33.75" customHeight="1">
      <c r="C13" s="97"/>
      <c r="D13" s="722" t="s">
        <v>86</v>
      </c>
      <c r="E13" s="724" t="s">
        <v>292</v>
      </c>
      <c r="F13" s="724" t="s">
        <v>549</v>
      </c>
      <c r="G13" s="725" t="s">
        <v>293</v>
      </c>
      <c r="H13" s="724" t="s">
        <v>382</v>
      </c>
      <c r="I13" s="725" t="s">
        <v>293</v>
      </c>
      <c r="J13" s="724" t="s">
        <v>382</v>
      </c>
      <c r="K13" s="4053"/>
    </row>
    <row r="14" spans="1:21" ht="15" hidden="1" customHeight="1">
      <c r="C14" s="97"/>
      <c r="D14" s="516" t="s">
        <v>107</v>
      </c>
      <c r="E14" s="516" t="s">
        <v>108</v>
      </c>
      <c r="F14" s="516" t="s">
        <v>88</v>
      </c>
      <c r="G14" s="580" t="str">
        <f>G1&amp;".1"</f>
        <v>4.1</v>
      </c>
      <c r="H14" s="580"/>
      <c r="I14" s="580" t="str">
        <f>I1&amp;".1"</f>
        <v>4.1</v>
      </c>
      <c r="J14" s="580"/>
      <c r="K14" s="208"/>
    </row>
    <row r="15" spans="1:21" ht="22.5" hidden="1" customHeight="1">
      <c r="A15" s="431"/>
      <c r="C15" s="452"/>
      <c r="D15" s="447">
        <v>1</v>
      </c>
      <c r="E15" s="598" t="s">
        <v>706</v>
      </c>
      <c r="F15" s="447" t="s">
        <v>707</v>
      </c>
      <c r="G15" s="599"/>
      <c r="H15" s="599"/>
      <c r="I15" s="599"/>
      <c r="J15" s="599"/>
      <c r="K15" s="208" t="s">
        <v>708</v>
      </c>
    </row>
    <row r="16" spans="1:21" ht="22.5" hidden="1" customHeight="1">
      <c r="A16" s="431"/>
      <c r="C16" s="452"/>
      <c r="D16" s="447">
        <v>2</v>
      </c>
      <c r="E16" s="199" t="s">
        <v>709</v>
      </c>
      <c r="F16" s="447" t="s">
        <v>710</v>
      </c>
      <c r="G16" s="599"/>
      <c r="H16" s="599"/>
      <c r="I16" s="599"/>
      <c r="J16" s="599"/>
      <c r="K16" s="208" t="s">
        <v>711</v>
      </c>
    </row>
    <row r="17" spans="1:11" ht="123.75" hidden="1" customHeight="1">
      <c r="A17" s="431"/>
      <c r="C17" s="452"/>
      <c r="D17" s="447">
        <v>3</v>
      </c>
      <c r="E17" s="199" t="s">
        <v>1061</v>
      </c>
      <c r="F17" s="447" t="s">
        <v>296</v>
      </c>
      <c r="G17" s="599"/>
      <c r="H17" s="599"/>
      <c r="I17" s="599"/>
      <c r="J17" s="599"/>
      <c r="K17" s="208" t="s">
        <v>1062</v>
      </c>
    </row>
    <row r="18" spans="1:11" ht="45" customHeight="1">
      <c r="A18" s="431"/>
      <c r="C18" s="452"/>
      <c r="D18" s="447">
        <v>4</v>
      </c>
      <c r="E18" s="199" t="s">
        <v>712</v>
      </c>
      <c r="F18" s="447" t="s">
        <v>296</v>
      </c>
      <c r="G18" s="726" t="s">
        <v>296</v>
      </c>
      <c r="H18" s="727" t="s">
        <v>296</v>
      </c>
      <c r="I18" s="447" t="s">
        <v>296</v>
      </c>
      <c r="J18" s="503" t="s">
        <v>296</v>
      </c>
      <c r="K18" s="208" t="s">
        <v>1063</v>
      </c>
    </row>
    <row r="19" spans="1:11" ht="33.75" customHeight="1">
      <c r="A19" s="431"/>
      <c r="C19" s="452"/>
      <c r="D19" s="464" t="s">
        <v>650</v>
      </c>
      <c r="E19" s="484" t="s">
        <v>714</v>
      </c>
      <c r="F19" s="447" t="s">
        <v>715</v>
      </c>
      <c r="G19" s="734"/>
      <c r="H19" s="37"/>
      <c r="I19" s="734"/>
      <c r="J19" s="735"/>
      <c r="K19" s="600"/>
    </row>
    <row r="20" spans="1:11" ht="33.75" customHeight="1">
      <c r="A20" s="431"/>
      <c r="C20" s="452"/>
      <c r="D20" s="464" t="s">
        <v>693</v>
      </c>
      <c r="E20" s="484" t="s">
        <v>716</v>
      </c>
      <c r="F20" s="447" t="s">
        <v>717</v>
      </c>
      <c r="G20" s="734"/>
      <c r="H20" s="37"/>
      <c r="I20" s="734"/>
      <c r="J20" s="37"/>
      <c r="K20" s="600"/>
    </row>
    <row r="21" spans="1:11" ht="45" customHeight="1">
      <c r="A21" s="431"/>
      <c r="C21" s="452"/>
      <c r="D21" s="464" t="s">
        <v>696</v>
      </c>
      <c r="E21" s="484" t="s">
        <v>718</v>
      </c>
      <c r="F21" s="447" t="s">
        <v>554</v>
      </c>
      <c r="G21" s="601"/>
      <c r="H21" s="37"/>
      <c r="I21" s="601"/>
      <c r="J21" s="37"/>
      <c r="K21" s="600"/>
    </row>
    <row r="22" spans="1:11" ht="67.5" hidden="1" customHeight="1">
      <c r="A22" s="431"/>
      <c r="C22" s="452"/>
      <c r="D22" s="447">
        <v>5</v>
      </c>
      <c r="E22" s="199" t="s">
        <v>1064</v>
      </c>
      <c r="F22" s="447" t="s">
        <v>541</v>
      </c>
      <c r="G22" s="602"/>
      <c r="H22" s="603"/>
      <c r="I22" s="602"/>
      <c r="J22" s="603"/>
      <c r="K22" s="208" t="s">
        <v>1065</v>
      </c>
    </row>
    <row r="23" spans="1:11" ht="33.75" hidden="1" customHeight="1">
      <c r="C23" s="382"/>
      <c r="D23" s="447">
        <v>6</v>
      </c>
      <c r="E23" s="199" t="s">
        <v>1066</v>
      </c>
      <c r="F23" s="447" t="s">
        <v>1067</v>
      </c>
      <c r="G23" s="602"/>
      <c r="H23" s="602"/>
      <c r="I23" s="602"/>
      <c r="J23" s="602"/>
      <c r="K23" s="208" t="s">
        <v>1068</v>
      </c>
    </row>
    <row r="29" spans="1:11" ht="15" customHeight="1">
      <c r="J29" s="736"/>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3859" hidden="1"/>
    <col min="2" max="2" width="9.140625" style="3860" hidden="1"/>
    <col min="3" max="3" width="3.7109375" style="3861" customWidth="1"/>
    <col min="4" max="4" width="7" style="3864" customWidth="1"/>
    <col min="5" max="5" width="23.140625" style="3864" customWidth="1"/>
    <col min="6" max="6" width="16" style="3864" customWidth="1"/>
    <col min="7" max="7" width="14.85546875" style="3864" customWidth="1"/>
    <col min="8" max="8" width="47.85546875" style="3864" customWidth="1"/>
    <col min="9" max="9" width="115.7109375" style="3864" customWidth="1"/>
    <col min="10" max="10" width="3.7109375" style="3864" customWidth="1"/>
    <col min="11" max="12" width="9.140625" style="3864"/>
  </cols>
  <sheetData>
    <row r="1" spans="1:12" ht="14.25" hidden="1" customHeight="1"/>
    <row r="2" spans="1:12" ht="14.25" hidden="1" customHeight="1"/>
    <row r="3" spans="1:12" ht="14.25" hidden="1" customHeight="1"/>
    <row r="4" spans="1:12" ht="3" customHeight="1"/>
    <row r="5" spans="1:12" s="1835" customFormat="1" ht="30" customHeight="1">
      <c r="A5" s="45"/>
      <c r="C5" s="24"/>
      <c r="D5" s="3922" t="s">
        <v>1069</v>
      </c>
      <c r="E5" s="3922"/>
      <c r="F5" s="3922"/>
      <c r="G5" s="3922"/>
      <c r="H5" s="3922"/>
      <c r="I5" s="184"/>
    </row>
    <row r="6" spans="1:12" ht="3" hidden="1" customHeight="1">
      <c r="D6" s="49"/>
      <c r="E6" s="49"/>
      <c r="F6" s="49"/>
      <c r="G6" s="49"/>
      <c r="H6" s="49"/>
      <c r="I6" s="49"/>
    </row>
    <row r="7" spans="1:12" s="3859" customFormat="1" ht="14.25" customHeight="1">
      <c r="B7" s="46"/>
      <c r="C7" s="47"/>
      <c r="D7" s="50"/>
      <c r="E7" s="50"/>
      <c r="F7" s="50"/>
      <c r="G7" s="50"/>
      <c r="H7" s="669"/>
      <c r="I7" s="50"/>
      <c r="J7" s="51"/>
    </row>
    <row r="8" spans="1:12" ht="14.25" customHeight="1">
      <c r="D8" s="4033" t="s">
        <v>290</v>
      </c>
      <c r="E8" s="4033"/>
      <c r="F8" s="4033"/>
      <c r="G8" s="4033"/>
      <c r="H8" s="4033"/>
      <c r="I8" s="4033" t="s">
        <v>291</v>
      </c>
    </row>
    <row r="9" spans="1:12" ht="27.75" customHeight="1">
      <c r="D9" s="4033" t="s">
        <v>86</v>
      </c>
      <c r="E9" s="4033" t="s">
        <v>1070</v>
      </c>
      <c r="F9" s="4033"/>
      <c r="G9" s="4033"/>
      <c r="H9" s="4033"/>
      <c r="I9" s="4033"/>
    </row>
    <row r="10" spans="1:12" ht="22.5" customHeight="1">
      <c r="D10" s="4033"/>
      <c r="E10" s="54" t="s">
        <v>1071</v>
      </c>
      <c r="F10" s="54" t="s">
        <v>1072</v>
      </c>
      <c r="G10" s="54" t="s">
        <v>1073</v>
      </c>
      <c r="H10" s="54" t="s">
        <v>382</v>
      </c>
      <c r="I10" s="4033"/>
    </row>
    <row r="11" spans="1:12" ht="12" hidden="1" customHeight="1">
      <c r="D11" s="21" t="s">
        <v>107</v>
      </c>
      <c r="E11" s="21" t="s">
        <v>89</v>
      </c>
      <c r="F11" s="21" t="s">
        <v>109</v>
      </c>
      <c r="G11" s="21" t="s">
        <v>90</v>
      </c>
      <c r="H11" s="21" t="s">
        <v>91</v>
      </c>
      <c r="I11" s="21" t="s">
        <v>110</v>
      </c>
    </row>
    <row r="12" spans="1:12" s="3862" customFormat="1" ht="24.75" customHeight="1">
      <c r="A12" s="69" t="s">
        <v>88</v>
      </c>
      <c r="B12" s="52" t="s">
        <v>24</v>
      </c>
      <c r="C12" s="53"/>
      <c r="D12" s="55" t="s">
        <v>107</v>
      </c>
      <c r="E12" s="315"/>
      <c r="F12" s="315"/>
      <c r="G12" s="1644" t="s">
        <v>24</v>
      </c>
      <c r="H12" s="316"/>
      <c r="I12" s="3990" t="s">
        <v>1074</v>
      </c>
      <c r="K12" s="191"/>
      <c r="L12" s="192"/>
    </row>
    <row r="13" spans="1:12" ht="15" customHeight="1">
      <c r="A13" s="48"/>
      <c r="B13" s="48"/>
      <c r="C13" s="48"/>
      <c r="D13" s="40"/>
      <c r="E13" s="57" t="s">
        <v>458</v>
      </c>
      <c r="F13" s="56"/>
      <c r="G13" s="56"/>
      <c r="H13" s="135"/>
      <c r="I13" s="3992"/>
    </row>
    <row r="14" spans="1:12" ht="3" customHeight="1">
      <c r="A14" s="48"/>
      <c r="B14" s="48"/>
      <c r="C14" s="48"/>
    </row>
    <row r="15" spans="1:12" ht="27.75" customHeight="1">
      <c r="E15" s="4229" t="s">
        <v>1075</v>
      </c>
      <c r="F15" s="4229"/>
      <c r="G15" s="4229"/>
      <c r="H15" s="4229"/>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abSelected="1" topLeftCell="C6" zoomScale="90" workbookViewId="0">
      <selection activeCell="E12" sqref="E12"/>
    </sheetView>
  </sheetViews>
  <sheetFormatPr defaultColWidth="9.140625" defaultRowHeight="14.25" customHeight="1"/>
  <cols>
    <col min="1" max="2" width="9.140625" style="3865" hidden="1"/>
    <col min="3" max="3" width="3.7109375" style="3866" customWidth="1"/>
    <col min="4" max="4" width="6.28515625" style="3865" customWidth="1"/>
    <col min="5" max="5" width="94.85546875" style="3865" customWidth="1"/>
    <col min="6" max="9" width="9.140625" style="3865"/>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4230" t="s">
        <v>1076</v>
      </c>
      <c r="E7" s="4231"/>
      <c r="F7" s="186"/>
    </row>
    <row r="8" spans="3:9" ht="3" customHeight="1">
      <c r="C8" s="25"/>
      <c r="D8" s="6"/>
      <c r="E8" s="6"/>
    </row>
    <row r="9" spans="3:9" ht="15.75" customHeight="1">
      <c r="C9" s="25"/>
      <c r="D9" s="36" t="s">
        <v>86</v>
      </c>
      <c r="E9" s="179" t="s">
        <v>1077</v>
      </c>
    </row>
    <row r="10" spans="3:9" ht="0.75" customHeight="1">
      <c r="C10" s="25"/>
      <c r="D10" s="21"/>
      <c r="E10" s="21"/>
    </row>
    <row r="11" spans="3:9" ht="11.25" hidden="1" customHeight="1">
      <c r="C11" s="25"/>
      <c r="D11" s="74">
        <v>0</v>
      </c>
      <c r="E11" s="180"/>
    </row>
    <row r="12" spans="3:9" ht="42.6" customHeight="1">
      <c r="C12" s="62"/>
      <c r="D12" s="43">
        <v>1</v>
      </c>
      <c r="E12" s="308" t="s">
        <v>1078</v>
      </c>
    </row>
    <row r="13" spans="3:9" ht="12" customHeight="1">
      <c r="C13" s="25"/>
      <c r="D13" s="181"/>
      <c r="E13" s="182" t="s">
        <v>1079</v>
      </c>
    </row>
    <row r="14" spans="3:9" ht="3" customHeight="1"/>
    <row r="15" spans="3:9" ht="22.5" customHeight="1">
      <c r="C15" s="63"/>
      <c r="D15" s="4229" t="s">
        <v>1080</v>
      </c>
      <c r="E15" s="4229"/>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926" hidden="1" customWidth="1"/>
    <col min="3" max="3" width="3.7109375" style="1928" customWidth="1"/>
    <col min="4" max="4" width="6.85546875" style="1929" customWidth="1"/>
    <col min="5" max="5" width="52.28515625" style="1928" customWidth="1"/>
    <col min="6" max="6" width="48.85546875" style="1928" customWidth="1"/>
    <col min="7" max="7" width="93.42578125" style="1928" customWidth="1"/>
    <col min="8" max="8" width="9.140625" style="1928"/>
    <col min="9" max="9" width="65" style="1928" customWidth="1"/>
  </cols>
  <sheetData>
    <row r="1" spans="1:9" ht="11.25" hidden="1" customHeight="1">
      <c r="A1" s="427" t="s">
        <v>289</v>
      </c>
    </row>
    <row r="2" spans="1:9" ht="22.5" hidden="1" customHeight="1">
      <c r="A2" s="428"/>
      <c r="B2" s="428"/>
      <c r="C2" s="385"/>
      <c r="D2" s="1430"/>
      <c r="E2" s="1436"/>
      <c r="F2" s="1464"/>
      <c r="H2" s="402"/>
    </row>
    <row r="3" spans="1:9" ht="11.25" hidden="1" customHeight="1"/>
    <row r="4" spans="1:9" ht="11.25" customHeight="1">
      <c r="A4" s="1465"/>
      <c r="B4" s="1465"/>
    </row>
    <row r="5" spans="1:9" ht="24" customHeight="1">
      <c r="D5" s="3939"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3940"/>
      <c r="F5" s="3941"/>
      <c r="I5" s="634"/>
    </row>
    <row r="6" spans="1:9" ht="17.25" customHeight="1">
      <c r="D6" s="4004" t="str">
        <f>IF(region_name=0,"Не определено",region_name)</f>
        <v>Сахалинская область</v>
      </c>
      <c r="E6" s="4004"/>
      <c r="F6" s="4004"/>
      <c r="I6" s="634"/>
    </row>
    <row r="7" spans="1:9" s="1925" customFormat="1" ht="11.25" customHeight="1">
      <c r="A7" s="427"/>
      <c r="B7" s="427"/>
      <c r="D7" s="633"/>
      <c r="E7" s="633"/>
      <c r="F7" s="669"/>
      <c r="G7" s="633"/>
    </row>
    <row r="8" spans="1:9" ht="11.25" hidden="1" customHeight="1">
      <c r="A8" s="428"/>
      <c r="B8" s="428"/>
      <c r="C8" s="385"/>
      <c r="D8" s="390"/>
      <c r="E8" s="4031"/>
      <c r="F8" s="4031"/>
    </row>
    <row r="9" spans="1:9" ht="11.25" customHeight="1">
      <c r="A9" s="428"/>
      <c r="B9" s="428"/>
      <c r="C9" s="385"/>
      <c r="D9" s="4027" t="s">
        <v>290</v>
      </c>
      <c r="E9" s="4028"/>
      <c r="F9" s="4028"/>
      <c r="G9" s="4032" t="s">
        <v>291</v>
      </c>
    </row>
    <row r="10" spans="1:9" ht="11.25" customHeight="1">
      <c r="A10" s="428"/>
      <c r="B10" s="428"/>
      <c r="C10" s="385"/>
      <c r="D10" s="1384" t="s">
        <v>86</v>
      </c>
      <c r="E10" s="1386" t="s">
        <v>292</v>
      </c>
      <c r="F10" s="1386" t="s">
        <v>293</v>
      </c>
      <c r="G10" s="4033"/>
    </row>
    <row r="11" spans="1:9" ht="0.75" customHeight="1">
      <c r="A11" s="428"/>
      <c r="B11" s="428"/>
      <c r="C11" s="385"/>
      <c r="D11" s="391"/>
      <c r="E11" s="391"/>
      <c r="F11" s="391"/>
      <c r="G11" s="391"/>
    </row>
    <row r="12" spans="1:9" ht="22.5" customHeight="1">
      <c r="A12" s="428"/>
      <c r="B12" s="428"/>
      <c r="C12" s="385"/>
      <c r="D12" s="1430">
        <v>1</v>
      </c>
      <c r="E12" s="401" t="s">
        <v>1081</v>
      </c>
      <c r="F12" s="1770" t="str">
        <f>IF(org="","",org)</f>
        <v>ООО «РИР-Сахалин»</v>
      </c>
      <c r="G12" s="401" t="s">
        <v>1082</v>
      </c>
      <c r="H12" s="1442"/>
    </row>
    <row r="13" spans="1:9" ht="18.75" customHeight="1">
      <c r="A13" s="428"/>
      <c r="B13" s="428"/>
      <c r="C13" s="385"/>
      <c r="D13" s="1430">
        <v>2</v>
      </c>
      <c r="E13" s="1437" t="s">
        <v>1083</v>
      </c>
      <c r="F13" s="1431" t="s">
        <v>296</v>
      </c>
      <c r="G13" s="401"/>
      <c r="H13" s="1442"/>
    </row>
    <row r="14" spans="1:9" ht="18.75" customHeight="1">
      <c r="A14" s="428"/>
      <c r="B14" s="428"/>
      <c r="C14" s="385"/>
      <c r="D14" s="1433" t="s">
        <v>605</v>
      </c>
      <c r="E14" s="1434" t="s">
        <v>1084</v>
      </c>
      <c r="F14" s="1436"/>
      <c r="G14" s="1435" t="s">
        <v>1085</v>
      </c>
      <c r="H14" s="1442"/>
    </row>
    <row r="15" spans="1:9" ht="18.75" customHeight="1">
      <c r="A15" s="428"/>
      <c r="B15" s="428"/>
      <c r="C15" s="385"/>
      <c r="D15" s="1433" t="s">
        <v>297</v>
      </c>
      <c r="E15" s="1434" t="s">
        <v>1086</v>
      </c>
      <c r="F15" s="1436"/>
      <c r="G15" s="1435" t="s">
        <v>1087</v>
      </c>
      <c r="H15" s="1442"/>
    </row>
    <row r="16" spans="1:9" ht="36.75" customHeight="1">
      <c r="A16" s="428"/>
      <c r="B16" s="428"/>
      <c r="C16" s="385"/>
      <c r="D16" s="1433" t="s">
        <v>300</v>
      </c>
      <c r="E16" s="1432" t="s">
        <v>1088</v>
      </c>
      <c r="F16" s="1440"/>
      <c r="G16" s="401" t="s">
        <v>1089</v>
      </c>
      <c r="H16" s="1442"/>
    </row>
    <row r="17" spans="1:9" ht="45" customHeight="1">
      <c r="A17" s="428"/>
      <c r="B17" s="428"/>
      <c r="C17" s="385"/>
      <c r="D17" s="1430">
        <v>3</v>
      </c>
      <c r="E17" s="1437" t="s">
        <v>1090</v>
      </c>
      <c r="F17" s="1436"/>
      <c r="G17" s="401" t="s">
        <v>1091</v>
      </c>
      <c r="H17" s="1442"/>
    </row>
    <row r="18" spans="1:9" ht="45" customHeight="1">
      <c r="A18" s="1385">
        <v>1</v>
      </c>
      <c r="B18" s="428"/>
      <c r="C18" s="1387"/>
      <c r="D18" s="1430" t="s">
        <v>89</v>
      </c>
      <c r="E18" s="1437" t="s">
        <v>1092</v>
      </c>
      <c r="F18" s="1436"/>
      <c r="G18" s="401" t="s">
        <v>1091</v>
      </c>
      <c r="H18" s="1442"/>
      <c r="I18" s="765"/>
    </row>
    <row r="19" spans="1:9" ht="22.5" customHeight="1">
      <c r="A19" s="428"/>
      <c r="B19" s="428"/>
      <c r="C19" s="385"/>
      <c r="D19" s="1430" t="s">
        <v>109</v>
      </c>
      <c r="E19" s="1437" t="s">
        <v>1093</v>
      </c>
      <c r="F19" s="1431" t="s">
        <v>296</v>
      </c>
      <c r="G19" s="4232" t="s">
        <v>1094</v>
      </c>
      <c r="H19" s="402"/>
    </row>
    <row r="20" spans="1:9" s="3867" customFormat="1" ht="5.25" hidden="1" customHeight="1">
      <c r="A20" s="428"/>
      <c r="B20" s="428"/>
      <c r="C20" s="1439"/>
      <c r="D20" s="1438" t="s">
        <v>1013</v>
      </c>
      <c r="E20" s="921"/>
      <c r="F20" s="920"/>
      <c r="G20" s="4233"/>
    </row>
    <row r="21" spans="1:9" ht="15" customHeight="1">
      <c r="A21" s="428"/>
      <c r="B21" s="428"/>
      <c r="C21" s="385"/>
      <c r="D21" s="394"/>
      <c r="E21" s="349" t="s">
        <v>331</v>
      </c>
      <c r="F21" s="396"/>
      <c r="G21" s="4234"/>
      <c r="H21" s="1442"/>
    </row>
    <row r="22" spans="1:9" s="1926" customFormat="1" ht="24.75" customHeight="1">
      <c r="A22" s="428"/>
      <c r="B22" s="428"/>
      <c r="C22" s="428"/>
      <c r="D22" s="1430" t="s">
        <v>90</v>
      </c>
      <c r="E22" s="401" t="s">
        <v>1095</v>
      </c>
      <c r="F22" s="1436"/>
      <c r="G22" s="401" t="s">
        <v>1096</v>
      </c>
      <c r="H22" s="1441"/>
    </row>
    <row r="23" spans="1:9" s="1926" customFormat="1" ht="18.75" customHeight="1">
      <c r="A23" s="428"/>
      <c r="B23" s="428"/>
      <c r="C23" s="428"/>
      <c r="D23" s="1430" t="s">
        <v>91</v>
      </c>
      <c r="E23" s="1437" t="s">
        <v>1097</v>
      </c>
      <c r="F23" s="1440"/>
      <c r="G23" s="401" t="s">
        <v>1098</v>
      </c>
      <c r="H23" s="1441"/>
    </row>
    <row r="24" spans="1:9" ht="11.25" customHeight="1">
      <c r="A24" s="428"/>
      <c r="B24" s="428"/>
      <c r="C24" s="385"/>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20" hidden="1"/>
    <col min="2" max="2" width="9.140625" style="2553" hidden="1"/>
    <col min="3" max="3" width="3.7109375" style="1920" hidden="1" customWidth="1"/>
    <col min="4" max="4" width="3.85546875" style="1936" customWidth="1"/>
    <col min="5" max="5" width="6.28515625" style="1920" customWidth="1"/>
    <col min="6" max="6" width="46.7109375" style="1920" customWidth="1"/>
    <col min="7" max="8" width="16.7109375" style="1920" customWidth="1"/>
    <col min="9" max="9" width="35.28515625" style="1920" customWidth="1"/>
    <col min="10" max="10" width="89.5703125" style="1920" customWidth="1"/>
    <col min="11" max="11" width="3.7109375" style="1831" customWidth="1"/>
    <col min="12" max="14" width="9.140625" style="1831"/>
    <col min="15" max="15" width="25.7109375" style="1828" customWidth="1"/>
    <col min="16" max="16" width="14.42578125" style="1831" customWidth="1"/>
    <col min="17" max="20" width="9.140625" style="1829"/>
    <col min="21" max="254" width="9.140625" style="1920"/>
  </cols>
  <sheetData>
    <row r="1" spans="1:254" ht="14.25" hidden="1" customHeight="1"/>
    <row r="2" spans="1:254" s="1832" customFormat="1" ht="22.5" hidden="1" customHeight="1">
      <c r="A2" s="748"/>
      <c r="B2" s="1060">
        <v>1</v>
      </c>
      <c r="C2" s="1060"/>
      <c r="D2" s="718"/>
      <c r="E2" s="1394"/>
      <c r="F2" s="1401"/>
      <c r="G2" s="1401"/>
      <c r="H2" s="1401"/>
      <c r="I2" s="1447"/>
      <c r="J2" s="149"/>
      <c r="K2" s="1444" t="e">
        <f ca="1">MERGEVALUE(F2)</f>
        <v>#NAME?</v>
      </c>
      <c r="L2" s="437"/>
      <c r="M2" s="437"/>
      <c r="N2" s="426" t="str">
        <f t="array" ref="N2">IF(ISERROR(MATCH(MID(O2,1,250),MID(note_ter,1,250),0)),"n","y")</f>
        <v>n</v>
      </c>
      <c r="O2" s="437"/>
      <c r="P2" s="426" t="str">
        <f>G2&amp;"("&amp;J2&amp;")"</f>
        <v>()</v>
      </c>
      <c r="Q2" s="1060"/>
      <c r="R2" s="1060"/>
      <c r="S2" s="353"/>
      <c r="T2" s="1060"/>
      <c r="U2" s="1060"/>
      <c r="V2" s="1060"/>
      <c r="W2" s="355"/>
      <c r="X2" s="355"/>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5"/>
      <c r="BU2" s="355"/>
      <c r="BV2" s="355"/>
      <c r="BW2" s="355"/>
      <c r="BX2" s="355"/>
      <c r="BY2" s="355"/>
      <c r="BZ2" s="355"/>
      <c r="CA2" s="355"/>
      <c r="CB2" s="355"/>
      <c r="CC2" s="355"/>
    </row>
    <row r="3" spans="1:254" s="1821" customFormat="1" ht="5.25" hidden="1" customHeight="1">
      <c r="A3" s="422"/>
      <c r="D3" s="420"/>
      <c r="F3" s="166" t="s">
        <v>81</v>
      </c>
      <c r="G3" s="420" t="s">
        <v>82</v>
      </c>
      <c r="H3" s="420"/>
      <c r="I3" s="420"/>
      <c r="J3" s="148" t="s">
        <v>83</v>
      </c>
      <c r="K3" s="166" t="s">
        <v>81</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30" customFormat="1" ht="14.25" customHeight="1">
      <c r="A4" s="1055"/>
      <c r="B4" s="1060"/>
      <c r="C4" s="1055"/>
      <c r="D4" s="1405"/>
      <c r="E4" s="435"/>
      <c r="F4" s="435"/>
      <c r="G4" s="435"/>
      <c r="H4" s="435"/>
      <c r="I4" s="435"/>
      <c r="J4" s="87"/>
      <c r="K4" s="166"/>
      <c r="L4" s="426"/>
      <c r="M4" s="426"/>
      <c r="N4" s="426"/>
      <c r="O4" s="147"/>
      <c r="P4" s="426"/>
      <c r="Q4" s="146"/>
      <c r="R4" s="146"/>
      <c r="S4" s="146"/>
      <c r="T4" s="146"/>
    </row>
    <row r="5" spans="1:254" s="1830" customFormat="1" ht="25.5" customHeight="1">
      <c r="A5" s="1055"/>
      <c r="B5" s="1060"/>
      <c r="C5" s="1055"/>
      <c r="D5" s="1405"/>
      <c r="E5" s="3922"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3922"/>
      <c r="G5" s="3922"/>
      <c r="H5" s="3922"/>
      <c r="I5" s="3922"/>
      <c r="J5" s="3922"/>
      <c r="K5" s="166"/>
      <c r="L5" s="426"/>
      <c r="M5" s="426"/>
      <c r="N5" s="426"/>
      <c r="O5" s="147"/>
      <c r="P5" s="426"/>
      <c r="Q5" s="146"/>
      <c r="R5" s="146"/>
      <c r="S5" s="146"/>
      <c r="T5" s="146"/>
    </row>
    <row r="6" spans="1:254" s="1830" customFormat="1" ht="14.25" customHeight="1">
      <c r="A6" s="1055"/>
      <c r="B6" s="1060"/>
      <c r="C6" s="1055"/>
      <c r="D6" s="1405"/>
      <c r="E6" s="435"/>
      <c r="F6" s="88"/>
      <c r="G6" s="88"/>
      <c r="H6" s="88"/>
      <c r="I6" s="88"/>
      <c r="J6" s="89"/>
      <c r="K6" s="426"/>
      <c r="L6" s="426"/>
      <c r="M6" s="426"/>
      <c r="N6" s="426"/>
      <c r="O6" s="147"/>
      <c r="P6" s="426"/>
      <c r="Q6" s="146"/>
      <c r="R6" s="146"/>
      <c r="S6" s="146"/>
      <c r="T6" s="146"/>
    </row>
    <row r="7" spans="1:254" s="1830" customFormat="1" ht="14.25" customHeight="1">
      <c r="A7" s="1055"/>
      <c r="B7" s="1060"/>
      <c r="C7" s="1055"/>
      <c r="D7" s="1405"/>
      <c r="E7" s="3918" t="s">
        <v>290</v>
      </c>
      <c r="F7" s="3923"/>
      <c r="G7" s="3923"/>
      <c r="H7" s="3923"/>
      <c r="I7" s="3923"/>
      <c r="J7" s="4235" t="s">
        <v>291</v>
      </c>
      <c r="K7" s="426"/>
      <c r="L7" s="426"/>
      <c r="M7" s="426"/>
      <c r="N7" s="426"/>
      <c r="O7" s="147"/>
      <c r="P7" s="426"/>
      <c r="Q7" s="146"/>
      <c r="R7" s="146"/>
      <c r="S7" s="146"/>
      <c r="T7" s="146"/>
    </row>
    <row r="8" spans="1:254" s="1830" customFormat="1" ht="20.25" customHeight="1">
      <c r="A8" s="1055"/>
      <c r="B8" s="1060"/>
      <c r="C8" s="1055"/>
      <c r="D8" s="1405"/>
      <c r="E8" s="1463" t="s">
        <v>86</v>
      </c>
      <c r="F8" s="1449" t="s">
        <v>1099</v>
      </c>
      <c r="G8" s="1449" t="s">
        <v>46</v>
      </c>
      <c r="H8" s="1449" t="s">
        <v>48</v>
      </c>
      <c r="I8" s="1449" t="s">
        <v>1100</v>
      </c>
      <c r="J8" s="4236"/>
      <c r="K8" s="426"/>
      <c r="L8" s="426"/>
      <c r="M8" s="426"/>
      <c r="N8" s="426"/>
      <c r="O8" s="147"/>
      <c r="P8" s="426"/>
      <c r="Q8" s="146"/>
      <c r="R8" s="146"/>
      <c r="S8" s="146"/>
      <c r="T8" s="146"/>
    </row>
    <row r="9" spans="1:254" s="1832" customFormat="1" ht="22.5" customHeight="1">
      <c r="A9" s="3921"/>
      <c r="B9" s="1060">
        <v>1</v>
      </c>
      <c r="C9" s="1060"/>
      <c r="D9" s="718"/>
      <c r="E9" s="1394">
        <v>1</v>
      </c>
      <c r="F9" s="1462"/>
      <c r="G9" s="1401"/>
      <c r="H9" s="1401"/>
      <c r="I9" s="1447"/>
      <c r="J9" s="4237" t="s">
        <v>1101</v>
      </c>
      <c r="K9" s="1444" t="e">
        <f ca="1">MERGEVALUE(F9)</f>
        <v>#NAME?</v>
      </c>
      <c r="L9" s="437"/>
      <c r="M9" s="437"/>
      <c r="N9" s="426" t="str">
        <f t="array" ref="N9">IF(ISERROR(MATCH(MID(O9,1,250),MID(note_ter,1,250),0)),"n","y")</f>
        <v>n</v>
      </c>
      <c r="O9" s="437"/>
      <c r="P9" s="42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0"/>
      <c r="R9" s="1060"/>
      <c r="S9" s="353"/>
      <c r="T9" s="1060"/>
      <c r="U9" s="1060"/>
      <c r="V9" s="1060"/>
      <c r="W9" s="355"/>
      <c r="X9" s="355"/>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5"/>
      <c r="BU9" s="355"/>
      <c r="BV9" s="355"/>
      <c r="BW9" s="355"/>
      <c r="BX9" s="355"/>
      <c r="BY9" s="355"/>
      <c r="BZ9" s="355"/>
      <c r="CA9" s="355"/>
      <c r="CB9" s="355"/>
      <c r="CC9" s="355"/>
    </row>
    <row r="10" spans="1:254" s="1832" customFormat="1" ht="15" customHeight="1">
      <c r="A10" s="3921"/>
      <c r="B10" s="1060"/>
      <c r="C10" s="346"/>
      <c r="D10" s="718"/>
      <c r="E10" s="1450"/>
      <c r="F10" s="1410" t="s">
        <v>1102</v>
      </c>
      <c r="G10" s="1451"/>
      <c r="H10" s="1451"/>
      <c r="I10" s="1451"/>
      <c r="J10" s="4238"/>
      <c r="K10" s="1445"/>
      <c r="L10" s="437"/>
      <c r="M10" s="437"/>
      <c r="N10" s="437"/>
      <c r="O10" s="426"/>
      <c r="P10" s="437"/>
      <c r="Q10" s="1060"/>
      <c r="R10" s="1060"/>
      <c r="S10" s="353"/>
      <c r="T10" s="1060"/>
      <c r="U10" s="1060"/>
      <c r="V10" s="1060"/>
      <c r="W10" s="355"/>
      <c r="X10" s="355"/>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5"/>
      <c r="BU10" s="355"/>
      <c r="BV10" s="355"/>
      <c r="BW10" s="355"/>
      <c r="BX10" s="355"/>
      <c r="BY10" s="355"/>
      <c r="BZ10" s="355"/>
      <c r="CA10" s="355"/>
      <c r="CB10" s="355"/>
      <c r="CC10" s="355"/>
    </row>
    <row r="11" spans="1:254" s="1830" customFormat="1" ht="21" customHeight="1">
      <c r="A11" s="1055"/>
      <c r="B11" s="1060"/>
      <c r="C11" s="1055"/>
      <c r="D11" s="382"/>
      <c r="E11" s="101"/>
      <c r="F11" s="101"/>
      <c r="G11" s="101"/>
      <c r="H11" s="101"/>
      <c r="I11" s="101"/>
      <c r="J11" s="101"/>
      <c r="K11" s="426"/>
      <c r="L11" s="426"/>
      <c r="M11" s="426"/>
      <c r="N11" s="426"/>
      <c r="O11" s="147"/>
      <c r="P11" s="426"/>
      <c r="Q11" s="146"/>
      <c r="R11" s="146"/>
      <c r="S11" s="146"/>
      <c r="T11" s="146"/>
    </row>
    <row r="12" spans="1:254" s="1830" customFormat="1" ht="14.25" customHeight="1">
      <c r="A12" s="1055"/>
      <c r="B12" s="1060"/>
      <c r="C12" s="1055"/>
      <c r="D12" s="382"/>
      <c r="E12" s="1055"/>
      <c r="F12" s="1055"/>
      <c r="G12" s="1055"/>
      <c r="H12" s="1055"/>
      <c r="I12" s="1055"/>
      <c r="J12" s="1055"/>
      <c r="K12" s="426"/>
      <c r="L12" s="426"/>
      <c r="M12" s="426"/>
      <c r="N12" s="426"/>
      <c r="O12" s="147"/>
      <c r="P12" s="426"/>
      <c r="Q12" s="146"/>
      <c r="R12" s="146"/>
      <c r="S12" s="146"/>
      <c r="T12" s="146"/>
    </row>
    <row r="13" spans="1:254" s="1830" customFormat="1" ht="0.75" customHeight="1">
      <c r="A13" s="1055"/>
      <c r="B13" s="1060"/>
      <c r="C13" s="1055"/>
      <c r="D13" s="382"/>
      <c r="E13" s="1055"/>
      <c r="F13" s="1055"/>
      <c r="G13" s="1055"/>
      <c r="H13" s="1055"/>
      <c r="I13" s="1055"/>
      <c r="J13" s="1055"/>
      <c r="K13" s="426"/>
      <c r="L13" s="426"/>
      <c r="M13" s="426"/>
      <c r="N13" s="426"/>
      <c r="O13" s="147"/>
      <c r="P13" s="426"/>
      <c r="Q13" s="146"/>
      <c r="R13" s="146"/>
      <c r="S13" s="146"/>
      <c r="T13" s="146"/>
    </row>
    <row r="14" spans="1:254" s="1836" customFormat="1" ht="10.5" customHeight="1">
      <c r="B14" s="751"/>
      <c r="D14" s="103"/>
      <c r="K14" s="426"/>
      <c r="L14" s="426"/>
      <c r="M14" s="426"/>
      <c r="N14" s="426"/>
      <c r="O14" s="147"/>
      <c r="P14" s="426"/>
      <c r="Q14" s="146"/>
      <c r="R14" s="146"/>
      <c r="S14" s="146"/>
      <c r="T14" s="146"/>
    </row>
    <row r="15" spans="1:254" s="1836" customFormat="1" ht="10.5" customHeight="1">
      <c r="B15" s="751"/>
      <c r="D15" s="103"/>
      <c r="K15" s="426"/>
      <c r="L15" s="426"/>
      <c r="M15" s="426"/>
      <c r="N15" s="426"/>
      <c r="O15" s="147"/>
      <c r="P15" s="426"/>
      <c r="Q15" s="146"/>
      <c r="R15" s="146"/>
      <c r="S15" s="146"/>
      <c r="T15" s="146"/>
    </row>
    <row r="19" spans="7:13" ht="14.25" customHeight="1">
      <c r="G19" s="301"/>
      <c r="H19" s="301"/>
      <c r="I19" s="301"/>
    </row>
    <row r="23" spans="7:13" ht="14.25" customHeight="1">
      <c r="K23" s="1055"/>
      <c r="L23" s="1055"/>
      <c r="M23" s="1055"/>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20" hidden="1"/>
    <col min="2" max="2" width="9.140625" style="2553" hidden="1"/>
    <col min="3" max="3" width="3.7109375" style="1920" hidden="1" customWidth="1"/>
    <col min="4" max="4" width="3.85546875" style="1936" customWidth="1"/>
    <col min="5" max="5" width="6.28515625" style="1920" customWidth="1"/>
    <col min="6" max="6" width="27.28515625" style="1920" customWidth="1"/>
    <col min="7" max="7" width="16.7109375" style="1920" customWidth="1"/>
    <col min="8" max="8" width="12.7109375" style="1920" customWidth="1"/>
    <col min="9" max="9" width="32.140625" style="1920" customWidth="1"/>
    <col min="10" max="11" width="41.85546875" style="1920" customWidth="1"/>
    <col min="12" max="12" width="89.5703125" style="1920" customWidth="1"/>
    <col min="13" max="13" width="3.7109375" style="1831" customWidth="1"/>
    <col min="14" max="16" width="9.140625" style="1831"/>
    <col min="17" max="17" width="25.7109375" style="1828" customWidth="1"/>
    <col min="18" max="18" width="14.42578125" style="1831" customWidth="1"/>
    <col min="19" max="22" width="9.140625" style="1829"/>
    <col min="23" max="256" width="9.140625" style="1920"/>
  </cols>
  <sheetData>
    <row r="1" spans="1:256" ht="14.25" hidden="1" customHeight="1"/>
    <row r="2" spans="1:256" s="1832" customFormat="1" ht="22.5" hidden="1" customHeight="1">
      <c r="A2" s="748"/>
      <c r="B2" s="1060">
        <v>1</v>
      </c>
      <c r="C2" s="1060"/>
      <c r="D2" s="718"/>
      <c r="E2" s="1394"/>
      <c r="F2" s="1448" t="str">
        <f>IF(ROIV_INFO_NAME="","",ROIV_INFO_NAME)</f>
        <v>ООО «РИР-Сахалин»</v>
      </c>
      <c r="G2" s="1642" t="s">
        <v>24</v>
      </c>
      <c r="H2" s="1447"/>
      <c r="I2" s="1447"/>
      <c r="J2" s="1064"/>
      <c r="K2" s="1064"/>
      <c r="L2" s="149"/>
      <c r="M2" s="1444" t="e">
        <f ca="1">MERGEVALUE(F2)</f>
        <v>#NAME?</v>
      </c>
      <c r="N2" s="437"/>
      <c r="O2" s="437"/>
      <c r="P2" s="426" t="str">
        <f t="array" ref="P2">IF(ISERROR(MATCH(MID(Q2,1,250),MID(note_ter,1,250),0)),"n","y")</f>
        <v>n</v>
      </c>
      <c r="Q2" s="437"/>
      <c r="R2" s="426" t="str">
        <f>G2&amp;"("&amp;L2&amp;")"</f>
        <v>()</v>
      </c>
      <c r="S2" s="1060"/>
      <c r="T2" s="1060"/>
      <c r="U2" s="353"/>
      <c r="V2" s="1060"/>
      <c r="W2" s="1060"/>
      <c r="X2" s="1060"/>
      <c r="Y2" s="355"/>
      <c r="Z2" s="355"/>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5"/>
      <c r="BW2" s="355"/>
      <c r="BX2" s="355"/>
      <c r="BY2" s="355"/>
      <c r="BZ2" s="355"/>
      <c r="CA2" s="355"/>
      <c r="CB2" s="355"/>
      <c r="CC2" s="355"/>
      <c r="CD2" s="355"/>
      <c r="CE2" s="355"/>
    </row>
    <row r="3" spans="1:256" s="1821" customFormat="1" ht="5.25" hidden="1" customHeight="1">
      <c r="A3" s="422"/>
      <c r="D3" s="420"/>
      <c r="F3" s="166" t="s">
        <v>81</v>
      </c>
      <c r="G3" s="1645" t="s">
        <v>82</v>
      </c>
      <c r="H3" s="420"/>
      <c r="I3" s="420"/>
      <c r="J3" s="420"/>
      <c r="K3" s="420"/>
      <c r="L3" s="148" t="s">
        <v>83</v>
      </c>
      <c r="M3" s="166" t="s">
        <v>81</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30" customFormat="1" ht="14.25" customHeight="1">
      <c r="A4" s="1055"/>
      <c r="B4" s="1060"/>
      <c r="C4" s="1055"/>
      <c r="D4" s="1405"/>
      <c r="E4" s="435"/>
      <c r="F4" s="435"/>
      <c r="G4" s="435"/>
      <c r="H4" s="435"/>
      <c r="I4" s="435"/>
      <c r="J4" s="435"/>
      <c r="K4" s="435"/>
      <c r="L4" s="87"/>
      <c r="M4" s="166"/>
      <c r="N4" s="426"/>
      <c r="O4" s="426"/>
      <c r="P4" s="426"/>
      <c r="Q4" s="147"/>
      <c r="R4" s="426"/>
      <c r="S4" s="146"/>
      <c r="T4" s="146"/>
      <c r="U4" s="146"/>
      <c r="V4" s="146"/>
    </row>
    <row r="5" spans="1:256" s="1830" customFormat="1" ht="25.5" customHeight="1">
      <c r="A5" s="1055"/>
      <c r="B5" s="1060"/>
      <c r="C5" s="1055"/>
      <c r="D5" s="1405"/>
      <c r="E5" s="3922"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3922"/>
      <c r="G5" s="3922"/>
      <c r="H5" s="3922"/>
      <c r="I5" s="3922"/>
      <c r="J5" s="3922"/>
      <c r="K5" s="3922"/>
      <c r="L5" s="511"/>
      <c r="M5" s="166"/>
      <c r="N5" s="426"/>
      <c r="O5" s="426"/>
      <c r="P5" s="426"/>
      <c r="Q5" s="147"/>
      <c r="R5" s="426"/>
      <c r="S5" s="146"/>
      <c r="T5" s="146"/>
      <c r="U5" s="146"/>
      <c r="V5" s="146"/>
    </row>
    <row r="6" spans="1:256" s="1830" customFormat="1" ht="14.25" customHeight="1">
      <c r="A6" s="1055"/>
      <c r="B6" s="1060"/>
      <c r="C6" s="1055"/>
      <c r="D6" s="1405"/>
      <c r="E6" s="435"/>
      <c r="F6" s="88"/>
      <c r="G6" s="88"/>
      <c r="H6" s="88"/>
      <c r="I6" s="88"/>
      <c r="J6" s="88"/>
      <c r="K6" s="88"/>
      <c r="L6" s="89"/>
      <c r="M6" s="426"/>
      <c r="N6" s="426"/>
      <c r="O6" s="426"/>
      <c r="P6" s="426"/>
      <c r="Q6" s="147"/>
      <c r="R6" s="426"/>
      <c r="S6" s="146"/>
      <c r="T6" s="146"/>
      <c r="U6" s="146"/>
      <c r="V6" s="146"/>
    </row>
    <row r="7" spans="1:256" s="1830" customFormat="1" ht="14.25" customHeight="1">
      <c r="A7" s="1055"/>
      <c r="B7" s="1060"/>
      <c r="C7" s="1055"/>
      <c r="D7" s="1405"/>
      <c r="E7" s="3918" t="s">
        <v>290</v>
      </c>
      <c r="F7" s="3923"/>
      <c r="G7" s="3923"/>
      <c r="H7" s="3923"/>
      <c r="I7" s="3923"/>
      <c r="J7" s="3923"/>
      <c r="K7" s="3923"/>
      <c r="L7" s="4235" t="s">
        <v>291</v>
      </c>
      <c r="M7" s="426"/>
      <c r="N7" s="426"/>
      <c r="O7" s="426"/>
      <c r="P7" s="426"/>
      <c r="Q7" s="147"/>
      <c r="R7" s="426"/>
      <c r="S7" s="146"/>
      <c r="T7" s="146"/>
      <c r="U7" s="146"/>
      <c r="V7" s="146"/>
    </row>
    <row r="8" spans="1:256" s="1830" customFormat="1" ht="47.25" customHeight="1">
      <c r="A8" s="1055"/>
      <c r="B8" s="1060"/>
      <c r="C8" s="1055"/>
      <c r="D8" s="1405"/>
      <c r="E8" s="4240" t="s">
        <v>86</v>
      </c>
      <c r="F8" s="4240" t="s">
        <v>1081</v>
      </c>
      <c r="G8" s="4242"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4243"/>
      <c r="I8" s="4244"/>
      <c r="J8" s="4240"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4240"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4239"/>
      <c r="M8" s="426"/>
      <c r="N8" s="426"/>
      <c r="O8" s="426"/>
      <c r="P8" s="426"/>
      <c r="Q8" s="147"/>
      <c r="R8" s="426"/>
      <c r="S8" s="146"/>
      <c r="T8" s="146"/>
      <c r="U8" s="146"/>
      <c r="V8" s="146"/>
    </row>
    <row r="9" spans="1:256" s="1830" customFormat="1" ht="56.25" customHeight="1">
      <c r="A9" s="1055"/>
      <c r="B9" s="1060"/>
      <c r="C9" s="1055"/>
      <c r="D9" s="1405"/>
      <c r="E9" s="4241"/>
      <c r="F9" s="4241"/>
      <c r="G9" s="1446" t="s">
        <v>1103</v>
      </c>
      <c r="H9" s="1446" t="s">
        <v>1104</v>
      </c>
      <c r="I9" s="1446" t="s">
        <v>1105</v>
      </c>
      <c r="J9" s="4241"/>
      <c r="K9" s="4241"/>
      <c r="L9" s="4236"/>
      <c r="M9" s="426"/>
      <c r="N9" s="426"/>
      <c r="O9" s="426"/>
      <c r="P9" s="426"/>
      <c r="Q9" s="147"/>
      <c r="R9" s="426"/>
      <c r="S9" s="146"/>
      <c r="T9" s="146"/>
      <c r="U9" s="146"/>
      <c r="V9" s="146"/>
    </row>
    <row r="10" spans="1:256" s="1832" customFormat="1" ht="22.5" customHeight="1">
      <c r="A10" s="3921"/>
      <c r="B10" s="1060">
        <v>1</v>
      </c>
      <c r="C10" s="1060"/>
      <c r="D10" s="717"/>
      <c r="E10" s="715">
        <v>1</v>
      </c>
      <c r="F10" s="1448" t="str">
        <f>IF(ROIV_INFO_NAME="","",ROIV_INFO_NAME)</f>
        <v>ООО «РИР-Сахалин»</v>
      </c>
      <c r="G10" s="1642" t="s">
        <v>24</v>
      </c>
      <c r="H10" s="1443"/>
      <c r="I10" s="1443"/>
      <c r="J10" s="1064"/>
      <c r="K10" s="1064"/>
      <c r="L10" s="4237" t="s">
        <v>1106</v>
      </c>
      <c r="M10" s="1444" t="e">
        <f ca="1">MERGEVALUE(F10)</f>
        <v>#NAME?</v>
      </c>
      <c r="N10" s="437"/>
      <c r="O10" s="437"/>
      <c r="P10" s="426" t="str">
        <f t="array" ref="P10">IF(ISERROR(MATCH(MID(Q10,1,250),MID(note_ter,1,250),0)),"n","y")</f>
        <v>n</v>
      </c>
      <c r="Q10" s="437"/>
      <c r="R10" s="42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0"/>
      <c r="T10" s="1060"/>
      <c r="U10" s="353"/>
      <c r="V10" s="1060"/>
      <c r="W10" s="1060"/>
      <c r="X10" s="1060"/>
      <c r="Y10" s="355"/>
      <c r="Z10" s="355"/>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5"/>
      <c r="BW10" s="355"/>
      <c r="BX10" s="355"/>
      <c r="BY10" s="355"/>
      <c r="BZ10" s="355"/>
      <c r="CA10" s="355"/>
      <c r="CB10" s="355"/>
      <c r="CC10" s="355"/>
      <c r="CD10" s="355"/>
      <c r="CE10" s="355"/>
    </row>
    <row r="11" spans="1:256" s="1832" customFormat="1" ht="15" customHeight="1">
      <c r="A11" s="3921"/>
      <c r="B11" s="1060"/>
      <c r="C11" s="346"/>
      <c r="D11" s="718"/>
      <c r="E11" s="354"/>
      <c r="F11" s="350" t="s">
        <v>1107</v>
      </c>
      <c r="G11" s="108"/>
      <c r="H11" s="108"/>
      <c r="I11" s="108"/>
      <c r="J11" s="108"/>
      <c r="K11" s="108"/>
      <c r="L11" s="4238"/>
      <c r="M11" s="1445"/>
      <c r="N11" s="437"/>
      <c r="O11" s="437"/>
      <c r="P11" s="437"/>
      <c r="Q11" s="426"/>
      <c r="R11" s="437"/>
      <c r="S11" s="1060"/>
      <c r="T11" s="1060"/>
      <c r="U11" s="353"/>
      <c r="V11" s="1060"/>
      <c r="W11" s="1060"/>
      <c r="X11" s="1060"/>
      <c r="Y11" s="355"/>
      <c r="Z11" s="355"/>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5"/>
      <c r="BW11" s="355"/>
      <c r="BX11" s="355"/>
      <c r="BY11" s="355"/>
      <c r="BZ11" s="355"/>
      <c r="CA11" s="355"/>
      <c r="CB11" s="355"/>
      <c r="CC11" s="355"/>
      <c r="CD11" s="355"/>
      <c r="CE11" s="355"/>
    </row>
    <row r="12" spans="1:256" s="1830" customFormat="1" ht="21" customHeight="1">
      <c r="A12" s="1055"/>
      <c r="B12" s="1060"/>
      <c r="C12" s="1055"/>
      <c r="D12" s="382"/>
      <c r="E12" s="101"/>
      <c r="F12" s="101"/>
      <c r="G12" s="101"/>
      <c r="H12" s="101"/>
      <c r="I12" s="101"/>
      <c r="J12" s="101"/>
      <c r="K12" s="101"/>
      <c r="L12" s="101"/>
      <c r="M12" s="426"/>
      <c r="N12" s="426"/>
      <c r="O12" s="426"/>
      <c r="P12" s="426"/>
      <c r="Q12" s="147"/>
      <c r="R12" s="426"/>
      <c r="S12" s="146"/>
      <c r="T12" s="146"/>
      <c r="U12" s="146"/>
      <c r="V12" s="146"/>
    </row>
    <row r="13" spans="1:256" s="1830" customFormat="1" ht="14.25" customHeight="1">
      <c r="A13" s="1055"/>
      <c r="B13" s="1060"/>
      <c r="C13" s="1055"/>
      <c r="D13" s="382"/>
      <c r="E13" s="1055"/>
      <c r="F13" s="1055"/>
      <c r="G13" s="1055"/>
      <c r="H13" s="1055"/>
      <c r="I13" s="1055"/>
      <c r="J13" s="1055"/>
      <c r="K13" s="1055"/>
      <c r="L13" s="1055"/>
      <c r="M13" s="426"/>
      <c r="N13" s="426"/>
      <c r="O13" s="426"/>
      <c r="P13" s="426"/>
      <c r="Q13" s="147"/>
      <c r="R13" s="426"/>
      <c r="S13" s="146"/>
      <c r="T13" s="146"/>
      <c r="U13" s="146"/>
      <c r="V13" s="146"/>
    </row>
    <row r="14" spans="1:256" s="1830" customFormat="1" ht="0.75" customHeight="1">
      <c r="A14" s="1055"/>
      <c r="B14" s="1060"/>
      <c r="C14" s="1055"/>
      <c r="D14" s="382"/>
      <c r="E14" s="1055"/>
      <c r="F14" s="1055"/>
      <c r="G14" s="1055"/>
      <c r="H14" s="1055"/>
      <c r="I14" s="1055"/>
      <c r="J14" s="1055"/>
      <c r="K14" s="1055"/>
      <c r="L14" s="1055"/>
      <c r="M14" s="426"/>
      <c r="N14" s="426"/>
      <c r="O14" s="426"/>
      <c r="P14" s="426"/>
      <c r="Q14" s="147"/>
      <c r="R14" s="426"/>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920" hidden="1"/>
    <col min="2" max="2" width="9.140625" style="2553" hidden="1"/>
    <col min="3" max="3" width="3.7109375" style="1920" hidden="1" customWidth="1"/>
    <col min="4" max="4" width="3.85546875" style="1936" customWidth="1"/>
    <col min="5" max="5" width="10.140625" style="1920" customWidth="1"/>
    <col min="6" max="6" width="6.28515625" style="1920" customWidth="1"/>
    <col min="7" max="7" width="27.28515625" style="1920" customWidth="1"/>
    <col min="8" max="8" width="29.28515625" style="1920" customWidth="1"/>
    <col min="9" max="9" width="25.42578125" style="1920" customWidth="1"/>
    <col min="10" max="10" width="5.5703125" style="1920" customWidth="1"/>
    <col min="11" max="11" width="6.5703125" style="1920" customWidth="1"/>
    <col min="12" max="12" width="41.85546875" style="1920" customWidth="1"/>
    <col min="13" max="13" width="42.42578125" style="1920" customWidth="1"/>
    <col min="14" max="14" width="41.5703125" style="1920" customWidth="1"/>
    <col min="15" max="15" width="64.140625" style="1920" customWidth="1"/>
    <col min="16" max="16" width="3.7109375" style="1831" customWidth="1"/>
    <col min="17" max="19" width="9.140625" style="1831"/>
    <col min="20" max="20" width="25.7109375" style="1828" customWidth="1"/>
    <col min="21" max="21" width="14.42578125" style="1831" customWidth="1"/>
    <col min="22" max="25" width="9.140625" style="1829"/>
    <col min="26" max="259" width="9.140625" style="1920"/>
  </cols>
  <sheetData>
    <row r="1" spans="1:259" ht="14.25" hidden="1" customHeight="1"/>
    <row r="2" spans="1:259" s="1832" customFormat="1" ht="22.5" hidden="1" customHeight="1">
      <c r="A2" s="422"/>
      <c r="B2" s="1060">
        <v>1</v>
      </c>
      <c r="C2" s="1060"/>
      <c r="D2" s="718"/>
      <c r="E2" s="3946"/>
      <c r="F2" s="3946">
        <v>1</v>
      </c>
      <c r="G2" s="4253" t="str">
        <f>IF(region_name="","",region_name)</f>
        <v>Сахалинская область</v>
      </c>
      <c r="H2" s="4254"/>
      <c r="I2" s="4255"/>
      <c r="J2" s="401"/>
      <c r="K2" s="1394">
        <v>1</v>
      </c>
      <c r="L2" s="1064"/>
      <c r="M2" s="1064"/>
      <c r="N2" s="1064"/>
      <c r="O2" s="1064"/>
      <c r="P2" s="1444" t="e">
        <f ca="1">MERGEVALUE(G2)</f>
        <v>#NAME?</v>
      </c>
      <c r="Q2" s="437"/>
      <c r="R2" s="437"/>
      <c r="S2" s="426" t="str">
        <f t="array" ref="S2">IF(ISERROR(MATCH(MID(T2,1,250),MID(note_ter,1,250),0)),"n","y")</f>
        <v>n</v>
      </c>
      <c r="T2" s="437"/>
      <c r="U2" s="426"/>
      <c r="V2" s="1060"/>
      <c r="W2" s="1060"/>
      <c r="X2" s="353"/>
      <c r="Y2" s="1060"/>
      <c r="Z2" s="1060"/>
      <c r="AA2" s="1060"/>
      <c r="AB2" s="355"/>
      <c r="AC2" s="355"/>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2"/>
      <c r="BW2" s="352"/>
      <c r="BX2" s="352"/>
      <c r="BY2" s="355"/>
      <c r="BZ2" s="355"/>
      <c r="CA2" s="355"/>
      <c r="CB2" s="355"/>
      <c r="CC2" s="355"/>
      <c r="CD2" s="355"/>
      <c r="CE2" s="355"/>
      <c r="CF2" s="355"/>
      <c r="CG2" s="355"/>
      <c r="CH2" s="355"/>
    </row>
    <row r="3" spans="1:259" s="1832" customFormat="1" ht="22.5" hidden="1" customHeight="1">
      <c r="A3" s="748"/>
      <c r="B3" s="1060"/>
      <c r="C3" s="1060"/>
      <c r="D3" s="718"/>
      <c r="E3" s="3946"/>
      <c r="F3" s="3946"/>
      <c r="G3" s="4253"/>
      <c r="H3" s="4254"/>
      <c r="I3" s="4256"/>
      <c r="J3" s="1453"/>
      <c r="K3" s="1410"/>
      <c r="L3" s="1410" t="s">
        <v>1108</v>
      </c>
      <c r="M3" s="1456"/>
      <c r="N3" s="1456"/>
      <c r="O3" s="1457"/>
      <c r="P3" s="1444"/>
      <c r="Q3" s="437"/>
      <c r="R3" s="437"/>
      <c r="S3" s="426"/>
      <c r="T3" s="437"/>
      <c r="U3" s="426"/>
      <c r="V3" s="1060"/>
      <c r="W3" s="1060"/>
      <c r="X3" s="353"/>
      <c r="Y3" s="1060"/>
      <c r="Z3" s="1060"/>
      <c r="AA3" s="1060"/>
      <c r="AB3" s="355"/>
      <c r="AC3" s="355"/>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5"/>
      <c r="BZ3" s="355"/>
      <c r="CA3" s="355"/>
      <c r="CB3" s="355"/>
      <c r="CC3" s="355"/>
      <c r="CD3" s="355"/>
      <c r="CE3" s="355"/>
      <c r="CF3" s="355"/>
      <c r="CG3" s="355"/>
      <c r="CH3" s="355"/>
    </row>
    <row r="4" spans="1:259" s="1821" customFormat="1" ht="5.25" hidden="1" customHeight="1">
      <c r="A4" s="422"/>
      <c r="D4" s="420"/>
      <c r="G4" s="166" t="s">
        <v>81</v>
      </c>
      <c r="H4" s="420" t="s">
        <v>82</v>
      </c>
      <c r="I4" s="420"/>
      <c r="J4" s="1458"/>
      <c r="K4" s="1458"/>
      <c r="L4" s="1458"/>
      <c r="M4" s="1458"/>
      <c r="N4" s="1458"/>
      <c r="O4" s="1458"/>
      <c r="P4" s="166" t="s">
        <v>81</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30" customFormat="1" ht="14.25" customHeight="1">
      <c r="A5" s="1055"/>
      <c r="B5" s="1060"/>
      <c r="C5" s="1055"/>
      <c r="D5" s="1405"/>
      <c r="E5" s="435"/>
      <c r="F5" s="435"/>
      <c r="G5" s="435"/>
      <c r="H5" s="435"/>
      <c r="I5" s="435"/>
      <c r="J5" s="435"/>
      <c r="K5" s="435"/>
      <c r="L5" s="435"/>
      <c r="M5" s="435"/>
      <c r="N5" s="435"/>
      <c r="O5" s="435"/>
      <c r="P5" s="166"/>
      <c r="Q5" s="426"/>
      <c r="R5" s="426"/>
      <c r="S5" s="426"/>
      <c r="T5" s="147"/>
      <c r="U5" s="426"/>
      <c r="V5" s="146"/>
      <c r="W5" s="146"/>
      <c r="X5" s="146"/>
      <c r="Y5" s="146"/>
    </row>
    <row r="6" spans="1:259" s="1830" customFormat="1" ht="25.5" customHeight="1">
      <c r="A6" s="1055"/>
      <c r="B6" s="1060"/>
      <c r="C6" s="1055"/>
      <c r="D6" s="1405"/>
      <c r="E6" s="3922" t="s">
        <v>1109</v>
      </c>
      <c r="F6" s="3922"/>
      <c r="G6" s="3922"/>
      <c r="H6" s="3922"/>
      <c r="I6" s="3922"/>
      <c r="J6" s="3922"/>
      <c r="K6" s="3922"/>
      <c r="L6" s="3922"/>
      <c r="M6" s="3922"/>
      <c r="N6" s="3922"/>
      <c r="O6" s="3922"/>
      <c r="P6" s="166"/>
      <c r="Q6" s="426"/>
      <c r="R6" s="426"/>
      <c r="S6" s="426"/>
      <c r="T6" s="147"/>
      <c r="U6" s="426"/>
      <c r="V6" s="146"/>
      <c r="W6" s="146"/>
      <c r="X6" s="146"/>
      <c r="Y6" s="146"/>
    </row>
    <row r="7" spans="1:259" s="1830" customFormat="1" ht="14.25" customHeight="1">
      <c r="A7" s="1055"/>
      <c r="B7" s="1060"/>
      <c r="C7" s="1055"/>
      <c r="D7" s="1405"/>
      <c r="E7" s="435"/>
      <c r="F7" s="435"/>
      <c r="G7" s="88"/>
      <c r="H7" s="88"/>
      <c r="I7" s="88"/>
      <c r="J7" s="88"/>
      <c r="K7" s="88"/>
      <c r="L7" s="88"/>
      <c r="M7" s="88"/>
      <c r="N7" s="88"/>
      <c r="O7" s="88"/>
      <c r="P7" s="426"/>
      <c r="Q7" s="426"/>
      <c r="R7" s="426"/>
      <c r="S7" s="426"/>
      <c r="T7" s="147"/>
      <c r="U7" s="426"/>
      <c r="V7" s="146"/>
      <c r="W7" s="146"/>
      <c r="X7" s="146"/>
      <c r="Y7" s="146"/>
    </row>
    <row r="8" spans="1:259" s="3869" customFormat="1" ht="42.75" customHeight="1">
      <c r="A8" s="1379"/>
      <c r="B8" s="1388"/>
      <c r="C8" s="1379"/>
      <c r="D8" s="1405"/>
      <c r="E8" s="1466" t="s">
        <v>291</v>
      </c>
      <c r="F8" s="1466"/>
      <c r="G8" s="1467" t="s">
        <v>295</v>
      </c>
      <c r="H8" s="1467" t="s">
        <v>1110</v>
      </c>
      <c r="I8" s="1467" t="s">
        <v>299</v>
      </c>
      <c r="J8" s="4248"/>
      <c r="K8" s="4249"/>
      <c r="L8" s="4250"/>
      <c r="M8" s="1467" t="s">
        <v>1111</v>
      </c>
      <c r="N8" s="1467" t="s">
        <v>1112</v>
      </c>
      <c r="O8" s="1467" t="s">
        <v>1113</v>
      </c>
      <c r="P8" s="1459"/>
      <c r="Q8" s="1459"/>
      <c r="R8" s="1459"/>
      <c r="S8" s="1459"/>
      <c r="T8" s="1460"/>
      <c r="U8" s="1459"/>
      <c r="V8" s="1461"/>
      <c r="W8" s="1461"/>
      <c r="X8" s="1461"/>
      <c r="Y8" s="1461"/>
    </row>
    <row r="9" spans="1:259" s="1830" customFormat="1" ht="47.25" customHeight="1">
      <c r="A9" s="1055"/>
      <c r="B9" s="1060"/>
      <c r="C9" s="1055"/>
      <c r="D9" s="1405"/>
      <c r="E9" s="4053" t="s">
        <v>290</v>
      </c>
      <c r="F9" s="4241" t="s">
        <v>86</v>
      </c>
      <c r="G9" s="4241" t="s">
        <v>294</v>
      </c>
      <c r="H9" s="4241" t="s">
        <v>1114</v>
      </c>
      <c r="I9" s="4241"/>
      <c r="J9" s="4241" t="s">
        <v>1115</v>
      </c>
      <c r="K9" s="4241"/>
      <c r="L9" s="4241"/>
      <c r="M9" s="4241" t="s">
        <v>1116</v>
      </c>
      <c r="N9" s="4241" t="s">
        <v>1117</v>
      </c>
      <c r="O9" s="4241"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6"/>
      <c r="Q9" s="426"/>
      <c r="R9" s="426"/>
      <c r="S9" s="426"/>
      <c r="T9" s="147"/>
      <c r="U9" s="426"/>
      <c r="V9" s="146"/>
      <c r="W9" s="146"/>
      <c r="X9" s="146"/>
      <c r="Y9" s="146"/>
    </row>
    <row r="10" spans="1:259" s="1830" customFormat="1" ht="63.75" customHeight="1">
      <c r="A10" s="1055"/>
      <c r="B10" s="1060"/>
      <c r="C10" s="1055"/>
      <c r="D10" s="1405"/>
      <c r="E10" s="3946"/>
      <c r="F10" s="4247"/>
      <c r="G10" s="4247"/>
      <c r="H10" s="93" t="s">
        <v>1118</v>
      </c>
      <c r="I10" s="93" t="s">
        <v>298</v>
      </c>
      <c r="J10" s="4240"/>
      <c r="K10" s="4240"/>
      <c r="L10" s="4247"/>
      <c r="M10" s="4247"/>
      <c r="N10" s="4247"/>
      <c r="O10" s="4247"/>
      <c r="P10" s="426"/>
      <c r="Q10" s="426"/>
      <c r="R10" s="426"/>
      <c r="S10" s="426"/>
      <c r="T10" s="147"/>
      <c r="U10" s="426"/>
      <c r="V10" s="146"/>
      <c r="W10" s="146"/>
      <c r="X10" s="146"/>
      <c r="Y10" s="146"/>
    </row>
    <row r="11" spans="1:259" s="1832" customFormat="1" ht="22.5" customHeight="1">
      <c r="A11" s="3921">
        <v>26379339</v>
      </c>
      <c r="B11" s="1060">
        <v>1</v>
      </c>
      <c r="C11" s="1060"/>
      <c r="D11" s="718"/>
      <c r="E11" s="4053"/>
      <c r="F11" s="4053">
        <v>1</v>
      </c>
      <c r="G11" s="4245" t="str">
        <f>IF(region_name="","",region_name)</f>
        <v>Сахалинская область</v>
      </c>
      <c r="H11" s="4246"/>
      <c r="I11" s="4251"/>
      <c r="J11" s="401"/>
      <c r="K11" s="1394">
        <v>1</v>
      </c>
      <c r="L11" s="1468"/>
      <c r="M11" s="1455"/>
      <c r="N11" s="1455"/>
      <c r="O11" s="1454"/>
      <c r="P11" s="1444" t="e">
        <f ca="1">MERGEVALUE(G11)</f>
        <v>#NAME?</v>
      </c>
      <c r="Q11" s="437"/>
      <c r="R11" s="437"/>
      <c r="S11" s="426" t="str">
        <f t="array" ref="S11">IF(ISERROR(MATCH(MID(T11,1,250),MID(note_ter,1,250),0)),"n","y")</f>
        <v>n</v>
      </c>
      <c r="T11" s="437"/>
      <c r="U11" s="426"/>
      <c r="V11" s="1060"/>
      <c r="W11" s="1060"/>
      <c r="X11" s="353"/>
      <c r="Y11" s="1060"/>
      <c r="Z11" s="1060"/>
      <c r="AA11" s="1060"/>
      <c r="AB11" s="355"/>
      <c r="AC11" s="355"/>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5"/>
      <c r="BZ11" s="355"/>
      <c r="CA11" s="355"/>
      <c r="CB11" s="355"/>
      <c r="CC11" s="355"/>
      <c r="CD11" s="355"/>
      <c r="CE11" s="355"/>
      <c r="CF11" s="355"/>
      <c r="CG11" s="355"/>
      <c r="CH11" s="355"/>
    </row>
    <row r="12" spans="1:259" s="1832" customFormat="1" ht="22.5" customHeight="1">
      <c r="A12" s="3921"/>
      <c r="B12" s="1060"/>
      <c r="C12" s="1060"/>
      <c r="D12" s="718"/>
      <c r="E12" s="4053"/>
      <c r="F12" s="4053"/>
      <c r="G12" s="4245"/>
      <c r="H12" s="4246"/>
      <c r="I12" s="4252"/>
      <c r="J12" s="1453"/>
      <c r="K12" s="1410"/>
      <c r="L12" s="1410" t="s">
        <v>1108</v>
      </c>
      <c r="M12" s="1456"/>
      <c r="N12" s="1456"/>
      <c r="O12" s="1457"/>
      <c r="P12" s="1444"/>
      <c r="Q12" s="437"/>
      <c r="R12" s="437"/>
      <c r="S12" s="426"/>
      <c r="T12" s="437"/>
      <c r="U12" s="426"/>
      <c r="V12" s="1060"/>
      <c r="W12" s="1060"/>
      <c r="X12" s="353"/>
      <c r="Y12" s="1060"/>
      <c r="Z12" s="1060"/>
      <c r="AA12" s="1060"/>
      <c r="AB12" s="355"/>
      <c r="AC12" s="355"/>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5"/>
      <c r="BZ12" s="355"/>
      <c r="CA12" s="355"/>
      <c r="CB12" s="355"/>
      <c r="CC12" s="355"/>
      <c r="CD12" s="355"/>
      <c r="CE12" s="355"/>
      <c r="CF12" s="355"/>
      <c r="CG12" s="355"/>
      <c r="CH12" s="355"/>
    </row>
    <row r="13" spans="1:259" s="1832" customFormat="1" ht="22.5" customHeight="1">
      <c r="A13" s="3921"/>
      <c r="B13" s="1060"/>
      <c r="C13" s="346"/>
      <c r="D13" s="718"/>
      <c r="E13" s="1450"/>
      <c r="F13" s="1453"/>
      <c r="G13" s="1410" t="s">
        <v>1102</v>
      </c>
      <c r="H13" s="1451"/>
      <c r="I13" s="1451"/>
      <c r="J13" s="108"/>
      <c r="K13" s="108"/>
      <c r="L13" s="108"/>
      <c r="M13" s="108"/>
      <c r="N13" s="108"/>
      <c r="O13" s="1452"/>
      <c r="P13" s="1445"/>
      <c r="Q13" s="437"/>
      <c r="R13" s="437"/>
      <c r="S13" s="437"/>
      <c r="T13" s="426"/>
      <c r="U13" s="437"/>
      <c r="V13" s="1060"/>
      <c r="W13" s="1060"/>
      <c r="X13" s="353"/>
      <c r="Y13" s="1060"/>
      <c r="Z13" s="1060"/>
      <c r="AA13" s="1060"/>
      <c r="AB13" s="355"/>
      <c r="AC13" s="355"/>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5"/>
      <c r="BZ13" s="355"/>
      <c r="CA13" s="355"/>
      <c r="CB13" s="355"/>
      <c r="CC13" s="355"/>
      <c r="CD13" s="355"/>
      <c r="CE13" s="355"/>
      <c r="CF13" s="355"/>
      <c r="CG13" s="355"/>
      <c r="CH13" s="355"/>
    </row>
    <row r="14" spans="1:259" s="1830" customFormat="1" ht="21" customHeight="1">
      <c r="A14" s="1055"/>
      <c r="B14" s="1060"/>
      <c r="C14" s="1055"/>
      <c r="D14" s="382"/>
      <c r="E14" s="101"/>
      <c r="F14" s="101"/>
      <c r="G14" s="101"/>
      <c r="H14" s="101"/>
      <c r="I14" s="101"/>
      <c r="J14" s="101"/>
      <c r="K14" s="101"/>
      <c r="L14" s="101"/>
      <c r="M14" s="101"/>
      <c r="N14" s="435"/>
      <c r="O14" s="435"/>
      <c r="P14" s="426"/>
      <c r="Q14" s="426"/>
      <c r="R14" s="426"/>
      <c r="S14" s="426"/>
      <c r="T14" s="147"/>
      <c r="U14" s="426"/>
      <c r="V14" s="146"/>
      <c r="W14" s="146"/>
      <c r="X14" s="146"/>
      <c r="Y14" s="146"/>
    </row>
    <row r="15" spans="1:259" s="1830" customFormat="1" ht="14.25" customHeight="1">
      <c r="A15" s="1055"/>
      <c r="B15" s="1060"/>
      <c r="C15" s="1055"/>
      <c r="D15" s="382"/>
      <c r="E15" s="1055"/>
      <c r="F15" s="1055"/>
      <c r="G15" s="1055"/>
      <c r="H15" s="1055"/>
      <c r="I15" s="1055"/>
      <c r="J15" s="1055"/>
      <c r="K15" s="1055"/>
      <c r="L15" s="1055"/>
      <c r="M15" s="1055"/>
      <c r="N15" s="1055"/>
      <c r="O15" s="1055"/>
      <c r="P15" s="426"/>
      <c r="Q15" s="426"/>
      <c r="R15" s="426"/>
      <c r="S15" s="426"/>
      <c r="T15" s="147"/>
      <c r="U15" s="426"/>
      <c r="V15" s="146"/>
      <c r="W15" s="146"/>
      <c r="X15" s="146"/>
      <c r="Y15" s="146"/>
    </row>
    <row r="16" spans="1:259" s="1830" customFormat="1" ht="0.75" customHeight="1">
      <c r="A16" s="1055"/>
      <c r="B16" s="1060"/>
      <c r="C16" s="1055"/>
      <c r="D16" s="382"/>
      <c r="E16" s="1055"/>
      <c r="F16" s="1055"/>
      <c r="G16" s="1055"/>
      <c r="H16" s="1055"/>
      <c r="I16" s="1055"/>
      <c r="J16" s="1055"/>
      <c r="K16" s="1055"/>
      <c r="L16" s="1055"/>
      <c r="M16" s="1055"/>
      <c r="N16" s="1055"/>
      <c r="O16" s="1055"/>
      <c r="P16" s="426"/>
      <c r="Q16" s="426"/>
      <c r="R16" s="426"/>
      <c r="S16" s="426"/>
      <c r="T16" s="147"/>
      <c r="U16" s="426"/>
      <c r="V16" s="146"/>
      <c r="W16" s="146"/>
      <c r="X16" s="146"/>
      <c r="Y16" s="146"/>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4"/>
  <sheetViews>
    <sheetView showGridLines="0" topLeftCell="C6" zoomScale="90" workbookViewId="0">
      <selection activeCell="E12" sqref="E12"/>
    </sheetView>
  </sheetViews>
  <sheetFormatPr defaultColWidth="9.140625" defaultRowHeight="14.25" customHeight="1"/>
  <cols>
    <col min="1" max="2" width="9.140625" style="3865" hidden="1"/>
    <col min="3" max="3" width="3.7109375" style="3866" customWidth="1"/>
    <col min="4" max="4" width="6.28515625" style="3865" customWidth="1"/>
    <col min="5" max="5" width="94.85546875" style="3865" customWidth="1"/>
    <col min="6" max="12" width="9.140625" style="3865"/>
  </cols>
  <sheetData>
    <row r="1" spans="1:12" ht="14.25" hidden="1" customHeight="1">
      <c r="L1" s="183"/>
    </row>
    <row r="2" spans="1:12" ht="14.25" hidden="1" customHeight="1"/>
    <row r="3" spans="1:12" ht="14.25" hidden="1" customHeight="1"/>
    <row r="4" spans="1:12" ht="14.25" hidden="1" customHeight="1"/>
    <row r="5" spans="1:12" ht="14.25" hidden="1" customHeight="1"/>
    <row r="6" spans="1:12" ht="3" customHeight="1">
      <c r="C6" s="25"/>
      <c r="D6" s="6"/>
      <c r="E6" s="6"/>
    </row>
    <row r="7" spans="1:12" ht="22.5" customHeight="1">
      <c r="C7" s="25"/>
      <c r="D7" s="3922" t="s">
        <v>1119</v>
      </c>
      <c r="E7" s="3922"/>
      <c r="F7" s="186"/>
    </row>
    <row r="8" spans="1:12" ht="3" customHeight="1">
      <c r="C8" s="25"/>
      <c r="D8" s="6"/>
      <c r="E8" s="6"/>
    </row>
    <row r="9" spans="1:12" ht="15.75" customHeight="1">
      <c r="C9" s="25"/>
      <c r="D9" s="36" t="s">
        <v>86</v>
      </c>
      <c r="E9" s="39" t="s">
        <v>277</v>
      </c>
    </row>
    <row r="10" spans="1:12" ht="12" customHeight="1">
      <c r="C10" s="25"/>
      <c r="D10" s="21" t="s">
        <v>107</v>
      </c>
      <c r="E10" s="21" t="s">
        <v>108</v>
      </c>
    </row>
    <row r="11" spans="1:12" ht="15" hidden="1" customHeight="1">
      <c r="C11" s="25"/>
      <c r="D11" s="43">
        <v>0</v>
      </c>
      <c r="E11" s="73"/>
    </row>
    <row r="12" spans="1:12" ht="111.6" customHeight="1">
      <c r="A12" s="3870"/>
      <c r="B12" s="3870"/>
      <c r="C12" s="1728" t="s">
        <v>417</v>
      </c>
      <c r="D12" s="43" t="s">
        <v>107</v>
      </c>
      <c r="E12" s="44" t="s">
        <v>1120</v>
      </c>
      <c r="F12" s="3870"/>
      <c r="G12" s="3870"/>
      <c r="H12" s="3870"/>
      <c r="I12" s="3870"/>
      <c r="J12" s="3870"/>
      <c r="K12" s="3870"/>
      <c r="L12" s="3870"/>
    </row>
    <row r="13" spans="1:12" ht="87.6" customHeight="1">
      <c r="A13" s="3870"/>
      <c r="B13" s="3870"/>
      <c r="C13" s="1728" t="s">
        <v>417</v>
      </c>
      <c r="D13" s="43" t="s">
        <v>108</v>
      </c>
      <c r="E13" s="44" t="s">
        <v>1121</v>
      </c>
      <c r="F13" s="3870"/>
      <c r="G13" s="3870"/>
      <c r="H13" s="3870"/>
      <c r="I13" s="3870"/>
      <c r="J13" s="3870"/>
      <c r="K13" s="3870"/>
      <c r="L13" s="3870"/>
    </row>
    <row r="14" spans="1:12" ht="14.25" customHeight="1">
      <c r="C14" s="25"/>
      <c r="D14" s="40"/>
      <c r="E14" s="38" t="s">
        <v>1079</v>
      </c>
    </row>
  </sheetData>
  <sheetProtection formatColumns="0" formatRows="0" insertRows="0" deleteColumns="0" deleteRows="0" sort="0" autoFilter="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3871" customWidth="1"/>
    <col min="2" max="2" width="34.5703125" style="3871" customWidth="1"/>
    <col min="3" max="3" width="85.5703125" style="3871" customWidth="1"/>
    <col min="4" max="4" width="17.7109375" style="3871" customWidth="1"/>
    <col min="5" max="5" width="9.140625" style="3871"/>
  </cols>
  <sheetData>
    <row r="1" spans="2:5" ht="3" customHeight="1"/>
    <row r="2" spans="2:5" ht="22.5" customHeight="1">
      <c r="B2" s="4257" t="s">
        <v>1122</v>
      </c>
      <c r="C2" s="4257"/>
      <c r="D2" s="4257"/>
      <c r="E2" s="187"/>
    </row>
    <row r="3" spans="2:5" ht="3" customHeight="1"/>
    <row r="4" spans="2:5" ht="21.75" customHeight="1">
      <c r="B4" s="317" t="s">
        <v>1123</v>
      </c>
      <c r="C4" s="317" t="s">
        <v>1124</v>
      </c>
      <c r="D4" s="317" t="s">
        <v>1125</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3871" customWidth="1"/>
    <col min="2" max="2" width="10" style="3871" customWidth="1"/>
    <col min="3" max="3" width="9.140625" style="3871"/>
    <col min="4" max="4" width="11.140625" style="3871" customWidth="1"/>
    <col min="5" max="5" width="16.5703125" style="3871" customWidth="1"/>
    <col min="6" max="6" width="16.28515625" style="3871" customWidth="1"/>
    <col min="7" max="7" width="19.140625" style="3871" customWidth="1"/>
    <col min="8" max="11" width="10" style="3871" customWidth="1"/>
    <col min="12" max="12" width="12.7109375" style="3871" customWidth="1"/>
    <col min="13" max="13" width="61.28515625" style="3871" customWidth="1"/>
    <col min="14" max="14" width="10" style="3871" customWidth="1"/>
    <col min="15" max="17" width="23.7109375" style="3871" customWidth="1"/>
    <col min="18" max="18" width="11.7109375" style="3871" customWidth="1"/>
    <col min="19" max="19" width="8.5703125" style="3871" customWidth="1"/>
    <col min="20" max="20" width="11.7109375" style="3871" customWidth="1"/>
    <col min="21" max="21" width="8.5703125" style="3871" customWidth="1"/>
    <col min="22" max="22" width="4.7109375" style="3871" customWidth="1"/>
    <col min="23" max="23" width="115.7109375" style="3871" customWidth="1"/>
    <col min="24" max="24" width="115.28515625" style="3871" customWidth="1"/>
    <col min="25" max="27" width="9.140625" style="3871"/>
    <col min="28" max="28" width="115.7109375" style="3871" customWidth="1"/>
    <col min="29" max="29" width="9.140625" style="3871"/>
    <col min="30" max="90" width="115.7109375" style="3871" customWidth="1"/>
    <col min="91" max="184" width="9.140625" style="3871"/>
  </cols>
  <sheetData>
    <row r="2" spans="1:80" s="3872" customFormat="1" ht="17.25" customHeight="1">
      <c r="A2" s="1726" t="s">
        <v>1126</v>
      </c>
    </row>
    <row r="4" spans="1:80" s="3865" customFormat="1" ht="15" customHeight="1">
      <c r="C4" s="1727"/>
      <c r="D4" s="43"/>
      <c r="E4" s="308"/>
    </row>
    <row r="6" spans="1:80" s="3872" customFormat="1" ht="17.25" customHeight="1">
      <c r="A6" s="1726" t="s">
        <v>1127</v>
      </c>
    </row>
    <row r="8" spans="1:80" s="3865" customFormat="1" ht="17.25" customHeight="1">
      <c r="C8" s="1728"/>
      <c r="D8" s="43"/>
      <c r="E8" s="44"/>
    </row>
    <row r="11" spans="1:80" s="3872" customFormat="1" ht="17.25" customHeight="1">
      <c r="A11" s="1726" t="s">
        <v>1128</v>
      </c>
    </row>
    <row r="13" spans="1:80" s="3873" customFormat="1" ht="15" customHeight="1">
      <c r="A13" s="4041">
        <v>1</v>
      </c>
      <c r="B13" s="1060"/>
      <c r="C13" s="718" t="s">
        <v>417</v>
      </c>
      <c r="D13" s="1729"/>
      <c r="E13" s="1716">
        <f>A13</f>
        <v>1</v>
      </c>
      <c r="F13" s="721"/>
      <c r="G13" s="465" t="str">
        <f>"Территория "&amp;E13</f>
        <v>Территория 1</v>
      </c>
      <c r="H13" s="709"/>
      <c r="I13" s="709"/>
      <c r="J13" s="706"/>
      <c r="K13" s="1536"/>
      <c r="L13" s="1536"/>
      <c r="M13" s="1536"/>
      <c r="N13" s="147"/>
      <c r="O13" s="1536"/>
      <c r="P13" s="146"/>
      <c r="Q13" s="146"/>
      <c r="R13" s="146"/>
      <c r="S13" s="146"/>
    </row>
    <row r="14" spans="1:80" s="1832" customFormat="1" ht="15" customHeight="1">
      <c r="A14" s="4041"/>
      <c r="B14" s="1060">
        <v>1</v>
      </c>
      <c r="C14" s="1060"/>
      <c r="D14" s="717"/>
      <c r="E14" s="1724" t="str">
        <f>A13&amp;"."&amp;B14</f>
        <v>1.1</v>
      </c>
      <c r="F14" s="720">
        <f>$F$20</f>
        <v>0</v>
      </c>
      <c r="G14" s="710"/>
      <c r="H14" s="710"/>
      <c r="I14" s="708"/>
      <c r="J14" s="1536"/>
      <c r="K14" s="1548"/>
      <c r="L14" s="1548"/>
      <c r="M14" s="1536" t="str">
        <f t="array" ref="M14">IF(ISERROR(MATCH(MID(N14,1,250),MID(note_ter,1,250),0)),"n","y")</f>
        <v>n</v>
      </c>
      <c r="N14" s="1548"/>
      <c r="O14" s="1536" t="str">
        <f>H14&amp;"("&amp;I14&amp;")"</f>
        <v>()</v>
      </c>
      <c r="P14" s="1060"/>
      <c r="Q14" s="1060"/>
      <c r="R14" s="353"/>
      <c r="S14" s="1060"/>
      <c r="T14" s="1060"/>
      <c r="U14" s="1060"/>
      <c r="V14" s="355"/>
      <c r="W14" s="355"/>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5"/>
      <c r="BT14" s="355"/>
      <c r="BU14" s="355"/>
      <c r="BV14" s="355"/>
      <c r="BW14" s="355"/>
      <c r="BX14" s="355"/>
      <c r="BY14" s="355"/>
      <c r="BZ14" s="355"/>
      <c r="CA14" s="355"/>
      <c r="CB14" s="355"/>
    </row>
    <row r="15" spans="1:80" s="1832" customFormat="1" ht="15" customHeight="1">
      <c r="A15" s="4041"/>
      <c r="B15" s="1060"/>
      <c r="C15" s="346"/>
      <c r="D15" s="718"/>
      <c r="E15" s="354"/>
      <c r="F15" s="98"/>
      <c r="G15" s="349" t="s">
        <v>100</v>
      </c>
      <c r="H15" s="108"/>
      <c r="I15" s="357"/>
      <c r="J15" s="1548"/>
      <c r="K15" s="1548"/>
      <c r="L15" s="1548"/>
      <c r="M15" s="1548"/>
      <c r="N15" s="1536"/>
      <c r="O15" s="1548"/>
      <c r="P15" s="1060"/>
      <c r="Q15" s="1060"/>
      <c r="R15" s="353"/>
      <c r="S15" s="1060"/>
      <c r="T15" s="1060"/>
      <c r="U15" s="1060"/>
      <c r="V15" s="355"/>
      <c r="W15" s="355"/>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5"/>
      <c r="BT15" s="355"/>
      <c r="BU15" s="355"/>
      <c r="BV15" s="355"/>
      <c r="BW15" s="355"/>
      <c r="BX15" s="355"/>
      <c r="BY15" s="355"/>
      <c r="BZ15" s="355"/>
      <c r="CA15" s="355"/>
      <c r="CB15" s="355"/>
    </row>
    <row r="17" spans="1:80" s="3872" customFormat="1" ht="17.25" customHeight="1">
      <c r="A17" s="1726" t="s">
        <v>1129</v>
      </c>
    </row>
    <row r="19" spans="1:80" s="3821" customFormat="1" ht="15" customHeight="1">
      <c r="A19" s="1792"/>
      <c r="B19" s="1282">
        <v>1</v>
      </c>
      <c r="C19" s="1282"/>
      <c r="D19" s="717" t="s">
        <v>417</v>
      </c>
      <c r="E19" s="1788"/>
      <c r="F19" s="1793">
        <f>$F$20</f>
        <v>0</v>
      </c>
      <c r="G19" s="1797"/>
      <c r="H19" s="1797"/>
      <c r="I19" s="1795"/>
      <c r="J19" s="1536"/>
      <c r="K19" s="1548"/>
      <c r="L19" s="1548"/>
      <c r="M19" s="1536" t="str">
        <f t="array" ref="M19">IF(ISERROR(MATCH(MID(N19,1,250),MID(note_ter,1,250),0)),"n","y")</f>
        <v>n</v>
      </c>
      <c r="N19" s="1548"/>
      <c r="O19" s="1536" t="str">
        <f>H19&amp;"("&amp;I19&amp;")"</f>
        <v>()</v>
      </c>
      <c r="P19" s="1282"/>
      <c r="Q19" s="1282"/>
      <c r="R19" s="353"/>
      <c r="S19" s="1282"/>
      <c r="T19" s="1282"/>
      <c r="U19" s="1282"/>
      <c r="V19" s="750"/>
      <c r="W19" s="750"/>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548"/>
      <c r="AY19" s="548"/>
      <c r="AZ19" s="548"/>
      <c r="BA19" s="548"/>
      <c r="BB19" s="548"/>
      <c r="BC19" s="548"/>
      <c r="BD19" s="548"/>
      <c r="BE19" s="548"/>
      <c r="BF19" s="548"/>
      <c r="BG19" s="548"/>
      <c r="BH19" s="548"/>
      <c r="BI19" s="548"/>
      <c r="BJ19" s="548"/>
      <c r="BK19" s="548"/>
      <c r="BL19" s="548"/>
      <c r="BM19" s="548"/>
      <c r="BN19" s="548"/>
      <c r="BO19" s="548"/>
      <c r="BP19" s="548"/>
      <c r="BQ19" s="548"/>
      <c r="BR19" s="548"/>
      <c r="BS19" s="750"/>
      <c r="BT19" s="750"/>
      <c r="BU19" s="750"/>
      <c r="BV19" s="750"/>
      <c r="BW19" s="750"/>
      <c r="BX19" s="750"/>
      <c r="BY19" s="750"/>
      <c r="BZ19" s="750"/>
      <c r="CA19" s="750"/>
      <c r="CB19" s="750"/>
    </row>
    <row r="21" spans="1:80" s="1832" customFormat="1" ht="15" customHeight="1">
      <c r="A21" s="1726" t="s">
        <v>1130</v>
      </c>
      <c r="B21" s="1726"/>
      <c r="C21" s="1726"/>
      <c r="D21" s="1726"/>
      <c r="E21" s="1726"/>
      <c r="F21" s="1726"/>
      <c r="G21" s="1726"/>
      <c r="H21" s="1726"/>
      <c r="I21" s="1726"/>
      <c r="J21" s="1726"/>
      <c r="K21" s="1726"/>
      <c r="L21" s="1726"/>
      <c r="M21" s="1726"/>
      <c r="N21" s="1726"/>
      <c r="O21" s="1726"/>
      <c r="P21" s="1726"/>
      <c r="Q21" s="1726"/>
      <c r="R21" s="1726"/>
      <c r="S21" s="1726"/>
      <c r="T21" s="1726"/>
      <c r="U21" s="105"/>
      <c r="V21" s="1726"/>
      <c r="W21" s="1726"/>
    </row>
    <row r="22" spans="1:80" s="1832" customFormat="1" ht="15" customHeight="1">
      <c r="U22" s="106"/>
    </row>
    <row r="23" spans="1:80" s="3874" customFormat="1" ht="15" customHeight="1">
      <c r="A23" s="356"/>
      <c r="B23" s="356"/>
      <c r="C23" s="1638" t="s">
        <v>417</v>
      </c>
      <c r="D23" s="3928" t="s">
        <v>107</v>
      </c>
      <c r="E23" s="3929"/>
      <c r="F23" s="3927" t="s">
        <v>55</v>
      </c>
      <c r="G23" s="4293"/>
      <c r="H23" s="3946">
        <v>1</v>
      </c>
      <c r="I23" s="4295" t="str">
        <f>IF(U23="","",INDEX(TERRITORY_MR_LIST,MATCH(U23,TERRITORY_LIST_ID,0)))</f>
        <v/>
      </c>
      <c r="J23" s="3927" t="s">
        <v>55</v>
      </c>
      <c r="K23" s="749"/>
      <c r="L23" s="1693" t="s">
        <v>107</v>
      </c>
      <c r="M23" s="525"/>
      <c r="N23" s="526"/>
      <c r="O23" s="526"/>
      <c r="P23" s="526"/>
      <c r="Q23" s="526"/>
      <c r="R23" s="526"/>
      <c r="S23" s="526"/>
      <c r="T23" s="526"/>
      <c r="U23" s="527"/>
      <c r="V23" s="526"/>
      <c r="W23" s="526"/>
      <c r="X23" s="518"/>
      <c r="Y23" s="518" t="s">
        <v>116</v>
      </c>
      <c r="Z23" s="518">
        <v>1705000</v>
      </c>
      <c r="AA23" s="518"/>
      <c r="AB23" s="518"/>
      <c r="AC23" s="518"/>
      <c r="AD23" s="518"/>
      <c r="AE23" s="518"/>
      <c r="AF23" s="518"/>
      <c r="AG23" s="518"/>
      <c r="AH23" s="518"/>
      <c r="AI23" s="518"/>
      <c r="AJ23" s="518"/>
      <c r="AK23" s="518"/>
      <c r="AL23" s="518"/>
    </row>
    <row r="24" spans="1:80" s="3874" customFormat="1" ht="15" customHeight="1">
      <c r="A24" s="356"/>
      <c r="B24" s="356"/>
      <c r="C24" s="97"/>
      <c r="D24" s="3928"/>
      <c r="E24" s="3930"/>
      <c r="F24" s="3927"/>
      <c r="G24" s="4294"/>
      <c r="H24" s="3946"/>
      <c r="I24" s="4296"/>
      <c r="J24" s="3927"/>
      <c r="K24" s="354"/>
      <c r="L24" s="98"/>
      <c r="M24" s="528" t="s">
        <v>117</v>
      </c>
      <c r="N24" s="526"/>
      <c r="O24" s="526"/>
      <c r="P24" s="526"/>
      <c r="Q24" s="526"/>
      <c r="R24" s="526"/>
      <c r="S24" s="526"/>
      <c r="T24" s="526"/>
      <c r="U24" s="527"/>
      <c r="V24" s="526"/>
      <c r="W24" s="526"/>
      <c r="X24" s="518"/>
      <c r="Y24" s="518"/>
      <c r="Z24" s="518"/>
      <c r="AA24" s="518"/>
      <c r="AB24" s="518"/>
      <c r="AC24" s="518"/>
      <c r="AD24" s="518"/>
      <c r="AE24" s="518"/>
      <c r="AF24" s="518"/>
      <c r="AG24" s="518"/>
      <c r="AH24" s="518"/>
      <c r="AI24" s="518"/>
      <c r="AJ24" s="518"/>
      <c r="AK24" s="518"/>
      <c r="AL24" s="518"/>
    </row>
    <row r="25" spans="1:80" s="3874" customFormat="1" ht="15" customHeight="1">
      <c r="A25" s="356"/>
      <c r="B25" s="356"/>
      <c r="C25" s="97"/>
      <c r="D25" s="3928"/>
      <c r="E25" s="3931"/>
      <c r="F25" s="3927"/>
      <c r="G25" s="354"/>
      <c r="H25" s="98"/>
      <c r="I25" s="505" t="s">
        <v>118</v>
      </c>
      <c r="J25" s="98"/>
      <c r="K25" s="98"/>
      <c r="L25" s="98"/>
      <c r="M25" s="529"/>
      <c r="N25" s="526"/>
      <c r="O25" s="526"/>
      <c r="P25" s="526"/>
      <c r="Q25" s="526"/>
      <c r="R25" s="526"/>
      <c r="S25" s="526"/>
      <c r="T25" s="526"/>
      <c r="U25" s="527"/>
      <c r="V25" s="526"/>
      <c r="W25" s="526"/>
      <c r="X25" s="518"/>
      <c r="Y25" s="518"/>
      <c r="Z25" s="518"/>
      <c r="AA25" s="518"/>
      <c r="AB25" s="518"/>
      <c r="AC25" s="518"/>
      <c r="AD25" s="518"/>
      <c r="AE25" s="518"/>
      <c r="AF25" s="518"/>
      <c r="AG25" s="518"/>
      <c r="AH25" s="518"/>
      <c r="AI25" s="518"/>
      <c r="AJ25" s="518"/>
      <c r="AK25" s="518"/>
      <c r="AL25" s="518"/>
    </row>
    <row r="26" spans="1:80" s="1832" customFormat="1" ht="15" customHeight="1">
      <c r="U26" s="106"/>
    </row>
    <row r="27" spans="1:80" s="1832" customFormat="1" ht="15" customHeight="1">
      <c r="A27" s="1726" t="s">
        <v>1131</v>
      </c>
      <c r="B27" s="1726"/>
      <c r="C27" s="1726"/>
      <c r="D27" s="1726"/>
      <c r="E27" s="1726"/>
      <c r="F27" s="1726"/>
      <c r="G27" s="1726"/>
      <c r="H27" s="1726"/>
      <c r="I27" s="1726"/>
      <c r="J27" s="1726"/>
      <c r="K27" s="1726"/>
      <c r="L27" s="1726"/>
      <c r="M27" s="1726"/>
      <c r="N27" s="1726"/>
      <c r="O27" s="1726"/>
      <c r="P27" s="1726"/>
      <c r="Q27" s="1726"/>
      <c r="R27" s="1726"/>
      <c r="S27" s="1726"/>
      <c r="T27" s="1726"/>
      <c r="U27" s="105"/>
      <c r="V27" s="1726"/>
      <c r="W27" s="1726"/>
    </row>
    <row r="28" spans="1:80" s="1832" customFormat="1" ht="15" customHeight="1">
      <c r="U28" s="106"/>
    </row>
    <row r="29" spans="1:80" s="3874" customFormat="1" ht="15" customHeight="1">
      <c r="A29" s="356"/>
      <c r="B29" s="356"/>
      <c r="C29" s="97"/>
      <c r="D29" s="1730"/>
      <c r="E29" s="1730"/>
      <c r="F29" s="1730"/>
      <c r="G29" s="4297" t="s">
        <v>417</v>
      </c>
      <c r="H29" s="3917">
        <v>1</v>
      </c>
      <c r="I29" s="4298" t="str">
        <f>IF(U29="","",INDEX(TERRITORY_MR_LIST,MATCH(U29,TERRITORY_LIST_ID,0)))</f>
        <v/>
      </c>
      <c r="J29" s="3927" t="s">
        <v>55</v>
      </c>
      <c r="K29" s="749"/>
      <c r="L29" s="1693" t="s">
        <v>107</v>
      </c>
      <c r="M29" s="525"/>
      <c r="N29" s="526"/>
      <c r="O29" s="526"/>
      <c r="P29" s="526"/>
      <c r="Q29" s="526"/>
      <c r="R29" s="526"/>
      <c r="S29" s="526"/>
      <c r="T29" s="526"/>
      <c r="U29" s="527"/>
      <c r="V29" s="526"/>
      <c r="W29" s="526"/>
      <c r="X29" s="518"/>
      <c r="Y29" s="518" t="s">
        <v>116</v>
      </c>
      <c r="Z29" s="518">
        <v>1705000</v>
      </c>
      <c r="AA29" s="518"/>
      <c r="AB29" s="518"/>
      <c r="AC29" s="518"/>
      <c r="AD29" s="518"/>
      <c r="AE29" s="518"/>
      <c r="AF29" s="518"/>
      <c r="AG29" s="518"/>
      <c r="AH29" s="518"/>
      <c r="AI29" s="518"/>
      <c r="AJ29" s="518"/>
      <c r="AK29" s="518"/>
      <c r="AL29" s="518"/>
    </row>
    <row r="30" spans="1:80" s="3874" customFormat="1" ht="15" customHeight="1">
      <c r="A30" s="356"/>
      <c r="B30" s="356"/>
      <c r="C30" s="97"/>
      <c r="D30" s="1730"/>
      <c r="E30" s="1730"/>
      <c r="F30" s="1730"/>
      <c r="G30" s="4297"/>
      <c r="H30" s="3917"/>
      <c r="I30" s="4298"/>
      <c r="J30" s="3927"/>
      <c r="K30" s="354"/>
      <c r="L30" s="98"/>
      <c r="M30" s="528" t="s">
        <v>117</v>
      </c>
      <c r="N30" s="526"/>
      <c r="O30" s="526"/>
      <c r="P30" s="526"/>
      <c r="Q30" s="526"/>
      <c r="R30" s="526"/>
      <c r="S30" s="526"/>
      <c r="T30" s="526"/>
      <c r="U30" s="527"/>
      <c r="V30" s="526"/>
      <c r="W30" s="526"/>
      <c r="X30" s="518"/>
      <c r="Y30" s="518"/>
      <c r="Z30" s="518"/>
      <c r="AA30" s="518"/>
      <c r="AB30" s="518"/>
      <c r="AC30" s="518"/>
      <c r="AD30" s="518"/>
      <c r="AE30" s="518"/>
      <c r="AF30" s="518"/>
      <c r="AG30" s="518"/>
      <c r="AH30" s="518"/>
      <c r="AI30" s="518"/>
      <c r="AJ30" s="518"/>
      <c r="AK30" s="518"/>
      <c r="AL30" s="518"/>
    </row>
    <row r="31" spans="1:80" s="1832" customFormat="1" ht="15" customHeight="1">
      <c r="U31" s="106"/>
    </row>
    <row r="32" spans="1:80" s="1832" customFormat="1" ht="15" customHeight="1">
      <c r="A32" s="1726" t="s">
        <v>1132</v>
      </c>
      <c r="B32" s="1726"/>
      <c r="C32" s="1726"/>
      <c r="D32" s="1726"/>
      <c r="E32" s="1726"/>
      <c r="F32" s="1726"/>
      <c r="G32" s="1726"/>
      <c r="H32" s="1726"/>
      <c r="I32" s="1726"/>
      <c r="J32" s="1726"/>
      <c r="K32" s="1726"/>
      <c r="L32" s="1726"/>
      <c r="M32" s="1726"/>
      <c r="N32" s="1726"/>
      <c r="O32" s="1726"/>
      <c r="P32" s="1726"/>
      <c r="Q32" s="1726"/>
      <c r="R32" s="1726"/>
      <c r="S32" s="1726"/>
      <c r="T32" s="1726"/>
      <c r="U32" s="105"/>
      <c r="V32" s="1726"/>
      <c r="W32" s="1726"/>
    </row>
    <row r="33" spans="1:38" s="1832" customFormat="1" ht="15" customHeight="1">
      <c r="U33" s="106"/>
    </row>
    <row r="34" spans="1:38" s="3874" customFormat="1" ht="15" customHeight="1">
      <c r="A34" s="356"/>
      <c r="B34" s="356"/>
      <c r="C34" s="97"/>
      <c r="D34" s="1730"/>
      <c r="E34" s="1730"/>
      <c r="F34" s="1730"/>
      <c r="G34" s="1730"/>
      <c r="H34" s="1730"/>
      <c r="I34" s="1730"/>
      <c r="J34" s="1730"/>
      <c r="K34" s="1710" t="s">
        <v>417</v>
      </c>
      <c r="L34" s="1639" t="s">
        <v>107</v>
      </c>
      <c r="M34" s="728"/>
      <c r="N34" s="729"/>
      <c r="O34" s="526"/>
      <c r="P34" s="526"/>
      <c r="Q34" s="526"/>
      <c r="R34" s="526"/>
      <c r="S34" s="526"/>
      <c r="T34" s="526"/>
      <c r="U34" s="527"/>
      <c r="V34" s="526"/>
      <c r="W34" s="526"/>
      <c r="X34" s="518"/>
      <c r="Y34" s="518" t="s">
        <v>116</v>
      </c>
      <c r="Z34" s="518">
        <v>1705000</v>
      </c>
      <c r="AA34" s="518"/>
      <c r="AB34" s="518"/>
      <c r="AC34" s="518"/>
      <c r="AD34" s="518"/>
      <c r="AE34" s="518"/>
      <c r="AF34" s="518"/>
      <c r="AG34" s="518"/>
      <c r="AH34" s="518"/>
      <c r="AI34" s="518"/>
      <c r="AJ34" s="518"/>
      <c r="AK34" s="518"/>
      <c r="AL34" s="518"/>
    </row>
    <row r="35" spans="1:38" s="1832" customFormat="1" ht="15" customHeight="1">
      <c r="U35" s="106"/>
    </row>
    <row r="36" spans="1:38" s="1832" customFormat="1" ht="15" customHeight="1">
      <c r="U36" s="106"/>
    </row>
    <row r="37" spans="1:38" s="3872" customFormat="1" ht="11.25" customHeight="1">
      <c r="A37" s="1726" t="s">
        <v>1133</v>
      </c>
    </row>
    <row r="38" spans="1:38" ht="11.25" customHeight="1"/>
    <row r="39" spans="1:38" s="1928" customFormat="1" ht="22.5" customHeight="1">
      <c r="A39" s="1702"/>
      <c r="B39" s="385"/>
      <c r="C39" s="772"/>
      <c r="D39" s="372"/>
      <c r="E39" s="773"/>
      <c r="F39" s="1723"/>
      <c r="G39" s="1731"/>
      <c r="H39" s="402"/>
    </row>
    <row r="40" spans="1:38" ht="11.25" customHeight="1"/>
    <row r="41" spans="1:38" s="3872" customFormat="1" ht="11.25" customHeight="1">
      <c r="A41" s="1726" t="s">
        <v>1134</v>
      </c>
    </row>
    <row r="42" spans="1:38" ht="11.25" customHeight="1"/>
    <row r="43" spans="1:38" s="1928" customFormat="1" ht="22.5" customHeight="1">
      <c r="A43" s="385"/>
      <c r="B43" s="385"/>
      <c r="C43" s="385"/>
      <c r="D43" s="372"/>
      <c r="E43" s="773"/>
      <c r="F43" s="774"/>
      <c r="G43" s="1731"/>
      <c r="H43" s="402"/>
    </row>
    <row r="46" spans="1:38" s="3872" customFormat="1" ht="17.25" customHeight="1">
      <c r="A46" s="1726" t="s">
        <v>1135</v>
      </c>
    </row>
    <row r="48" spans="1:38" s="1942" customFormat="1" ht="18.75" customHeight="1">
      <c r="A48" s="23"/>
      <c r="B48" s="1732"/>
      <c r="C48" s="1732"/>
      <c r="D48" s="1733"/>
      <c r="E48" s="1720"/>
      <c r="F48" s="781">
        <v>13</v>
      </c>
      <c r="G48" s="780"/>
      <c r="H48" s="710"/>
      <c r="I48" s="708"/>
      <c r="J48" s="446" t="s">
        <v>65</v>
      </c>
      <c r="K48" s="1734" t="s">
        <v>24</v>
      </c>
      <c r="L48" s="23"/>
      <c r="M48" s="1548"/>
      <c r="N48" s="1548"/>
      <c r="O48" s="1548"/>
      <c r="P48" s="442" t="s">
        <v>384</v>
      </c>
      <c r="Q48" s="442" t="s">
        <v>385</v>
      </c>
      <c r="R48" s="443" t="s">
        <v>386</v>
      </c>
      <c r="S48" s="1548" t="s">
        <v>387</v>
      </c>
      <c r="T48" s="1548"/>
      <c r="U48" s="1548"/>
      <c r="V48" s="1548"/>
    </row>
    <row r="50" spans="1:45" s="3872" customFormat="1" ht="11.25" customHeight="1">
      <c r="A50" s="1726" t="s">
        <v>1136</v>
      </c>
    </row>
    <row r="52" spans="1:45" s="1923" customFormat="1" ht="14.25" customHeight="1">
      <c r="C52" s="1599"/>
      <c r="D52" s="1780"/>
      <c r="E52" s="1688" t="s">
        <v>24</v>
      </c>
      <c r="F52" s="1779"/>
      <c r="G52" s="769"/>
      <c r="H52" s="1689"/>
      <c r="I52" s="1689"/>
      <c r="J52" s="365"/>
      <c r="K52" s="1774"/>
      <c r="L52" s="364"/>
      <c r="M52" s="1774"/>
      <c r="N52" s="365"/>
      <c r="O52" s="1774"/>
      <c r="P52" s="365"/>
      <c r="Q52" s="1774"/>
      <c r="R52" s="365"/>
      <c r="S52" s="767"/>
      <c r="T52" s="1689"/>
      <c r="U52" s="365"/>
      <c r="V52" s="365"/>
      <c r="W52" s="1778"/>
      <c r="X52" s="1689"/>
      <c r="Y52" s="365"/>
      <c r="Z52" s="365"/>
      <c r="AA52" s="1778"/>
      <c r="AB52" s="1689"/>
      <c r="AC52" s="365"/>
      <c r="AD52" s="1778"/>
      <c r="AE52" s="23"/>
      <c r="AF52" s="23"/>
      <c r="AG52" s="23"/>
      <c r="AH52" s="23"/>
      <c r="AJ52" s="1548"/>
      <c r="AK52" s="1548"/>
      <c r="AL52" s="1548"/>
      <c r="AM52" s="1548"/>
      <c r="AN52" s="1548"/>
      <c r="AO52" s="1548"/>
      <c r="AP52" s="1536" t="s">
        <v>373</v>
      </c>
      <c r="AQ52" s="1536" t="s">
        <v>373</v>
      </c>
      <c r="AR52" s="1548"/>
      <c r="AS52" s="1548"/>
    </row>
    <row r="54" spans="1:45" s="3872" customFormat="1" ht="11.25" customHeight="1">
      <c r="A54" s="1726" t="s">
        <v>1137</v>
      </c>
    </row>
    <row r="56" spans="1:45" s="3863" customFormat="1" ht="15" customHeight="1">
      <c r="A56" s="69" t="s">
        <v>88</v>
      </c>
      <c r="B56" s="52" t="s">
        <v>24</v>
      </c>
      <c r="C56" s="1735"/>
      <c r="D56" s="55"/>
      <c r="E56" s="315"/>
      <c r="F56" s="315"/>
      <c r="G56" s="1714"/>
      <c r="H56" s="1734"/>
      <c r="I56" s="1715"/>
      <c r="K56" s="191"/>
      <c r="L56" s="192"/>
    </row>
    <row r="58" spans="1:45" s="3872" customFormat="1" ht="11.25" customHeight="1">
      <c r="A58" s="1726" t="s">
        <v>1138</v>
      </c>
    </row>
    <row r="60" spans="1:45" s="1923" customFormat="1" ht="14.25" customHeight="1">
      <c r="A60" s="269"/>
      <c r="B60" s="1060"/>
      <c r="C60" s="305"/>
      <c r="D60" s="1721"/>
      <c r="E60" s="799"/>
      <c r="F60" s="1734"/>
      <c r="G60" s="23"/>
      <c r="I60" s="1536"/>
      <c r="J60" s="1536"/>
    </row>
    <row r="62" spans="1:45" s="3872" customFormat="1" ht="11.25" customHeight="1">
      <c r="A62" s="1726" t="s">
        <v>1139</v>
      </c>
    </row>
    <row r="64" spans="1:45" s="1923" customFormat="1" ht="27" customHeight="1">
      <c r="A64" s="1066"/>
      <c r="B64" s="1066"/>
      <c r="C64" s="1066"/>
      <c r="D64" s="1060"/>
      <c r="E64" s="1736"/>
      <c r="F64" s="4310"/>
      <c r="G64" s="4311"/>
      <c r="H64" s="4312" t="s">
        <v>65</v>
      </c>
      <c r="I64" s="4314"/>
      <c r="J64" s="4288"/>
      <c r="K64" s="4316"/>
      <c r="L64" s="4290"/>
      <c r="M64" s="4290"/>
      <c r="N64" s="4291"/>
      <c r="O64" s="4291"/>
      <c r="P64" s="4292" t="e">
        <f>DATEDIF(DATEVALUE(N64),DATEVALUE(O64),"y")&amp;"г. "&amp;DATEDIF(DATEVALUE(N64),DATEVALUE(O64),"ym")&amp;"мес. "&amp;DATEVALUE(O64)-DATE(YEAR(DATEVALUE(O64)),MONTH(DATEVALUE(O64)),1)&amp;"дн. "</f>
        <v>#VALUE!</v>
      </c>
      <c r="Q64" s="4287"/>
      <c r="R64" s="4287"/>
      <c r="S64" s="4287"/>
      <c r="T64" s="4288"/>
      <c r="U64" s="4287"/>
      <c r="V64" s="4287"/>
      <c r="W64" s="4287"/>
      <c r="X64" s="4288"/>
      <c r="Y64" s="4285" t="s">
        <v>65</v>
      </c>
      <c r="Z64" s="1719"/>
      <c r="AA64" s="1703">
        <v>1</v>
      </c>
      <c r="AB64" s="1151"/>
      <c r="AD64" s="1548" t="s">
        <v>1140</v>
      </c>
    </row>
    <row r="65" spans="1:58" s="1923" customFormat="1" ht="10.5" customHeight="1">
      <c r="A65" s="1066"/>
      <c r="B65" s="1066"/>
      <c r="C65" s="1066"/>
      <c r="D65" s="1060"/>
      <c r="E65" s="856"/>
      <c r="F65" s="4310"/>
      <c r="G65" s="4311"/>
      <c r="H65" s="4313"/>
      <c r="I65" s="4315"/>
      <c r="J65" s="4289"/>
      <c r="K65" s="4316"/>
      <c r="L65" s="4290"/>
      <c r="M65" s="4290"/>
      <c r="N65" s="4291"/>
      <c r="O65" s="4291"/>
      <c r="P65" s="4292"/>
      <c r="Q65" s="4287"/>
      <c r="R65" s="4287"/>
      <c r="S65" s="4287"/>
      <c r="T65" s="4289"/>
      <c r="U65" s="4287"/>
      <c r="V65" s="4287"/>
      <c r="W65" s="4287"/>
      <c r="X65" s="4289"/>
      <c r="Y65" s="4286"/>
      <c r="Z65" s="273"/>
      <c r="AA65" s="497"/>
      <c r="AB65" s="573" t="s">
        <v>1141</v>
      </c>
    </row>
    <row r="67" spans="1:58" s="3872" customFormat="1" ht="11.25" customHeight="1">
      <c r="A67" s="1726" t="s">
        <v>1142</v>
      </c>
    </row>
    <row r="69" spans="1:58" s="1923" customFormat="1" ht="27" customHeight="1">
      <c r="A69" s="1066"/>
      <c r="B69" s="1066"/>
      <c r="C69" s="1066"/>
      <c r="D69" s="1060"/>
      <c r="E69" s="1736"/>
      <c r="F69" s="1708"/>
      <c r="G69" s="1657"/>
      <c r="H69" s="1658"/>
      <c r="I69" s="1659"/>
      <c r="J69" s="1660"/>
      <c r="K69" s="1661"/>
      <c r="L69" s="1662"/>
      <c r="M69" s="1662"/>
      <c r="N69" s="1663"/>
      <c r="O69" s="1663"/>
      <c r="P69" s="1664"/>
      <c r="Q69" s="1665"/>
      <c r="R69" s="1665"/>
      <c r="S69" s="1665"/>
      <c r="T69" s="1660"/>
      <c r="U69" s="1665"/>
      <c r="V69" s="1665"/>
      <c r="W69" s="1665"/>
      <c r="X69" s="1660"/>
      <c r="Y69" s="1658"/>
      <c r="Z69" s="1719"/>
      <c r="AA69" s="1703">
        <v>1</v>
      </c>
      <c r="AB69" s="1151"/>
      <c r="AD69" s="1548" t="s">
        <v>1140</v>
      </c>
    </row>
    <row r="71" spans="1:58" s="3872" customFormat="1" ht="11.25" customHeight="1">
      <c r="A71" s="1726" t="s">
        <v>1143</v>
      </c>
    </row>
    <row r="72" spans="1:58" ht="17.25" customHeight="1"/>
    <row r="73" spans="1:58" s="1923" customFormat="1" ht="21" customHeight="1">
      <c r="A73" s="1067"/>
      <c r="B73" s="1066"/>
      <c r="C73" s="1066"/>
      <c r="D73" s="1060"/>
      <c r="E73" s="1070"/>
      <c r="F73" s="1025" t="e">
        <f>INDEX(IP_MAIN_LIST_NAME_IP,MATCH(A73,IP_MAIN_LIST_IP_ID,0))&amp;" ("&amp;INDEX(IP_MAIN_START_DATE,MATCH(A73,IP_MAIN_LIST_IP_ID,0))&amp;"-"&amp;INDEX(IP_MAIN_END_DATE,MATCH(A73,IP_MAIN_LIST_IP_ID,0))&amp;")"</f>
        <v>#N/A</v>
      </c>
      <c r="G73" s="1026"/>
      <c r="H73" s="1026"/>
      <c r="I73" s="1087"/>
      <c r="J73" s="1087"/>
      <c r="K73" s="1088"/>
      <c r="L73" s="1088"/>
      <c r="M73" s="1088"/>
      <c r="N73" s="1089"/>
      <c r="O73" s="1089"/>
      <c r="P73" s="1089"/>
      <c r="Q73" s="1089"/>
      <c r="R73" s="1089"/>
      <c r="S73" s="1089"/>
      <c r="T73" s="1089"/>
      <c r="U73" s="1089"/>
      <c r="V73" s="1089"/>
      <c r="W73" s="1089"/>
      <c r="X73" s="1089"/>
      <c r="Y73" s="1089"/>
      <c r="Z73" s="1089"/>
      <c r="AA73" s="1089"/>
      <c r="AB73" s="1089"/>
      <c r="AC73" s="1089"/>
      <c r="AD73" s="1089"/>
      <c r="AE73" s="1090"/>
      <c r="AF73" s="1088"/>
      <c r="AG73" s="1088"/>
      <c r="AH73" s="1088"/>
      <c r="AI73" s="1088"/>
      <c r="AJ73" s="1088"/>
      <c r="AK73" s="1088"/>
      <c r="AL73" s="1071"/>
      <c r="AM73" s="1732"/>
      <c r="AN73" s="1732"/>
      <c r="AO73" s="1732"/>
      <c r="AP73" s="1732"/>
      <c r="AQ73" s="1732"/>
      <c r="AR73" s="1732"/>
      <c r="AS73" s="1732"/>
      <c r="AT73" s="1732"/>
      <c r="AU73" s="1732"/>
      <c r="AV73" s="1732"/>
      <c r="AW73" s="1732"/>
      <c r="AX73" s="1732"/>
      <c r="AY73" s="1732"/>
      <c r="AZ73" s="1732"/>
      <c r="BA73" s="1732"/>
      <c r="BB73" s="1732"/>
      <c r="BC73" s="1732"/>
      <c r="BD73" s="1732"/>
      <c r="BE73" s="1732"/>
      <c r="BF73" s="1732"/>
    </row>
    <row r="74" spans="1:58" s="1923" customFormat="1" ht="11.25" customHeight="1">
      <c r="A74" s="1066"/>
      <c r="B74" s="1066"/>
      <c r="C74" s="1066"/>
      <c r="D74" s="1060"/>
      <c r="E74" s="1070"/>
      <c r="F74" s="4283"/>
      <c r="G74" s="4194"/>
      <c r="H74" s="4194" t="s">
        <v>107</v>
      </c>
      <c r="I74" s="4269"/>
      <c r="J74" s="4256"/>
      <c r="K74" s="4270"/>
      <c r="L74" s="4262" t="s">
        <v>55</v>
      </c>
      <c r="M74" s="3928"/>
      <c r="N74" s="1079"/>
      <c r="O74" s="1078" t="s">
        <v>368</v>
      </c>
      <c r="P74" s="1079"/>
      <c r="Q74" s="1079"/>
      <c r="R74" s="1079"/>
      <c r="S74" s="1079"/>
      <c r="T74" s="1079"/>
      <c r="U74" s="1079"/>
      <c r="V74" s="1079"/>
      <c r="W74" s="1079"/>
      <c r="X74" s="1079"/>
      <c r="Y74" s="1079"/>
      <c r="Z74" s="1079"/>
      <c r="AA74" s="1079"/>
      <c r="AB74" s="1079"/>
      <c r="AC74" s="1079"/>
      <c r="AD74" s="1079"/>
      <c r="AE74" s="1079"/>
      <c r="AF74" s="4261"/>
      <c r="AG74" s="4262"/>
      <c r="AH74" s="4262"/>
      <c r="AI74" s="4261"/>
      <c r="AJ74" s="4262"/>
      <c r="AK74" s="4262"/>
      <c r="AL74" s="1073"/>
      <c r="AM74" s="1732"/>
      <c r="AN74" s="1732"/>
      <c r="AO74" s="1732"/>
      <c r="AP74" s="1732"/>
      <c r="AQ74" s="1732"/>
      <c r="AR74" s="1732"/>
      <c r="AS74" s="1732"/>
      <c r="AT74" s="1732"/>
      <c r="AU74" s="1732"/>
      <c r="AV74" s="1732"/>
      <c r="AW74" s="1732"/>
      <c r="AX74" s="1732"/>
      <c r="AY74" s="1732"/>
      <c r="AZ74" s="1732"/>
      <c r="BA74" s="1732"/>
      <c r="BB74" s="1732"/>
      <c r="BC74" s="1732"/>
      <c r="BD74" s="1732"/>
      <c r="BE74" s="1732"/>
      <c r="BF74" s="1732"/>
    </row>
    <row r="75" spans="1:58" s="1923" customFormat="1" ht="11.25" customHeight="1">
      <c r="A75" s="1066"/>
      <c r="B75" s="1066"/>
      <c r="C75" s="1066"/>
      <c r="D75" s="1060"/>
      <c r="E75" s="1070"/>
      <c r="F75" s="4283"/>
      <c r="G75" s="4194"/>
      <c r="H75" s="4194"/>
      <c r="I75" s="4269"/>
      <c r="J75" s="4256"/>
      <c r="K75" s="4270"/>
      <c r="L75" s="4262"/>
      <c r="M75" s="3928"/>
      <c r="N75" s="4263"/>
      <c r="O75" s="4264">
        <v>1</v>
      </c>
      <c r="P75" s="4265" t="s">
        <v>55</v>
      </c>
      <c r="Q75" s="4175" t="s">
        <v>24</v>
      </c>
      <c r="R75" s="4175" t="s">
        <v>24</v>
      </c>
      <c r="S75" s="4175" t="s">
        <v>24</v>
      </c>
      <c r="T75" s="4175" t="s">
        <v>24</v>
      </c>
      <c r="U75" s="4175" t="s">
        <v>24</v>
      </c>
      <c r="V75" s="4175" t="s">
        <v>24</v>
      </c>
      <c r="W75" s="4175" t="s">
        <v>24</v>
      </c>
      <c r="X75" s="4175" t="s">
        <v>24</v>
      </c>
      <c r="Y75" s="4175"/>
      <c r="Z75" s="1076"/>
      <c r="AA75" s="1077"/>
      <c r="AB75" s="1077"/>
      <c r="AC75" s="1081"/>
      <c r="AD75" s="1081"/>
      <c r="AE75" s="1082"/>
      <c r="AF75" s="4261"/>
      <c r="AG75" s="4262"/>
      <c r="AH75" s="4262"/>
      <c r="AI75" s="4261"/>
      <c r="AJ75" s="4262"/>
      <c r="AK75" s="4262"/>
      <c r="AL75" s="1073"/>
      <c r="AM75" s="1732"/>
      <c r="AN75" s="1732"/>
      <c r="AO75" s="1732"/>
      <c r="AP75" s="1732"/>
      <c r="AQ75" s="1732"/>
      <c r="AR75" s="1732"/>
      <c r="AS75" s="1732"/>
      <c r="AT75" s="1732"/>
      <c r="AU75" s="1732"/>
      <c r="AV75" s="1732"/>
      <c r="AW75" s="1732"/>
      <c r="AX75" s="1732"/>
      <c r="AY75" s="1732"/>
      <c r="AZ75" s="1732"/>
      <c r="BA75" s="1732"/>
      <c r="BB75" s="1732"/>
      <c r="BC75" s="1732"/>
      <c r="BD75" s="1732"/>
      <c r="BE75" s="1732"/>
      <c r="BF75" s="1732"/>
    </row>
    <row r="76" spans="1:58" s="1923" customFormat="1" ht="11.25" customHeight="1">
      <c r="A76" s="1066"/>
      <c r="B76" s="1066"/>
      <c r="C76" s="1066"/>
      <c r="D76" s="1060"/>
      <c r="E76" s="1070"/>
      <c r="F76" s="4283"/>
      <c r="G76" s="4194"/>
      <c r="H76" s="4194"/>
      <c r="I76" s="4269"/>
      <c r="J76" s="4256"/>
      <c r="K76" s="4270"/>
      <c r="L76" s="4262"/>
      <c r="M76" s="3928"/>
      <c r="N76" s="4263"/>
      <c r="O76" s="4264"/>
      <c r="P76" s="4266"/>
      <c r="Q76" s="4175"/>
      <c r="R76" s="4175"/>
      <c r="S76" s="4268"/>
      <c r="T76" s="4175"/>
      <c r="U76" s="4175"/>
      <c r="V76" s="4175"/>
      <c r="W76" s="4175"/>
      <c r="X76" s="4175"/>
      <c r="Y76" s="4175"/>
      <c r="Z76" s="1737"/>
      <c r="AA76" s="1705">
        <v>1</v>
      </c>
      <c r="AB76" s="1080"/>
      <c r="AC76" s="1069"/>
      <c r="AD76" s="1080">
        <f>AB76</f>
        <v>0</v>
      </c>
      <c r="AE76" s="1069"/>
      <c r="AF76" s="4261"/>
      <c r="AG76" s="4262"/>
      <c r="AH76" s="4262"/>
      <c r="AI76" s="4261"/>
      <c r="AJ76" s="4262"/>
      <c r="AK76" s="4262"/>
      <c r="AL76" s="1073"/>
      <c r="AM76" s="1732"/>
      <c r="AN76" s="1732"/>
      <c r="AO76" s="1732"/>
      <c r="AP76" s="1732"/>
      <c r="AQ76" s="1732"/>
      <c r="AR76" s="1732"/>
      <c r="AS76" s="1732"/>
      <c r="AT76" s="1732"/>
      <c r="AU76" s="1732"/>
      <c r="AV76" s="1732"/>
      <c r="AW76" s="1732"/>
      <c r="AX76" s="1732"/>
      <c r="AY76" s="1732"/>
      <c r="AZ76" s="1732"/>
      <c r="BA76" s="1732"/>
      <c r="BB76" s="1732"/>
      <c r="BC76" s="1732"/>
      <c r="BD76" s="1732"/>
      <c r="BE76" s="1732"/>
      <c r="BF76" s="1732"/>
    </row>
    <row r="77" spans="1:58" s="1923" customFormat="1" ht="11.25" customHeight="1">
      <c r="A77" s="1066"/>
      <c r="B77" s="1066"/>
      <c r="C77" s="1066"/>
      <c r="D77" s="1060"/>
      <c r="E77" s="1070"/>
      <c r="F77" s="4283"/>
      <c r="G77" s="4194"/>
      <c r="H77" s="4194"/>
      <c r="I77" s="4269"/>
      <c r="J77" s="4256"/>
      <c r="K77" s="4270"/>
      <c r="L77" s="4262"/>
      <c r="M77" s="3928"/>
      <c r="N77" s="4263"/>
      <c r="O77" s="4264"/>
      <c r="P77" s="4267"/>
      <c r="Q77" s="4175"/>
      <c r="R77" s="4175"/>
      <c r="S77" s="4268"/>
      <c r="T77" s="4175"/>
      <c r="U77" s="4175"/>
      <c r="V77" s="4175"/>
      <c r="W77" s="4175"/>
      <c r="X77" s="4175"/>
      <c r="Y77" s="4175"/>
      <c r="Z77" s="1076"/>
      <c r="AA77" s="1077"/>
      <c r="AB77" s="1150" t="s">
        <v>1144</v>
      </c>
      <c r="AC77" s="1081"/>
      <c r="AD77" s="1081"/>
      <c r="AE77" s="1083"/>
      <c r="AF77" s="4261"/>
      <c r="AG77" s="4262"/>
      <c r="AH77" s="4262"/>
      <c r="AI77" s="4261"/>
      <c r="AJ77" s="4262"/>
      <c r="AK77" s="4262"/>
      <c r="AL77" s="1073"/>
      <c r="AM77" s="1732"/>
      <c r="AN77" s="1732"/>
      <c r="AO77" s="1732"/>
      <c r="AP77" s="1732"/>
      <c r="AQ77" s="1732"/>
      <c r="AR77" s="1732"/>
      <c r="AS77" s="1732"/>
      <c r="AT77" s="1732"/>
      <c r="AU77" s="1732"/>
      <c r="AV77" s="1732"/>
      <c r="AW77" s="1732"/>
      <c r="AX77" s="1732"/>
      <c r="AY77" s="1732"/>
      <c r="AZ77" s="1732"/>
      <c r="BA77" s="1732"/>
      <c r="BB77" s="1732"/>
      <c r="BC77" s="1732"/>
      <c r="BD77" s="1732"/>
      <c r="BE77" s="1732"/>
      <c r="BF77" s="1732"/>
    </row>
    <row r="78" spans="1:58" s="1923" customFormat="1" ht="11.25" customHeight="1">
      <c r="A78" s="1066"/>
      <c r="B78" s="1066"/>
      <c r="C78" s="1066"/>
      <c r="D78" s="1060"/>
      <c r="E78" s="1070"/>
      <c r="F78" s="4283"/>
      <c r="G78" s="4194"/>
      <c r="H78" s="4194"/>
      <c r="I78" s="4269"/>
      <c r="J78" s="4256"/>
      <c r="K78" s="4270"/>
      <c r="L78" s="4262"/>
      <c r="M78" s="3928"/>
      <c r="N78" s="1077"/>
      <c r="O78" s="1077"/>
      <c r="P78" s="1068" t="s">
        <v>1145</v>
      </c>
      <c r="Q78" s="1077"/>
      <c r="R78" s="1077"/>
      <c r="S78" s="1077"/>
      <c r="T78" s="1077"/>
      <c r="U78" s="1077"/>
      <c r="V78" s="1077"/>
      <c r="W78" s="1077"/>
      <c r="X78" s="1077"/>
      <c r="Y78" s="1077"/>
      <c r="Z78" s="1077"/>
      <c r="AA78" s="1077"/>
      <c r="AB78" s="1077"/>
      <c r="AC78" s="1077"/>
      <c r="AD78" s="1077"/>
      <c r="AE78" s="1084"/>
      <c r="AF78" s="4261"/>
      <c r="AG78" s="4262"/>
      <c r="AH78" s="4262"/>
      <c r="AI78" s="4261"/>
      <c r="AJ78" s="4262"/>
      <c r="AK78" s="4262"/>
      <c r="AL78" s="1073"/>
      <c r="AM78" s="1732"/>
      <c r="AN78" s="1732"/>
      <c r="AO78" s="1732"/>
      <c r="AP78" s="1732"/>
      <c r="AQ78" s="1732"/>
      <c r="AR78" s="1732"/>
      <c r="AS78" s="1732"/>
      <c r="AT78" s="1732"/>
      <c r="AU78" s="1732"/>
      <c r="AV78" s="1732"/>
      <c r="AW78" s="1732"/>
      <c r="AX78" s="1732"/>
      <c r="AY78" s="1732"/>
      <c r="AZ78" s="1732"/>
      <c r="BA78" s="1732"/>
      <c r="BB78" s="1732"/>
      <c r="BC78" s="1732"/>
      <c r="BD78" s="1732"/>
      <c r="BE78" s="1732"/>
      <c r="BF78" s="1732"/>
    </row>
    <row r="79" spans="1:58" s="1923" customFormat="1" ht="12" customHeight="1">
      <c r="A79" s="1066"/>
      <c r="B79" s="1066"/>
      <c r="C79" s="1066"/>
      <c r="D79" s="1060"/>
      <c r="E79" s="1070"/>
      <c r="F79" s="4284"/>
      <c r="G79" s="1092"/>
      <c r="H79" s="1092"/>
      <c r="I79" s="4282" t="s">
        <v>1146</v>
      </c>
      <c r="J79" s="4282"/>
      <c r="K79" s="4282"/>
      <c r="L79" s="1074"/>
      <c r="M79" s="1074"/>
      <c r="N79" s="1075"/>
      <c r="O79" s="1075"/>
      <c r="P79" s="1075"/>
      <c r="Q79" s="1075"/>
      <c r="R79" s="1075"/>
      <c r="S79" s="1075"/>
      <c r="T79" s="1075"/>
      <c r="U79" s="1075"/>
      <c r="V79" s="1075"/>
      <c r="W79" s="1075"/>
      <c r="X79" s="1075"/>
      <c r="Y79" s="1075"/>
      <c r="Z79" s="1075"/>
      <c r="AA79" s="1075"/>
      <c r="AB79" s="1075"/>
      <c r="AC79" s="1075"/>
      <c r="AD79" s="1075"/>
      <c r="AE79" s="1075"/>
      <c r="AF79" s="1075"/>
      <c r="AG79" s="1074"/>
      <c r="AH79" s="1074"/>
      <c r="AI79" s="1075"/>
      <c r="AJ79" s="1074"/>
      <c r="AK79" s="1085"/>
      <c r="AL79" s="1073"/>
      <c r="AM79" s="1732"/>
      <c r="AN79" s="1732"/>
      <c r="AO79" s="1732"/>
      <c r="AP79" s="1732"/>
      <c r="AQ79" s="1732"/>
      <c r="AR79" s="1732"/>
      <c r="AS79" s="1732"/>
      <c r="AT79" s="1732"/>
      <c r="AU79" s="1732"/>
      <c r="AV79" s="1732"/>
      <c r="AW79" s="1732"/>
      <c r="AX79" s="1732"/>
      <c r="AY79" s="1732"/>
      <c r="AZ79" s="1732"/>
      <c r="BA79" s="1732"/>
      <c r="BB79" s="1732"/>
      <c r="BC79" s="1732"/>
      <c r="BD79" s="1732"/>
      <c r="BE79" s="1732"/>
      <c r="BF79" s="1732"/>
    </row>
    <row r="81" spans="1:58" s="3872" customFormat="1" ht="11.25" customHeight="1">
      <c r="A81" s="1726" t="s">
        <v>1147</v>
      </c>
    </row>
    <row r="83" spans="1:58" s="1923" customFormat="1" ht="11.25" customHeight="1">
      <c r="A83" s="1066"/>
      <c r="B83" s="1066"/>
      <c r="C83" s="1066"/>
      <c r="D83" s="1060"/>
      <c r="E83" s="1070"/>
      <c r="F83" s="1738"/>
      <c r="G83" s="1739"/>
      <c r="H83" s="1739"/>
      <c r="I83" s="1674"/>
      <c r="J83" s="1674"/>
      <c r="K83" s="1740"/>
      <c r="L83" s="1674"/>
      <c r="M83" s="1739"/>
      <c r="N83" s="4309"/>
      <c r="O83" s="4264">
        <v>1</v>
      </c>
      <c r="P83" s="4265" t="s">
        <v>55</v>
      </c>
      <c r="Q83" s="4175" t="s">
        <v>24</v>
      </c>
      <c r="R83" s="4175" t="s">
        <v>24</v>
      </c>
      <c r="S83" s="4175" t="s">
        <v>24</v>
      </c>
      <c r="T83" s="4175" t="s">
        <v>24</v>
      </c>
      <c r="U83" s="4175" t="s">
        <v>24</v>
      </c>
      <c r="V83" s="4175" t="s">
        <v>24</v>
      </c>
      <c r="W83" s="4175" t="s">
        <v>24</v>
      </c>
      <c r="X83" s="4175" t="s">
        <v>24</v>
      </c>
      <c r="Y83" s="4175"/>
      <c r="Z83" s="1076"/>
      <c r="AA83" s="1077"/>
      <c r="AB83" s="1077"/>
      <c r="AC83" s="1081"/>
      <c r="AD83" s="1081"/>
      <c r="AE83" s="1081"/>
      <c r="AF83" s="1741"/>
      <c r="AG83" s="1669"/>
      <c r="AH83" s="1669"/>
      <c r="AI83" s="1741"/>
      <c r="AJ83" s="1669"/>
      <c r="AK83" s="1669"/>
      <c r="AL83" s="1073"/>
      <c r="AM83" s="1732"/>
      <c r="AN83" s="1732"/>
      <c r="AO83" s="1732"/>
      <c r="AP83" s="1732"/>
      <c r="AQ83" s="1732"/>
      <c r="AR83" s="1732"/>
      <c r="AS83" s="1732"/>
      <c r="AT83" s="1732"/>
      <c r="AU83" s="1732"/>
      <c r="AV83" s="1732"/>
      <c r="AW83" s="1732"/>
      <c r="AX83" s="1732"/>
      <c r="AY83" s="1732"/>
      <c r="AZ83" s="1732"/>
      <c r="BA83" s="1732"/>
      <c r="BB83" s="1732"/>
      <c r="BC83" s="1732"/>
      <c r="BD83" s="1732"/>
      <c r="BE83" s="1732"/>
      <c r="BF83" s="1732"/>
    </row>
    <row r="84" spans="1:58" s="1923" customFormat="1" ht="11.25" customHeight="1">
      <c r="A84" s="1066"/>
      <c r="B84" s="1066"/>
      <c r="C84" s="1066"/>
      <c r="D84" s="1060"/>
      <c r="E84" s="1070"/>
      <c r="F84" s="1738"/>
      <c r="G84" s="1739"/>
      <c r="H84" s="1739"/>
      <c r="I84" s="1675"/>
      <c r="J84" s="1675"/>
      <c r="K84" s="1740"/>
      <c r="L84" s="1675"/>
      <c r="M84" s="1739"/>
      <c r="N84" s="4309"/>
      <c r="O84" s="4264"/>
      <c r="P84" s="4266"/>
      <c r="Q84" s="4175"/>
      <c r="R84" s="4175"/>
      <c r="S84" s="4268"/>
      <c r="T84" s="4175"/>
      <c r="U84" s="4175"/>
      <c r="V84" s="4175"/>
      <c r="W84" s="4175"/>
      <c r="X84" s="4175"/>
      <c r="Y84" s="4175"/>
      <c r="Z84" s="1737"/>
      <c r="AA84" s="1705">
        <v>1</v>
      </c>
      <c r="AB84" s="1080"/>
      <c r="AC84" s="1069"/>
      <c r="AD84" s="1080">
        <f>AB84</f>
        <v>0</v>
      </c>
      <c r="AE84" s="643"/>
      <c r="AF84" s="1740"/>
      <c r="AG84" s="1669"/>
      <c r="AH84" s="1669"/>
      <c r="AI84" s="1740"/>
      <c r="AJ84" s="1669"/>
      <c r="AK84" s="1669"/>
      <c r="AL84" s="1073"/>
      <c r="AM84" s="1732"/>
      <c r="AN84" s="1732"/>
      <c r="AO84" s="1732"/>
      <c r="AP84" s="1732"/>
      <c r="AQ84" s="1732"/>
      <c r="AR84" s="1732"/>
      <c r="AS84" s="1732"/>
      <c r="AT84" s="1732"/>
      <c r="AU84" s="1732"/>
      <c r="AV84" s="1732"/>
      <c r="AW84" s="1732"/>
      <c r="AX84" s="1732"/>
      <c r="AY84" s="1732"/>
      <c r="AZ84" s="1732"/>
      <c r="BA84" s="1732"/>
      <c r="BB84" s="1732"/>
      <c r="BC84" s="1732"/>
      <c r="BD84" s="1732"/>
      <c r="BE84" s="1732"/>
      <c r="BF84" s="1732"/>
    </row>
    <row r="85" spans="1:58" s="1923" customFormat="1" ht="11.25" customHeight="1">
      <c r="A85" s="1066"/>
      <c r="B85" s="1066"/>
      <c r="C85" s="1066"/>
      <c r="D85" s="1060"/>
      <c r="E85" s="1070"/>
      <c r="F85" s="1738"/>
      <c r="G85" s="1739"/>
      <c r="H85" s="1739"/>
      <c r="I85" s="1676"/>
      <c r="J85" s="1676"/>
      <c r="K85" s="1740"/>
      <c r="L85" s="1676"/>
      <c r="M85" s="1739"/>
      <c r="N85" s="4309"/>
      <c r="O85" s="4264"/>
      <c r="P85" s="4267"/>
      <c r="Q85" s="4175"/>
      <c r="R85" s="4175"/>
      <c r="S85" s="4268"/>
      <c r="T85" s="4175"/>
      <c r="U85" s="4175"/>
      <c r="V85" s="4175"/>
      <c r="W85" s="4175"/>
      <c r="X85" s="4175"/>
      <c r="Y85" s="4175"/>
      <c r="Z85" s="1076"/>
      <c r="AA85" s="1077"/>
      <c r="AB85" s="1150" t="s">
        <v>1144</v>
      </c>
      <c r="AC85" s="1081"/>
      <c r="AD85" s="1081"/>
      <c r="AE85" s="1081"/>
      <c r="AF85" s="1742"/>
      <c r="AG85" s="1669"/>
      <c r="AH85" s="1669"/>
      <c r="AI85" s="1742"/>
      <c r="AJ85" s="1669"/>
      <c r="AK85" s="1669"/>
      <c r="AL85" s="1073"/>
      <c r="AM85" s="1732"/>
      <c r="AN85" s="1732"/>
      <c r="AO85" s="1732"/>
      <c r="AP85" s="1732"/>
      <c r="AQ85" s="1732"/>
      <c r="AR85" s="1732"/>
      <c r="AS85" s="1732"/>
      <c r="AT85" s="1732"/>
      <c r="AU85" s="1732"/>
      <c r="AV85" s="1732"/>
      <c r="AW85" s="1732"/>
      <c r="AX85" s="1732"/>
      <c r="AY85" s="1732"/>
      <c r="AZ85" s="1732"/>
      <c r="BA85" s="1732"/>
      <c r="BB85" s="1732"/>
      <c r="BC85" s="1732"/>
      <c r="BD85" s="1732"/>
      <c r="BE85" s="1732"/>
      <c r="BF85" s="1732"/>
    </row>
    <row r="87" spans="1:58" s="3872" customFormat="1" ht="11.25" customHeight="1">
      <c r="A87" s="1726" t="s">
        <v>1148</v>
      </c>
    </row>
    <row r="89" spans="1:58" s="1923" customFormat="1" ht="11.25" customHeight="1">
      <c r="A89" s="1066"/>
      <c r="B89" s="1066"/>
      <c r="C89" s="1066"/>
      <c r="D89" s="1060"/>
      <c r="E89" s="1070"/>
      <c r="F89" s="1739"/>
      <c r="G89" s="1739"/>
      <c r="H89" s="1739"/>
      <c r="I89" s="1739"/>
      <c r="J89" s="1739"/>
      <c r="K89" s="1739"/>
      <c r="L89" s="1739"/>
      <c r="M89" s="1739"/>
      <c r="N89" s="1739"/>
      <c r="O89" s="1739"/>
      <c r="P89" s="1739"/>
      <c r="Q89" s="1739"/>
      <c r="R89" s="1739"/>
      <c r="S89" s="1739"/>
      <c r="T89" s="1739"/>
      <c r="U89" s="1739"/>
      <c r="V89" s="1739"/>
      <c r="W89" s="1739"/>
      <c r="X89" s="1739"/>
      <c r="Y89" s="1739"/>
      <c r="Z89" s="1743"/>
      <c r="AA89" s="1725">
        <v>1</v>
      </c>
      <c r="AB89" s="1080"/>
      <c r="AC89" s="1069"/>
      <c r="AD89" s="1080">
        <f>AB89</f>
        <v>0</v>
      </c>
      <c r="AE89" s="1069"/>
      <c r="AF89" s="1740"/>
      <c r="AG89" s="1669"/>
      <c r="AH89" s="1669"/>
      <c r="AI89" s="1740"/>
      <c r="AJ89" s="1669"/>
      <c r="AK89" s="1669"/>
      <c r="AL89" s="1073"/>
      <c r="AM89" s="1732"/>
      <c r="AN89" s="1732"/>
      <c r="AO89" s="1732"/>
      <c r="AP89" s="1732"/>
      <c r="AQ89" s="1732"/>
      <c r="AR89" s="1732"/>
      <c r="AS89" s="1732"/>
      <c r="AT89" s="1732"/>
      <c r="AU89" s="1732"/>
      <c r="AV89" s="1732"/>
      <c r="AW89" s="1732"/>
      <c r="AX89" s="1732"/>
      <c r="AY89" s="1732"/>
      <c r="AZ89" s="1732"/>
      <c r="BA89" s="1732"/>
      <c r="BB89" s="1732"/>
      <c r="BC89" s="1732"/>
      <c r="BD89" s="1732"/>
      <c r="BE89" s="1732"/>
      <c r="BF89" s="1732"/>
    </row>
    <row r="91" spans="1:58" s="3872" customFormat="1" ht="11.25" customHeight="1">
      <c r="A91" s="1726" t="s">
        <v>1149</v>
      </c>
    </row>
    <row r="93" spans="1:58" s="1923" customFormat="1" ht="11.25" customHeight="1">
      <c r="A93" s="1066"/>
      <c r="B93" s="1066"/>
      <c r="C93" s="1066"/>
      <c r="D93" s="1060"/>
      <c r="E93" s="1070"/>
      <c r="F93" s="1738"/>
      <c r="G93" s="1739"/>
      <c r="H93" s="4194" t="s">
        <v>107</v>
      </c>
      <c r="I93" s="4269"/>
      <c r="J93" s="4256"/>
      <c r="K93" s="4270"/>
      <c r="L93" s="4262" t="s">
        <v>55</v>
      </c>
      <c r="M93" s="3928"/>
      <c r="N93" s="1079"/>
      <c r="O93" s="1078" t="s">
        <v>368</v>
      </c>
      <c r="P93" s="1079"/>
      <c r="Q93" s="1079"/>
      <c r="R93" s="1079"/>
      <c r="S93" s="1079"/>
      <c r="T93" s="1079"/>
      <c r="U93" s="1079"/>
      <c r="V93" s="1079"/>
      <c r="W93" s="1079"/>
      <c r="X93" s="1079"/>
      <c r="Y93" s="1079"/>
      <c r="Z93" s="1079"/>
      <c r="AA93" s="1079"/>
      <c r="AB93" s="1079"/>
      <c r="AC93" s="1079"/>
      <c r="AD93" s="1079"/>
      <c r="AE93" s="1079"/>
      <c r="AF93" s="4261"/>
      <c r="AG93" s="4262"/>
      <c r="AH93" s="4262"/>
      <c r="AI93" s="4261"/>
      <c r="AJ93" s="4262"/>
      <c r="AK93" s="4262"/>
      <c r="AL93" s="1073"/>
      <c r="AM93" s="1732"/>
      <c r="AN93" s="1732"/>
      <c r="AO93" s="1732"/>
      <c r="AP93" s="1732"/>
      <c r="AQ93" s="1732"/>
      <c r="AR93" s="1732"/>
      <c r="AS93" s="1732"/>
      <c r="AT93" s="1732"/>
      <c r="AU93" s="1732"/>
      <c r="AV93" s="1732"/>
      <c r="AW93" s="1732"/>
      <c r="AX93" s="1732"/>
      <c r="AY93" s="1732"/>
      <c r="AZ93" s="1732"/>
      <c r="BA93" s="1732"/>
      <c r="BB93" s="1732"/>
      <c r="BC93" s="1732"/>
      <c r="BD93" s="1732"/>
      <c r="BE93" s="1732"/>
      <c r="BF93" s="1732"/>
    </row>
    <row r="94" spans="1:58" s="1923" customFormat="1" ht="11.25" customHeight="1">
      <c r="A94" s="1066"/>
      <c r="B94" s="1066"/>
      <c r="C94" s="1066"/>
      <c r="D94" s="1060"/>
      <c r="E94" s="1070"/>
      <c r="F94" s="1738"/>
      <c r="G94" s="1739"/>
      <c r="H94" s="4194"/>
      <c r="I94" s="4269"/>
      <c r="J94" s="4256"/>
      <c r="K94" s="4270"/>
      <c r="L94" s="4262"/>
      <c r="M94" s="3928"/>
      <c r="N94" s="4263"/>
      <c r="O94" s="4264">
        <v>1</v>
      </c>
      <c r="P94" s="4265" t="s">
        <v>55</v>
      </c>
      <c r="Q94" s="4175" t="s">
        <v>24</v>
      </c>
      <c r="R94" s="4175" t="s">
        <v>24</v>
      </c>
      <c r="S94" s="4175" t="s">
        <v>24</v>
      </c>
      <c r="T94" s="4175" t="s">
        <v>24</v>
      </c>
      <c r="U94" s="4175" t="s">
        <v>24</v>
      </c>
      <c r="V94" s="4175" t="s">
        <v>24</v>
      </c>
      <c r="W94" s="4175" t="s">
        <v>24</v>
      </c>
      <c r="X94" s="4175" t="s">
        <v>24</v>
      </c>
      <c r="Y94" s="4175"/>
      <c r="Z94" s="1076"/>
      <c r="AA94" s="1077"/>
      <c r="AB94" s="1077"/>
      <c r="AC94" s="1081"/>
      <c r="AD94" s="1081"/>
      <c r="AE94" s="1082"/>
      <c r="AF94" s="4261"/>
      <c r="AG94" s="4262"/>
      <c r="AH94" s="4262"/>
      <c r="AI94" s="4261"/>
      <c r="AJ94" s="4262"/>
      <c r="AK94" s="4262"/>
      <c r="AL94" s="1073"/>
      <c r="AM94" s="1732"/>
      <c r="AN94" s="1732"/>
      <c r="AO94" s="1732"/>
      <c r="AP94" s="1732"/>
      <c r="AQ94" s="1732"/>
      <c r="AR94" s="1732"/>
      <c r="AS94" s="1732"/>
      <c r="AT94" s="1732"/>
      <c r="AU94" s="1732"/>
      <c r="AV94" s="1732"/>
      <c r="AW94" s="1732"/>
      <c r="AX94" s="1732"/>
      <c r="AY94" s="1732"/>
      <c r="AZ94" s="1732"/>
      <c r="BA94" s="1732"/>
      <c r="BB94" s="1732"/>
      <c r="BC94" s="1732"/>
      <c r="BD94" s="1732"/>
      <c r="BE94" s="1732"/>
      <c r="BF94" s="1732"/>
    </row>
    <row r="95" spans="1:58" s="1923" customFormat="1" ht="11.25" customHeight="1">
      <c r="A95" s="1066"/>
      <c r="B95" s="1066"/>
      <c r="C95" s="1066"/>
      <c r="D95" s="1060"/>
      <c r="E95" s="1070"/>
      <c r="F95" s="1738"/>
      <c r="G95" s="1739"/>
      <c r="H95" s="4194"/>
      <c r="I95" s="4269"/>
      <c r="J95" s="4256"/>
      <c r="K95" s="4270"/>
      <c r="L95" s="4262"/>
      <c r="M95" s="3928"/>
      <c r="N95" s="4263"/>
      <c r="O95" s="4264"/>
      <c r="P95" s="4266"/>
      <c r="Q95" s="4175"/>
      <c r="R95" s="4175"/>
      <c r="S95" s="4268"/>
      <c r="T95" s="4175"/>
      <c r="U95" s="4175"/>
      <c r="V95" s="4175"/>
      <c r="W95" s="4175"/>
      <c r="X95" s="4175"/>
      <c r="Y95" s="4175"/>
      <c r="Z95" s="1737"/>
      <c r="AA95" s="1705">
        <v>1</v>
      </c>
      <c r="AB95" s="1080"/>
      <c r="AC95" s="1069"/>
      <c r="AD95" s="1080">
        <f>AB95</f>
        <v>0</v>
      </c>
      <c r="AE95" s="1069"/>
      <c r="AF95" s="4261"/>
      <c r="AG95" s="4262"/>
      <c r="AH95" s="4262"/>
      <c r="AI95" s="4261"/>
      <c r="AJ95" s="4262"/>
      <c r="AK95" s="4262"/>
      <c r="AL95" s="1073"/>
      <c r="AM95" s="1732"/>
      <c r="AN95" s="1732"/>
      <c r="AO95" s="1732"/>
      <c r="AP95" s="1732"/>
      <c r="AQ95" s="1732"/>
      <c r="AR95" s="1732"/>
      <c r="AS95" s="1732"/>
      <c r="AT95" s="1732"/>
      <c r="AU95" s="1732"/>
      <c r="AV95" s="1732"/>
      <c r="AW95" s="1732"/>
      <c r="AX95" s="1732"/>
      <c r="AY95" s="1732"/>
      <c r="AZ95" s="1732"/>
      <c r="BA95" s="1732"/>
      <c r="BB95" s="1732"/>
      <c r="BC95" s="1732"/>
      <c r="BD95" s="1732"/>
      <c r="BE95" s="1732"/>
      <c r="BF95" s="1732"/>
    </row>
    <row r="96" spans="1:58" s="1923" customFormat="1" ht="11.25" customHeight="1">
      <c r="A96" s="1066"/>
      <c r="B96" s="1066"/>
      <c r="C96" s="1066"/>
      <c r="D96" s="1060"/>
      <c r="E96" s="1070"/>
      <c r="F96" s="1738"/>
      <c r="G96" s="1739"/>
      <c r="H96" s="4194"/>
      <c r="I96" s="4269"/>
      <c r="J96" s="4256"/>
      <c r="K96" s="4270"/>
      <c r="L96" s="4262"/>
      <c r="M96" s="3928"/>
      <c r="N96" s="4263"/>
      <c r="O96" s="4264"/>
      <c r="P96" s="4267"/>
      <c r="Q96" s="4175"/>
      <c r="R96" s="4175"/>
      <c r="S96" s="4268"/>
      <c r="T96" s="4175"/>
      <c r="U96" s="4175"/>
      <c r="V96" s="4175"/>
      <c r="W96" s="4175"/>
      <c r="X96" s="4175"/>
      <c r="Y96" s="4175"/>
      <c r="Z96" s="1076"/>
      <c r="AA96" s="1077"/>
      <c r="AB96" s="1150" t="s">
        <v>1144</v>
      </c>
      <c r="AC96" s="1081"/>
      <c r="AD96" s="1081"/>
      <c r="AE96" s="1083"/>
      <c r="AF96" s="4261"/>
      <c r="AG96" s="4262"/>
      <c r="AH96" s="4262"/>
      <c r="AI96" s="4261"/>
      <c r="AJ96" s="4262"/>
      <c r="AK96" s="4262"/>
      <c r="AL96" s="1073"/>
      <c r="AM96" s="1732"/>
      <c r="AN96" s="1732"/>
      <c r="AO96" s="1732"/>
      <c r="AP96" s="1732"/>
      <c r="AQ96" s="1732"/>
      <c r="AR96" s="1732"/>
      <c r="AS96" s="1732"/>
      <c r="AT96" s="1732"/>
      <c r="AU96" s="1732"/>
      <c r="AV96" s="1732"/>
      <c r="AW96" s="1732"/>
      <c r="AX96" s="1732"/>
      <c r="AY96" s="1732"/>
      <c r="AZ96" s="1732"/>
      <c r="BA96" s="1732"/>
      <c r="BB96" s="1732"/>
      <c r="BC96" s="1732"/>
      <c r="BD96" s="1732"/>
      <c r="BE96" s="1732"/>
      <c r="BF96" s="1732"/>
    </row>
    <row r="97" spans="1:184" s="1923" customFormat="1" ht="11.25" customHeight="1">
      <c r="A97" s="1066"/>
      <c r="B97" s="1066"/>
      <c r="C97" s="1066"/>
      <c r="D97" s="1060"/>
      <c r="E97" s="1070"/>
      <c r="F97" s="1738"/>
      <c r="G97" s="1739"/>
      <c r="H97" s="4194"/>
      <c r="I97" s="4269"/>
      <c r="J97" s="4256"/>
      <c r="K97" s="4270"/>
      <c r="L97" s="4262"/>
      <c r="M97" s="3928"/>
      <c r="N97" s="1077"/>
      <c r="O97" s="1077"/>
      <c r="P97" s="1068" t="s">
        <v>1145</v>
      </c>
      <c r="Q97" s="1077"/>
      <c r="R97" s="1077"/>
      <c r="S97" s="1077"/>
      <c r="T97" s="1077"/>
      <c r="U97" s="1077"/>
      <c r="V97" s="1077"/>
      <c r="W97" s="1077"/>
      <c r="X97" s="1077"/>
      <c r="Y97" s="1077"/>
      <c r="Z97" s="1077"/>
      <c r="AA97" s="1077"/>
      <c r="AB97" s="1077"/>
      <c r="AC97" s="1077"/>
      <c r="AD97" s="1077"/>
      <c r="AE97" s="1084"/>
      <c r="AF97" s="4261"/>
      <c r="AG97" s="4262"/>
      <c r="AH97" s="4262"/>
      <c r="AI97" s="4261"/>
      <c r="AJ97" s="4262"/>
      <c r="AK97" s="4262"/>
      <c r="AL97" s="1073"/>
      <c r="AM97" s="1732"/>
      <c r="AN97" s="1732"/>
      <c r="AO97" s="1732"/>
      <c r="AP97" s="1732"/>
      <c r="AQ97" s="1732"/>
      <c r="AR97" s="1732"/>
      <c r="AS97" s="1732"/>
      <c r="AT97" s="1732"/>
      <c r="AU97" s="1732"/>
      <c r="AV97" s="1732"/>
      <c r="AW97" s="1732"/>
      <c r="AX97" s="1732"/>
      <c r="AY97" s="1732"/>
      <c r="AZ97" s="1732"/>
      <c r="BA97" s="1732"/>
      <c r="BB97" s="1732"/>
      <c r="BC97" s="1732"/>
      <c r="BD97" s="1732"/>
      <c r="BE97" s="1732"/>
      <c r="BF97" s="1732"/>
    </row>
    <row r="99" spans="1:184" s="3872" customFormat="1" ht="11.25" customHeight="1">
      <c r="A99" s="1726" t="s">
        <v>1150</v>
      </c>
    </row>
    <row r="100" spans="1:184" ht="17.25" customHeight="1"/>
    <row r="101" spans="1:184" s="3830" customFormat="1" ht="21" customHeight="1">
      <c r="A101" s="1067"/>
      <c r="B101" s="849"/>
      <c r="D101" s="836"/>
      <c r="E101" s="848" t="s">
        <v>24</v>
      </c>
      <c r="F101" s="1024" t="e">
        <f>INDEX(IP_MAIN_LIST_NAME_IP,MATCH(A101,IP_MAIN_LIST_IP_ID,0))&amp;" ("&amp;INDEX(IP_MAIN_START_DATE,MATCH(A101,IP_MAIN_LIST_IP_ID,0))&amp;"-"&amp;INDEX(IP_MAIN_END_DATE,MATCH(A101,IP_MAIN_LIST_IP_ID,0))&amp;")"</f>
        <v>#N/A</v>
      </c>
      <c r="G101" s="1105"/>
      <c r="H101" s="1106"/>
      <c r="I101" s="1106"/>
      <c r="J101" s="1106"/>
      <c r="K101" s="1106"/>
      <c r="L101" s="1106"/>
      <c r="M101" s="1106"/>
      <c r="N101" s="1106"/>
      <c r="O101" s="1105"/>
      <c r="P101" s="1105"/>
      <c r="Q101" s="1105"/>
      <c r="R101" s="1105"/>
      <c r="S101" s="1105"/>
      <c r="T101" s="1105"/>
      <c r="U101" s="1107"/>
      <c r="V101" s="1107"/>
      <c r="W101" s="1107"/>
      <c r="X101" s="1107"/>
      <c r="Y101" s="1107"/>
      <c r="Z101" s="1107"/>
      <c r="AA101" s="1107"/>
      <c r="AB101" s="1105"/>
      <c r="AC101" s="1106"/>
      <c r="AD101" s="1106"/>
      <c r="AE101" s="1106"/>
      <c r="AF101" s="1106"/>
      <c r="AG101" s="1106"/>
      <c r="AH101" s="1106"/>
      <c r="AI101" s="1106"/>
      <c r="AJ101" s="1106"/>
      <c r="AK101" s="1106"/>
      <c r="AL101" s="1106"/>
      <c r="AM101" s="1106"/>
      <c r="AN101" s="1106"/>
      <c r="AO101" s="1106"/>
      <c r="AP101" s="1106"/>
      <c r="AQ101" s="1106"/>
      <c r="AR101" s="1106"/>
      <c r="AS101" s="1106"/>
      <c r="AT101" s="1106"/>
      <c r="AU101" s="1106"/>
      <c r="AV101" s="1106"/>
      <c r="AW101" s="1106"/>
      <c r="AX101" s="1106"/>
      <c r="AY101" s="1106"/>
      <c r="AZ101" s="1106"/>
      <c r="BA101" s="1106"/>
      <c r="BB101" s="1106"/>
      <c r="BC101" s="1106"/>
      <c r="BD101" s="1106"/>
      <c r="BE101" s="1106"/>
      <c r="BF101" s="1106"/>
      <c r="BG101" s="1106"/>
      <c r="BH101" s="1106"/>
      <c r="BI101" s="1106"/>
      <c r="BJ101" s="1106"/>
      <c r="BK101" s="1106"/>
      <c r="BL101" s="1106"/>
      <c r="BM101" s="1106"/>
      <c r="BN101" s="1106"/>
      <c r="BO101" s="1106"/>
      <c r="BP101" s="1106"/>
      <c r="BQ101" s="1106"/>
      <c r="BR101" s="1106"/>
      <c r="BS101" s="1106"/>
      <c r="BT101" s="1106"/>
      <c r="BU101" s="1106"/>
      <c r="BV101" s="1106"/>
      <c r="BW101" s="1106"/>
      <c r="BX101" s="1106"/>
      <c r="BY101" s="1106"/>
      <c r="BZ101" s="1106"/>
      <c r="CA101" s="1106"/>
      <c r="CB101" s="1106"/>
      <c r="CC101" s="1106"/>
      <c r="CD101" s="1106"/>
      <c r="CE101" s="1106"/>
      <c r="CF101" s="1106"/>
      <c r="CG101" s="1106"/>
      <c r="CH101" s="1106"/>
      <c r="CI101" s="1106"/>
      <c r="CJ101" s="1106"/>
      <c r="CK101" s="1106"/>
      <c r="CL101" s="1108"/>
      <c r="CM101" s="1108"/>
      <c r="CN101" s="1108"/>
      <c r="CO101" s="1108"/>
      <c r="CP101" s="1108"/>
      <c r="CQ101" s="1108"/>
      <c r="CR101" s="1108"/>
      <c r="CS101" s="1108"/>
      <c r="CT101" s="1108"/>
      <c r="CU101" s="1108"/>
      <c r="CV101" s="1108"/>
      <c r="CW101" s="1108"/>
      <c r="CX101" s="1108"/>
      <c r="CY101" s="1108"/>
      <c r="CZ101" s="1108"/>
      <c r="DA101" s="1108"/>
      <c r="DB101" s="1108"/>
      <c r="DC101" s="1108"/>
      <c r="DD101" s="1108"/>
      <c r="DE101" s="1108"/>
      <c r="DF101" s="1108"/>
      <c r="DG101" s="1108"/>
      <c r="DH101" s="1108"/>
      <c r="DI101" s="1108"/>
      <c r="DJ101" s="1108"/>
      <c r="DK101" s="1108"/>
      <c r="DL101" s="1108"/>
      <c r="DM101" s="1108"/>
      <c r="DN101" s="1108"/>
      <c r="DO101" s="1108"/>
      <c r="DP101" s="1108"/>
      <c r="DQ101" s="1108"/>
      <c r="DR101" s="1108"/>
      <c r="DS101" s="1108"/>
      <c r="DT101" s="1108"/>
      <c r="DU101" s="1108"/>
      <c r="DV101" s="1108"/>
      <c r="DW101" s="1108"/>
      <c r="DX101" s="1108"/>
      <c r="DY101" s="1108"/>
      <c r="DZ101" s="1108"/>
      <c r="EA101" s="1108"/>
      <c r="EB101" s="1108"/>
      <c r="EC101" s="1108"/>
      <c r="ED101" s="1108"/>
      <c r="EE101" s="1108"/>
      <c r="EF101" s="1108"/>
      <c r="EG101" s="1108"/>
      <c r="EH101" s="1108"/>
      <c r="EI101" s="1108"/>
      <c r="EJ101" s="1108"/>
      <c r="EK101" s="1108"/>
      <c r="EL101" s="1108"/>
      <c r="EM101" s="1108"/>
      <c r="EN101" s="1108"/>
      <c r="EO101" s="1108"/>
      <c r="EP101" s="1108"/>
      <c r="EQ101" s="1108"/>
      <c r="ER101" s="1108"/>
      <c r="ES101" s="1108"/>
      <c r="ET101" s="1108"/>
      <c r="EU101" s="1108"/>
      <c r="EV101" s="1108"/>
      <c r="EW101" s="1108"/>
      <c r="EX101" s="1108"/>
      <c r="EY101" s="1108"/>
      <c r="EZ101" s="1108"/>
      <c r="FA101" s="1108"/>
      <c r="FB101" s="1108"/>
      <c r="FC101" s="1108"/>
      <c r="FD101" s="1108"/>
      <c r="FE101" s="1108"/>
      <c r="FF101" s="1108"/>
      <c r="FG101" s="1108"/>
      <c r="FH101" s="1108"/>
      <c r="FI101" s="1108"/>
      <c r="FJ101" s="1108"/>
      <c r="FK101" s="1108"/>
      <c r="FL101" s="1108"/>
      <c r="FM101" s="1108"/>
      <c r="FN101" s="1108"/>
      <c r="FO101" s="1108"/>
      <c r="FP101" s="1108"/>
      <c r="FQ101" s="1108"/>
      <c r="FR101" s="1108"/>
      <c r="FS101" s="1108"/>
      <c r="FT101" s="1108"/>
      <c r="FU101" s="1108"/>
      <c r="FV101" s="1109"/>
      <c r="FW101" s="1103"/>
      <c r="FX101" s="1104"/>
    </row>
    <row r="102" spans="1:184" s="3830" customFormat="1" ht="24.75" customHeight="1">
      <c r="B102" s="835"/>
      <c r="C102" s="836"/>
      <c r="D102" s="836"/>
      <c r="E102" s="1744"/>
      <c r="F102" s="1110">
        <v>1</v>
      </c>
      <c r="G102" s="1111"/>
      <c r="H102" s="1112"/>
      <c r="I102" s="1120"/>
      <c r="J102" s="1113"/>
      <c r="K102" s="1113"/>
      <c r="L102" s="1113"/>
      <c r="M102" s="1113"/>
      <c r="N102" s="1113"/>
      <c r="O102" s="1114"/>
      <c r="P102" s="1114"/>
      <c r="Q102" s="1114"/>
      <c r="R102" s="1114"/>
      <c r="S102" s="1114"/>
      <c r="T102" s="1114"/>
      <c r="U102" s="1114"/>
      <c r="V102" s="1114"/>
      <c r="W102" s="1114"/>
      <c r="X102" s="1114"/>
      <c r="Y102" s="1114"/>
      <c r="Z102" s="1114"/>
      <c r="AA102" s="1114"/>
      <c r="AB102" s="1114"/>
      <c r="AC102" s="1113"/>
      <c r="AD102" s="1113"/>
      <c r="AE102" s="1113"/>
      <c r="AF102" s="1113"/>
      <c r="AG102" s="1113"/>
      <c r="AH102" s="1113"/>
      <c r="AI102" s="1113"/>
      <c r="AJ102" s="1113"/>
      <c r="AK102" s="1113"/>
      <c r="AL102" s="1113"/>
      <c r="AM102" s="1113"/>
      <c r="AN102" s="1113"/>
      <c r="AO102" s="1113"/>
      <c r="AP102" s="1113"/>
      <c r="AQ102" s="1113"/>
      <c r="AR102" s="1113"/>
      <c r="AS102" s="1113"/>
      <c r="AT102" s="1113"/>
      <c r="AU102" s="1113"/>
      <c r="AV102" s="1113"/>
      <c r="AW102" s="1113"/>
      <c r="AX102" s="1113"/>
      <c r="AY102" s="1113"/>
      <c r="AZ102" s="1113"/>
      <c r="BA102" s="1113"/>
      <c r="BB102" s="1113"/>
      <c r="BC102" s="1113"/>
      <c r="BD102" s="1113"/>
      <c r="BE102" s="1113"/>
      <c r="BF102" s="1113"/>
      <c r="BG102" s="1113"/>
      <c r="BH102" s="1113"/>
      <c r="BI102" s="1113"/>
      <c r="BJ102" s="1113"/>
      <c r="BK102" s="1113"/>
      <c r="BL102" s="1113"/>
      <c r="BM102" s="1113"/>
      <c r="BN102" s="1113"/>
      <c r="BO102" s="1113"/>
      <c r="BP102" s="1113"/>
      <c r="BQ102" s="1113"/>
      <c r="BR102" s="1113"/>
      <c r="BS102" s="1113"/>
      <c r="BT102" s="1115"/>
      <c r="BU102" s="1115"/>
      <c r="BV102" s="1115"/>
      <c r="BW102" s="1115"/>
      <c r="BX102" s="1115"/>
      <c r="BY102" s="1115"/>
      <c r="BZ102" s="1115"/>
      <c r="CA102" s="1115"/>
      <c r="CB102" s="1115"/>
      <c r="CC102" s="1115"/>
      <c r="CD102" s="1115"/>
      <c r="CE102" s="1115"/>
      <c r="CF102" s="1115"/>
      <c r="CG102" s="1115"/>
      <c r="CH102" s="1115"/>
      <c r="CI102" s="1115"/>
      <c r="CJ102" s="1115"/>
      <c r="CK102" s="1115"/>
      <c r="CL102" s="1113"/>
      <c r="CM102" s="1113"/>
      <c r="CN102" s="1113"/>
      <c r="CO102" s="1113"/>
      <c r="CP102" s="1113"/>
      <c r="CQ102" s="1113"/>
      <c r="CR102" s="1113"/>
      <c r="CS102" s="1113"/>
      <c r="CT102" s="1113"/>
      <c r="CU102" s="1113"/>
      <c r="CV102" s="1113"/>
      <c r="CW102" s="1113"/>
      <c r="CX102" s="1113"/>
      <c r="CY102" s="1114"/>
      <c r="CZ102" s="1114"/>
      <c r="DA102" s="1114"/>
      <c r="DB102" s="1114"/>
      <c r="DC102" s="1114"/>
      <c r="DD102" s="1114"/>
      <c r="DE102" s="1114"/>
      <c r="DF102" s="1114"/>
      <c r="DG102" s="1114"/>
      <c r="DH102" s="1114"/>
      <c r="DI102" s="1114"/>
      <c r="DJ102" s="1114"/>
      <c r="DK102" s="1113"/>
      <c r="DL102" s="1113"/>
      <c r="DM102" s="1113"/>
      <c r="DN102" s="1113"/>
      <c r="DO102" s="1113"/>
      <c r="DP102" s="1113"/>
      <c r="DQ102" s="1113"/>
      <c r="DR102" s="1113"/>
      <c r="DS102" s="1113"/>
      <c r="DT102" s="1113"/>
      <c r="DU102" s="1113"/>
      <c r="DV102" s="1113"/>
      <c r="DW102" s="1113"/>
      <c r="DX102" s="1113"/>
      <c r="DY102" s="1113"/>
      <c r="DZ102" s="1113"/>
      <c r="EA102" s="1113"/>
      <c r="EB102" s="1113"/>
      <c r="EC102" s="1113"/>
      <c r="ED102" s="1113"/>
      <c r="EE102" s="1113"/>
      <c r="EF102" s="1113"/>
      <c r="EG102" s="1113"/>
      <c r="EH102" s="1113"/>
      <c r="EI102" s="1113"/>
      <c r="EJ102" s="1113"/>
      <c r="EK102" s="1113"/>
      <c r="EL102" s="1113"/>
      <c r="EM102" s="1113"/>
      <c r="EN102" s="1113"/>
      <c r="EO102" s="1113"/>
      <c r="EP102" s="1113"/>
      <c r="EQ102" s="1113"/>
      <c r="ER102" s="1113"/>
      <c r="ES102" s="1113"/>
      <c r="ET102" s="1113"/>
      <c r="EU102" s="1113"/>
      <c r="EV102" s="1113"/>
      <c r="EW102" s="1113"/>
      <c r="EX102" s="1113"/>
      <c r="EY102" s="1113"/>
      <c r="EZ102" s="1113"/>
      <c r="FA102" s="1113"/>
      <c r="FB102" s="1113"/>
      <c r="FC102" s="1113"/>
      <c r="FD102" s="1113"/>
      <c r="FE102" s="1113"/>
      <c r="FF102" s="1113"/>
      <c r="FG102" s="1113"/>
      <c r="FH102" s="1113"/>
      <c r="FI102" s="1113"/>
      <c r="FJ102" s="1113"/>
      <c r="FK102" s="1113"/>
      <c r="FL102" s="1113"/>
      <c r="FM102" s="1113"/>
      <c r="FN102" s="1113"/>
      <c r="FO102" s="1113"/>
      <c r="FP102" s="1113"/>
      <c r="FQ102" s="1113"/>
      <c r="FR102" s="1113"/>
      <c r="FS102" s="1113"/>
      <c r="FT102" s="1113"/>
      <c r="FU102" s="1113"/>
      <c r="FV102" s="1113"/>
      <c r="FW102" s="1113"/>
      <c r="FX102" s="1104"/>
    </row>
    <row r="103" spans="1:184" s="3830" customFormat="1" ht="12" customHeight="1">
      <c r="A103" s="836"/>
      <c r="B103" s="835"/>
      <c r="C103" s="836"/>
      <c r="D103" s="836"/>
      <c r="E103" s="836"/>
      <c r="F103" s="1116"/>
      <c r="G103" s="1711" t="s">
        <v>1151</v>
      </c>
      <c r="H103" s="1117"/>
      <c r="I103" s="1117"/>
      <c r="J103" s="1117"/>
      <c r="K103" s="1117"/>
      <c r="L103" s="1117"/>
      <c r="M103" s="1117"/>
      <c r="N103" s="1117"/>
      <c r="O103" s="1117"/>
      <c r="P103" s="1117"/>
      <c r="Q103" s="1117"/>
      <c r="R103" s="1117"/>
      <c r="S103" s="1117"/>
      <c r="T103" s="1117"/>
      <c r="U103" s="1117"/>
      <c r="V103" s="1117"/>
      <c r="W103" s="1117"/>
      <c r="X103" s="1117"/>
      <c r="Y103" s="1117"/>
      <c r="Z103" s="1117"/>
      <c r="AA103" s="1117"/>
      <c r="AB103" s="1117"/>
      <c r="AC103" s="1117"/>
      <c r="AD103" s="1117"/>
      <c r="AE103" s="1117"/>
      <c r="AF103" s="1117"/>
      <c r="AG103" s="1117"/>
      <c r="AH103" s="1117"/>
      <c r="AI103" s="1117"/>
      <c r="AJ103" s="1117"/>
      <c r="AK103" s="1117"/>
      <c r="AL103" s="1117"/>
      <c r="AM103" s="1117"/>
      <c r="AN103" s="1117"/>
      <c r="AO103" s="1117"/>
      <c r="AP103" s="1117"/>
      <c r="AQ103" s="1117"/>
      <c r="AR103" s="1117"/>
      <c r="AS103" s="1117"/>
      <c r="AT103" s="1117"/>
      <c r="AU103" s="1117"/>
      <c r="AV103" s="1117"/>
      <c r="AW103" s="1117"/>
      <c r="AX103" s="1117"/>
      <c r="AY103" s="1117"/>
      <c r="AZ103" s="1117"/>
      <c r="BA103" s="1117"/>
      <c r="BB103" s="1117"/>
      <c r="BC103" s="1117"/>
      <c r="BD103" s="1117"/>
      <c r="BE103" s="1117"/>
      <c r="BF103" s="1117"/>
      <c r="BG103" s="1117"/>
      <c r="BH103" s="1117"/>
      <c r="BI103" s="1117"/>
      <c r="BJ103" s="1117"/>
      <c r="BK103" s="1117"/>
      <c r="BL103" s="1117"/>
      <c r="BM103" s="1117"/>
      <c r="BN103" s="1117"/>
      <c r="BO103" s="1117"/>
      <c r="BP103" s="1117"/>
      <c r="BQ103" s="1117"/>
      <c r="BR103" s="1117"/>
      <c r="BS103" s="1117"/>
      <c r="BT103" s="1117"/>
      <c r="BU103" s="1117"/>
      <c r="BV103" s="1117"/>
      <c r="BW103" s="1117"/>
      <c r="BX103" s="1117"/>
      <c r="BY103" s="1117"/>
      <c r="BZ103" s="1117"/>
      <c r="CA103" s="1117"/>
      <c r="CB103" s="1117"/>
      <c r="CC103" s="1117"/>
      <c r="CD103" s="1117"/>
      <c r="CE103" s="1117"/>
      <c r="CF103" s="1117"/>
      <c r="CG103" s="1117"/>
      <c r="CH103" s="1117"/>
      <c r="CI103" s="1117"/>
      <c r="CJ103" s="1117"/>
      <c r="CK103" s="1117"/>
      <c r="CL103" s="1117"/>
      <c r="CM103" s="1117"/>
      <c r="CN103" s="1117"/>
      <c r="CO103" s="1117"/>
      <c r="CP103" s="1117"/>
      <c r="CQ103" s="1117"/>
      <c r="CR103" s="1117"/>
      <c r="CS103" s="1117"/>
      <c r="CT103" s="1117"/>
      <c r="CU103" s="1117"/>
      <c r="CV103" s="1117"/>
      <c r="CW103" s="1117"/>
      <c r="CX103" s="1117"/>
      <c r="CY103" s="1117"/>
      <c r="CZ103" s="1117"/>
      <c r="DA103" s="1117"/>
      <c r="DB103" s="1117"/>
      <c r="DC103" s="1117"/>
      <c r="DD103" s="1117"/>
      <c r="DE103" s="1117"/>
      <c r="DF103" s="1117"/>
      <c r="DG103" s="1117"/>
      <c r="DH103" s="1117"/>
      <c r="DI103" s="1117"/>
      <c r="DJ103" s="1117"/>
      <c r="DK103" s="1117"/>
      <c r="DL103" s="1117"/>
      <c r="DM103" s="1117"/>
      <c r="DN103" s="1117"/>
      <c r="DO103" s="1117"/>
      <c r="DP103" s="1117"/>
      <c r="DQ103" s="1117"/>
      <c r="DR103" s="1117"/>
      <c r="DS103" s="1117"/>
      <c r="DT103" s="1117"/>
      <c r="DU103" s="1117"/>
      <c r="DV103" s="1117"/>
      <c r="DW103" s="1117"/>
      <c r="DX103" s="1117"/>
      <c r="DY103" s="1117"/>
      <c r="DZ103" s="1117"/>
      <c r="EA103" s="1117"/>
      <c r="EB103" s="1117"/>
      <c r="EC103" s="1117"/>
      <c r="ED103" s="1117"/>
      <c r="EE103" s="1117"/>
      <c r="EF103" s="1117"/>
      <c r="EG103" s="1117"/>
      <c r="EH103" s="1117"/>
      <c r="EI103" s="1117"/>
      <c r="EJ103" s="1117"/>
      <c r="EK103" s="1117"/>
      <c r="EL103" s="1117"/>
      <c r="EM103" s="1117"/>
      <c r="EN103" s="1117"/>
      <c r="EO103" s="1117"/>
      <c r="EP103" s="1117"/>
      <c r="EQ103" s="1117"/>
      <c r="ER103" s="1117"/>
      <c r="ES103" s="1117"/>
      <c r="ET103" s="1117"/>
      <c r="EU103" s="1117"/>
      <c r="EV103" s="1117"/>
      <c r="EW103" s="1117"/>
      <c r="EX103" s="1117"/>
      <c r="EY103" s="1117"/>
      <c r="EZ103" s="1117"/>
      <c r="FA103" s="1117"/>
      <c r="FB103" s="1117"/>
      <c r="FC103" s="1117"/>
      <c r="FD103" s="1117"/>
      <c r="FE103" s="1117"/>
      <c r="FF103" s="1117"/>
      <c r="FG103" s="1117"/>
      <c r="FH103" s="1117"/>
      <c r="FI103" s="1117"/>
      <c r="FJ103" s="1117"/>
      <c r="FK103" s="1117"/>
      <c r="FL103" s="1117"/>
      <c r="FM103" s="1117"/>
      <c r="FN103" s="1117"/>
      <c r="FO103" s="1117"/>
      <c r="FP103" s="1117"/>
      <c r="FQ103" s="1117"/>
      <c r="FR103" s="1117"/>
      <c r="FS103" s="1117"/>
      <c r="FT103" s="1117"/>
      <c r="FU103" s="1117"/>
      <c r="FV103" s="1117"/>
      <c r="FW103" s="1118"/>
      <c r="FX103" s="1119"/>
      <c r="FY103" s="850"/>
      <c r="FZ103" s="850"/>
      <c r="GA103" s="850"/>
      <c r="GB103" s="850"/>
    </row>
    <row r="105" spans="1:184" s="3872" customFormat="1" ht="11.25" customHeight="1">
      <c r="A105" s="1726" t="s">
        <v>1152</v>
      </c>
    </row>
    <row r="107" spans="1:184" s="1832" customFormat="1" ht="15" customHeight="1">
      <c r="A107" s="544"/>
      <c r="B107" s="545"/>
      <c r="C107" s="545"/>
      <c r="D107" s="4306" t="s">
        <v>107</v>
      </c>
      <c r="E107" s="4156" t="s">
        <v>103</v>
      </c>
      <c r="F107" s="4157"/>
      <c r="G107" s="4158"/>
      <c r="H107" s="4162" t="str">
        <f>IF(A107="","",INDEX(DIFFERENTIATION_UNMERGE_VD,MATCH(A107,DIFFERENTIATION_ID_DIFF,0)))</f>
        <v/>
      </c>
      <c r="I107" s="4162"/>
      <c r="J107" s="4162"/>
      <c r="K107" s="4162"/>
      <c r="L107" s="4162"/>
      <c r="M107" s="4162"/>
      <c r="N107" s="4162"/>
      <c r="O107" s="4162"/>
      <c r="P107" s="4162"/>
      <c r="Q107" s="4162"/>
      <c r="R107" s="4162"/>
      <c r="S107" s="638"/>
      <c r="T107" s="635"/>
      <c r="U107" s="546"/>
      <c r="V107" s="546"/>
      <c r="W107" s="547"/>
      <c r="X107" s="547"/>
      <c r="Y107" s="547"/>
      <c r="Z107" s="547"/>
      <c r="AA107" s="548"/>
      <c r="AB107" s="549"/>
      <c r="AC107" s="4154"/>
      <c r="AD107" s="550"/>
      <c r="AE107" s="551" t="s">
        <v>24</v>
      </c>
      <c r="AF107" s="551"/>
      <c r="AG107" s="552" t="s">
        <v>592</v>
      </c>
      <c r="AH107" s="553">
        <v>3</v>
      </c>
      <c r="AI107" s="546"/>
      <c r="AJ107" s="546"/>
      <c r="AK107" s="546"/>
      <c r="AL107" s="546"/>
      <c r="AM107" s="546"/>
      <c r="AN107" s="546"/>
      <c r="AO107" s="546"/>
      <c r="AP107" s="546"/>
      <c r="AQ107" s="546"/>
      <c r="AR107" s="546"/>
      <c r="AS107" s="546"/>
      <c r="AT107" s="546"/>
      <c r="AU107" s="546"/>
      <c r="AV107" s="546"/>
      <c r="AW107" s="546"/>
      <c r="AX107" s="546"/>
      <c r="AY107" s="546"/>
      <c r="AZ107" s="546"/>
      <c r="BA107" s="546"/>
      <c r="BB107" s="546"/>
      <c r="BC107" s="546"/>
      <c r="BD107" s="546"/>
      <c r="BE107" s="546"/>
      <c r="BF107" s="546"/>
      <c r="BG107" s="546"/>
      <c r="BH107" s="546"/>
      <c r="BI107" s="546"/>
      <c r="BJ107" s="546"/>
      <c r="BK107" s="546"/>
      <c r="BL107" s="546"/>
      <c r="BM107" s="546"/>
      <c r="BN107" s="546"/>
      <c r="BO107" s="546"/>
      <c r="BP107" s="546"/>
      <c r="BQ107" s="546"/>
      <c r="BR107" s="546"/>
      <c r="BS107" s="546"/>
      <c r="BT107" s="546"/>
      <c r="BU107" s="546"/>
      <c r="BV107" s="547"/>
      <c r="BW107" s="547"/>
      <c r="BX107" s="547"/>
      <c r="BY107" s="547"/>
      <c r="BZ107" s="547"/>
      <c r="CA107" s="547"/>
      <c r="CB107" s="547"/>
      <c r="CC107" s="547"/>
      <c r="CD107" s="547"/>
      <c r="CE107" s="547"/>
    </row>
    <row r="108" spans="1:184" s="1832" customFormat="1" ht="15" customHeight="1">
      <c r="A108" s="544"/>
      <c r="B108" s="545"/>
      <c r="C108" s="545"/>
      <c r="D108" s="4307"/>
      <c r="E108" s="4156" t="s">
        <v>547</v>
      </c>
      <c r="F108" s="4157"/>
      <c r="G108" s="4158"/>
      <c r="H108" s="4162" t="str">
        <f>IF(A107="","",INDEX(DIFFERENTIATION_UNMERGE_AREA,MATCH(A107,DIFFERENTIATION_ID_DIFF,0)))</f>
        <v/>
      </c>
      <c r="I108" s="4162"/>
      <c r="J108" s="4162"/>
      <c r="K108" s="4162"/>
      <c r="L108" s="4162"/>
      <c r="M108" s="4162"/>
      <c r="N108" s="4162"/>
      <c r="O108" s="4162"/>
      <c r="P108" s="4162"/>
      <c r="Q108" s="4162"/>
      <c r="R108" s="4162"/>
      <c r="S108" s="638"/>
      <c r="T108" s="635"/>
      <c r="U108" s="546"/>
      <c r="V108" s="546"/>
      <c r="W108" s="547"/>
      <c r="X108" s="547"/>
      <c r="Y108" s="547"/>
      <c r="Z108" s="547"/>
      <c r="AA108" s="548"/>
      <c r="AB108" s="549"/>
      <c r="AC108" s="4154"/>
      <c r="AD108" s="550"/>
      <c r="AE108" s="551"/>
      <c r="AF108" s="551"/>
      <c r="AG108" s="552"/>
      <c r="AH108" s="553"/>
      <c r="AI108" s="546"/>
      <c r="AJ108" s="546"/>
      <c r="AK108" s="546"/>
      <c r="AL108" s="546"/>
      <c r="AM108" s="546"/>
      <c r="AN108" s="546"/>
      <c r="AO108" s="546"/>
      <c r="AP108" s="546"/>
      <c r="AQ108" s="546"/>
      <c r="AR108" s="546"/>
      <c r="AS108" s="546"/>
      <c r="AT108" s="546"/>
      <c r="AU108" s="546"/>
      <c r="AV108" s="546"/>
      <c r="AW108" s="546"/>
      <c r="AX108" s="546"/>
      <c r="AY108" s="546"/>
      <c r="AZ108" s="546"/>
      <c r="BA108" s="546"/>
      <c r="BB108" s="546"/>
      <c r="BC108" s="546"/>
      <c r="BD108" s="546"/>
      <c r="BE108" s="546"/>
      <c r="BF108" s="546"/>
      <c r="BG108" s="546"/>
      <c r="BH108" s="546"/>
      <c r="BI108" s="546"/>
      <c r="BJ108" s="546"/>
      <c r="BK108" s="546"/>
      <c r="BL108" s="546"/>
      <c r="BM108" s="546"/>
      <c r="BN108" s="546"/>
      <c r="BO108" s="546"/>
      <c r="BP108" s="546"/>
      <c r="BQ108" s="546"/>
      <c r="BR108" s="546"/>
      <c r="BS108" s="546"/>
      <c r="BT108" s="546"/>
      <c r="BU108" s="546"/>
      <c r="BV108" s="547"/>
      <c r="BW108" s="547"/>
      <c r="BX108" s="547"/>
      <c r="BY108" s="547"/>
      <c r="BZ108" s="547"/>
      <c r="CA108" s="547"/>
      <c r="CB108" s="547"/>
      <c r="CC108" s="547"/>
      <c r="CD108" s="547"/>
      <c r="CE108" s="547"/>
    </row>
    <row r="109" spans="1:184" s="1832" customFormat="1" ht="15" customHeight="1">
      <c r="A109" s="544"/>
      <c r="B109" s="545"/>
      <c r="C109" s="545"/>
      <c r="D109" s="4307"/>
      <c r="E109" s="4156" t="s">
        <v>548</v>
      </c>
      <c r="F109" s="4157"/>
      <c r="G109" s="4158"/>
      <c r="H109" s="4162" t="str">
        <f>IF(A107="","",INDEX(DIFFERENTIATION_UNMERGE_SYSTEM,MATCH(A107,DIFFERENTIATION_ID_DIFF,0)))</f>
        <v/>
      </c>
      <c r="I109" s="4162"/>
      <c r="J109" s="4162"/>
      <c r="K109" s="4162"/>
      <c r="L109" s="4162"/>
      <c r="M109" s="4162"/>
      <c r="N109" s="4162"/>
      <c r="O109" s="4162"/>
      <c r="P109" s="4162"/>
      <c r="Q109" s="4162"/>
      <c r="R109" s="4162"/>
      <c r="S109" s="638"/>
      <c r="T109" s="635"/>
      <c r="U109" s="546"/>
      <c r="V109" s="546"/>
      <c r="W109" s="547"/>
      <c r="X109" s="547"/>
      <c r="Y109" s="547"/>
      <c r="Z109" s="547"/>
      <c r="AA109" s="548"/>
      <c r="AB109" s="549"/>
      <c r="AC109" s="4154"/>
      <c r="AD109" s="550"/>
      <c r="AE109" s="551"/>
      <c r="AF109" s="551"/>
      <c r="AG109" s="552"/>
      <c r="AH109" s="553"/>
      <c r="AI109" s="546"/>
      <c r="AJ109" s="546"/>
      <c r="AK109" s="546"/>
      <c r="AL109" s="546"/>
      <c r="AM109" s="546"/>
      <c r="AN109" s="546"/>
      <c r="AO109" s="546"/>
      <c r="AP109" s="546"/>
      <c r="AQ109" s="546"/>
      <c r="AR109" s="546"/>
      <c r="AS109" s="546"/>
      <c r="AT109" s="546"/>
      <c r="AU109" s="546"/>
      <c r="AV109" s="546"/>
      <c r="AW109" s="546"/>
      <c r="AX109" s="546"/>
      <c r="AY109" s="546"/>
      <c r="AZ109" s="546"/>
      <c r="BA109" s="546"/>
      <c r="BB109" s="546"/>
      <c r="BC109" s="546"/>
      <c r="BD109" s="546"/>
      <c r="BE109" s="546"/>
      <c r="BF109" s="546"/>
      <c r="BG109" s="546"/>
      <c r="BH109" s="546"/>
      <c r="BI109" s="546"/>
      <c r="BJ109" s="546"/>
      <c r="BK109" s="546"/>
      <c r="BL109" s="546"/>
      <c r="BM109" s="546"/>
      <c r="BN109" s="546"/>
      <c r="BO109" s="546"/>
      <c r="BP109" s="546"/>
      <c r="BQ109" s="546"/>
      <c r="BR109" s="546"/>
      <c r="BS109" s="546"/>
      <c r="BT109" s="546"/>
      <c r="BU109" s="546"/>
      <c r="BV109" s="547"/>
      <c r="BW109" s="547"/>
      <c r="BX109" s="547"/>
      <c r="BY109" s="547"/>
      <c r="BZ109" s="547"/>
      <c r="CA109" s="547"/>
      <c r="CB109" s="547"/>
      <c r="CC109" s="547"/>
      <c r="CD109" s="547"/>
      <c r="CE109" s="547"/>
    </row>
    <row r="110" spans="1:184" s="1832" customFormat="1" ht="24.75" customHeight="1">
      <c r="A110" s="1717"/>
      <c r="B110" s="1060"/>
      <c r="C110" s="346"/>
      <c r="D110" s="4307"/>
      <c r="E110" s="4155" t="s">
        <v>593</v>
      </c>
      <c r="F110" s="4155"/>
      <c r="G110" s="4155"/>
      <c r="H110" s="4155"/>
      <c r="I110" s="4155"/>
      <c r="J110" s="4155"/>
      <c r="K110" s="4155"/>
      <c r="L110" s="4155"/>
      <c r="M110" s="4155"/>
      <c r="N110" s="4155"/>
      <c r="O110" s="4155"/>
      <c r="P110" s="4155"/>
      <c r="Q110" s="483">
        <f>SUMIF(T111:T112,"i",Q111:Q112)</f>
        <v>0</v>
      </c>
      <c r="R110" s="924"/>
      <c r="S110" s="1709" t="s">
        <v>594</v>
      </c>
      <c r="T110" s="636" t="s">
        <v>595</v>
      </c>
      <c r="U110" s="4073">
        <v>1</v>
      </c>
      <c r="V110" s="4073" t="s">
        <v>558</v>
      </c>
      <c r="W110" s="1060"/>
      <c r="X110" s="1060"/>
      <c r="Y110" s="1060"/>
      <c r="Z110" s="1060"/>
      <c r="AA110" s="1548"/>
      <c r="AB110" s="1060"/>
      <c r="AC110" s="4154"/>
      <c r="AD110" s="550"/>
      <c r="AE110" s="1060"/>
      <c r="AF110" s="1060"/>
      <c r="AG110" s="1548"/>
      <c r="AH110" s="1548"/>
      <c r="AI110" s="1548"/>
      <c r="AJ110" s="1548"/>
      <c r="AK110" s="1548"/>
      <c r="AL110" s="1548"/>
      <c r="AM110" s="1548"/>
      <c r="AN110" s="1548"/>
      <c r="AO110" s="1548"/>
      <c r="AP110" s="1548"/>
      <c r="AQ110" s="1548"/>
      <c r="AR110" s="1548"/>
      <c r="AS110" s="1548"/>
      <c r="AT110" s="1548"/>
      <c r="AU110" s="1548"/>
      <c r="AV110" s="1548"/>
      <c r="AW110" s="1548"/>
      <c r="AX110" s="1548"/>
      <c r="AY110" s="1548"/>
      <c r="AZ110" s="1548"/>
      <c r="BA110" s="1548"/>
      <c r="BB110" s="1548"/>
      <c r="BC110" s="1548"/>
      <c r="BD110" s="1548"/>
      <c r="BE110" s="1548"/>
      <c r="BF110" s="1548"/>
      <c r="BG110" s="1548"/>
      <c r="BH110" s="1548"/>
      <c r="BI110" s="1548"/>
      <c r="BJ110" s="1548"/>
      <c r="BK110" s="1548"/>
      <c r="BL110" s="1548"/>
      <c r="BM110" s="1548"/>
      <c r="BN110" s="1548"/>
      <c r="BO110" s="1548"/>
      <c r="BP110" s="1548"/>
      <c r="BQ110" s="1548"/>
      <c r="BR110" s="1548"/>
      <c r="BS110" s="1548"/>
      <c r="BT110" s="1548"/>
      <c r="BU110" s="1548"/>
      <c r="BV110" s="1060"/>
      <c r="BW110" s="1060"/>
      <c r="BX110" s="1060"/>
      <c r="BY110" s="1060"/>
      <c r="BZ110" s="1060"/>
      <c r="CA110" s="1060"/>
      <c r="CB110" s="1060"/>
      <c r="CC110" s="1060"/>
      <c r="CD110" s="1060"/>
      <c r="CE110" s="1060"/>
    </row>
    <row r="111" spans="1:184" s="1832" customFormat="1" ht="11.25" hidden="1" customHeight="1">
      <c r="A111" s="1704"/>
      <c r="B111" s="1548"/>
      <c r="C111" s="1548"/>
      <c r="D111" s="4307"/>
      <c r="E111" s="556"/>
      <c r="F111" s="556">
        <v>0</v>
      </c>
      <c r="G111" s="556"/>
      <c r="H111" s="556"/>
      <c r="I111" s="556"/>
      <c r="J111" s="556"/>
      <c r="K111" s="556"/>
      <c r="L111" s="556"/>
      <c r="M111" s="556"/>
      <c r="N111" s="556"/>
      <c r="O111" s="556"/>
      <c r="P111" s="556"/>
      <c r="Q111" s="556"/>
      <c r="R111" s="556"/>
      <c r="S111" s="557"/>
      <c r="T111" s="637"/>
      <c r="U111" s="4073"/>
      <c r="V111" s="4073"/>
      <c r="W111" s="1548"/>
      <c r="X111" s="1548"/>
      <c r="Y111" s="1548"/>
      <c r="Z111" s="1548"/>
      <c r="AA111" s="1548"/>
      <c r="AB111" s="1060"/>
      <c r="AC111" s="4154"/>
      <c r="AD111" s="550"/>
      <c r="AE111" s="1060"/>
      <c r="AF111" s="1060"/>
      <c r="AG111" s="1548"/>
      <c r="AH111" s="1548"/>
      <c r="AI111" s="1548"/>
      <c r="AJ111" s="1548"/>
      <c r="AK111" s="1548"/>
      <c r="AL111" s="1548"/>
      <c r="AM111" s="1548"/>
      <c r="AN111" s="1548"/>
      <c r="AO111" s="1548"/>
      <c r="AP111" s="1548"/>
      <c r="AQ111" s="1548"/>
      <c r="AR111" s="1548"/>
      <c r="AS111" s="1548"/>
      <c r="AT111" s="1548"/>
      <c r="AU111" s="1548"/>
      <c r="AV111" s="1548"/>
      <c r="AW111" s="1548"/>
      <c r="AX111" s="1548"/>
      <c r="AY111" s="1548"/>
      <c r="AZ111" s="1548"/>
      <c r="BA111" s="1548"/>
      <c r="BB111" s="1548"/>
      <c r="BC111" s="1548"/>
      <c r="BD111" s="1548"/>
      <c r="BE111" s="1548"/>
      <c r="BF111" s="1548"/>
      <c r="BG111" s="1548"/>
      <c r="BH111" s="1548"/>
      <c r="BI111" s="1548"/>
      <c r="BJ111" s="1548"/>
      <c r="BK111" s="1548"/>
      <c r="BL111" s="1548"/>
      <c r="BM111" s="1548"/>
      <c r="BN111" s="1548"/>
      <c r="BO111" s="1548"/>
      <c r="BP111" s="1548"/>
      <c r="BQ111" s="1548"/>
      <c r="BR111" s="1548"/>
      <c r="BS111" s="1548"/>
      <c r="BT111" s="1548"/>
      <c r="BU111" s="1548"/>
      <c r="BV111" s="1548"/>
      <c r="BW111" s="1548"/>
      <c r="BX111" s="1548"/>
      <c r="BY111" s="1548"/>
      <c r="BZ111" s="1548"/>
      <c r="CA111" s="1548"/>
      <c r="CB111" s="1548"/>
      <c r="CC111" s="1548"/>
      <c r="CD111" s="1548"/>
      <c r="CE111" s="1548"/>
    </row>
    <row r="112" spans="1:184" s="1832" customFormat="1" ht="11.25" customHeight="1">
      <c r="A112" s="1717"/>
      <c r="B112" s="1060"/>
      <c r="C112" s="346"/>
      <c r="D112" s="4307"/>
      <c r="E112" s="570" t="s">
        <v>24</v>
      </c>
      <c r="F112" s="1068" t="s">
        <v>24</v>
      </c>
      <c r="G112" s="1068" t="s">
        <v>1153</v>
      </c>
      <c r="H112" s="572" t="s">
        <v>24</v>
      </c>
      <c r="I112" s="572"/>
      <c r="J112" s="572"/>
      <c r="K112" s="572"/>
      <c r="L112" s="572"/>
      <c r="M112" s="572"/>
      <c r="N112" s="572"/>
      <c r="O112" s="572"/>
      <c r="P112" s="572"/>
      <c r="Q112" s="572"/>
      <c r="R112" s="573"/>
      <c r="S112" s="574"/>
      <c r="T112" s="637"/>
      <c r="U112" s="4073"/>
      <c r="V112" s="4073"/>
      <c r="W112" s="1060"/>
      <c r="X112" s="1060"/>
      <c r="Y112" s="1060"/>
      <c r="Z112" s="1060"/>
      <c r="AA112" s="1548"/>
      <c r="AB112" s="1060"/>
      <c r="AC112" s="4154"/>
      <c r="AD112" s="550"/>
      <c r="AE112" s="1060"/>
      <c r="AF112" s="1060"/>
      <c r="AG112" s="1548"/>
      <c r="AH112" s="1548"/>
      <c r="AI112" s="1548"/>
      <c r="AJ112" s="1548"/>
      <c r="AK112" s="1548"/>
      <c r="AL112" s="1548"/>
      <c r="AM112" s="1548"/>
      <c r="AN112" s="1548"/>
      <c r="AO112" s="1548"/>
      <c r="AP112" s="1548"/>
      <c r="AQ112" s="1548"/>
      <c r="AR112" s="1548"/>
      <c r="AS112" s="1548"/>
      <c r="AT112" s="1548"/>
      <c r="AU112" s="1548"/>
      <c r="AV112" s="1548"/>
      <c r="AW112" s="1548"/>
      <c r="AX112" s="1548"/>
      <c r="AY112" s="1548"/>
      <c r="AZ112" s="1548"/>
      <c r="BA112" s="1548"/>
      <c r="BB112" s="1548"/>
      <c r="BC112" s="1548"/>
      <c r="BD112" s="1548"/>
      <c r="BE112" s="1548"/>
      <c r="BF112" s="1548"/>
      <c r="BG112" s="1548"/>
      <c r="BH112" s="1548"/>
      <c r="BI112" s="1548"/>
      <c r="BJ112" s="1548"/>
      <c r="BK112" s="1548"/>
      <c r="BL112" s="1548"/>
      <c r="BM112" s="1548"/>
      <c r="BN112" s="1548"/>
      <c r="BO112" s="1548"/>
      <c r="BP112" s="1548"/>
      <c r="BQ112" s="1548"/>
      <c r="BR112" s="1548"/>
      <c r="BS112" s="1548"/>
      <c r="BT112" s="1548"/>
      <c r="BU112" s="1548"/>
      <c r="BV112" s="1060"/>
      <c r="BW112" s="1060"/>
      <c r="BX112" s="1060"/>
      <c r="BY112" s="1060"/>
      <c r="BZ112" s="1060"/>
      <c r="CA112" s="1060"/>
      <c r="CB112" s="1060"/>
      <c r="CC112" s="1060"/>
      <c r="CD112" s="1060"/>
      <c r="CE112" s="1060"/>
    </row>
    <row r="113" spans="1:83" s="1832" customFormat="1" ht="24.75" customHeight="1">
      <c r="A113" s="1717"/>
      <c r="B113" s="1060"/>
      <c r="C113" s="346"/>
      <c r="D113" s="4307"/>
      <c r="E113" s="4155" t="s">
        <v>596</v>
      </c>
      <c r="F113" s="4155"/>
      <c r="G113" s="4155"/>
      <c r="H113" s="4155"/>
      <c r="I113" s="4155"/>
      <c r="J113" s="4155"/>
      <c r="K113" s="4155"/>
      <c r="L113" s="4155"/>
      <c r="M113" s="4155"/>
      <c r="N113" s="4155"/>
      <c r="O113" s="4155"/>
      <c r="P113" s="4155"/>
      <c r="Q113" s="483">
        <f>SUMIF(T114:T115,"i",Q114:Q115)</f>
        <v>0</v>
      </c>
      <c r="R113" s="924"/>
      <c r="S113" s="1709" t="s">
        <v>597</v>
      </c>
      <c r="T113" s="636" t="s">
        <v>595</v>
      </c>
      <c r="U113" s="4073">
        <v>1</v>
      </c>
      <c r="V113" s="4073" t="s">
        <v>558</v>
      </c>
      <c r="W113" s="1060"/>
      <c r="X113" s="1060"/>
      <c r="Y113" s="1060"/>
      <c r="Z113" s="1060"/>
      <c r="AA113" s="1548"/>
      <c r="AB113" s="1060"/>
      <c r="AC113" s="1707"/>
      <c r="AD113" s="550"/>
      <c r="AE113" s="1060"/>
      <c r="AF113" s="1060"/>
      <c r="AG113" s="1548"/>
      <c r="AH113" s="1548"/>
      <c r="AI113" s="1548"/>
      <c r="AJ113" s="1548"/>
      <c r="AK113" s="1548"/>
      <c r="AL113" s="1548"/>
      <c r="AM113" s="1548"/>
      <c r="AN113" s="1548"/>
      <c r="AO113" s="1548"/>
      <c r="AP113" s="1548"/>
      <c r="AQ113" s="1548"/>
      <c r="AR113" s="1548"/>
      <c r="AS113" s="1548"/>
      <c r="AT113" s="1548"/>
      <c r="AU113" s="1548"/>
      <c r="AV113" s="1548"/>
      <c r="AW113" s="1548"/>
      <c r="AX113" s="1548"/>
      <c r="AY113" s="1548"/>
      <c r="AZ113" s="1548"/>
      <c r="BA113" s="1548"/>
      <c r="BB113" s="1548"/>
      <c r="BC113" s="1548"/>
      <c r="BD113" s="1548"/>
      <c r="BE113" s="1548"/>
      <c r="BF113" s="1548"/>
      <c r="BG113" s="1548"/>
      <c r="BH113" s="1548"/>
      <c r="BI113" s="1548"/>
      <c r="BJ113" s="1548"/>
      <c r="BK113" s="1548"/>
      <c r="BL113" s="1548"/>
      <c r="BM113" s="1548"/>
      <c r="BN113" s="1548"/>
      <c r="BO113" s="1548"/>
      <c r="BP113" s="1548"/>
      <c r="BQ113" s="1548"/>
      <c r="BR113" s="1548"/>
      <c r="BS113" s="1548"/>
      <c r="BT113" s="1548"/>
      <c r="BU113" s="1548"/>
      <c r="BV113" s="1060"/>
      <c r="BW113" s="1060"/>
      <c r="BX113" s="1060"/>
      <c r="BY113" s="1060"/>
      <c r="BZ113" s="1060"/>
      <c r="CA113" s="1060"/>
      <c r="CB113" s="1060"/>
      <c r="CC113" s="1060"/>
      <c r="CD113" s="1060"/>
      <c r="CE113" s="1060"/>
    </row>
    <row r="114" spans="1:83" s="1832" customFormat="1" ht="11.25" hidden="1" customHeight="1">
      <c r="A114" s="1704"/>
      <c r="B114" s="1548"/>
      <c r="C114" s="1548"/>
      <c r="D114" s="4307"/>
      <c r="E114" s="556"/>
      <c r="F114" s="556">
        <v>0</v>
      </c>
      <c r="G114" s="556"/>
      <c r="H114" s="556"/>
      <c r="I114" s="556"/>
      <c r="J114" s="556"/>
      <c r="K114" s="556"/>
      <c r="L114" s="556"/>
      <c r="M114" s="556"/>
      <c r="N114" s="556"/>
      <c r="O114" s="556"/>
      <c r="P114" s="556"/>
      <c r="Q114" s="556"/>
      <c r="R114" s="556"/>
      <c r="S114" s="557"/>
      <c r="T114" s="637"/>
      <c r="U114" s="4073"/>
      <c r="V114" s="4073"/>
      <c r="W114" s="1548"/>
      <c r="X114" s="1548"/>
      <c r="Y114" s="1548"/>
      <c r="Z114" s="1548"/>
      <c r="AA114" s="1548"/>
      <c r="AB114" s="1060"/>
      <c r="AC114" s="1707"/>
      <c r="AD114" s="550"/>
      <c r="AE114" s="1060"/>
      <c r="AF114" s="1060"/>
      <c r="AG114" s="1548"/>
      <c r="AH114" s="1548"/>
      <c r="AI114" s="1548"/>
      <c r="AJ114" s="1548"/>
      <c r="AK114" s="1548"/>
      <c r="AL114" s="1548"/>
      <c r="AM114" s="1548"/>
      <c r="AN114" s="1548"/>
      <c r="AO114" s="1548"/>
      <c r="AP114" s="1548"/>
      <c r="AQ114" s="1548"/>
      <c r="AR114" s="1548"/>
      <c r="AS114" s="1548"/>
      <c r="AT114" s="1548"/>
      <c r="AU114" s="1548"/>
      <c r="AV114" s="1548"/>
      <c r="AW114" s="1548"/>
      <c r="AX114" s="1548"/>
      <c r="AY114" s="1548"/>
      <c r="AZ114" s="1548"/>
      <c r="BA114" s="1548"/>
      <c r="BB114" s="1548"/>
      <c r="BC114" s="1548"/>
      <c r="BD114" s="1548"/>
      <c r="BE114" s="1548"/>
      <c r="BF114" s="1548"/>
      <c r="BG114" s="1548"/>
      <c r="BH114" s="1548"/>
      <c r="BI114" s="1548"/>
      <c r="BJ114" s="1548"/>
      <c r="BK114" s="1548"/>
      <c r="BL114" s="1548"/>
      <c r="BM114" s="1548"/>
      <c r="BN114" s="1548"/>
      <c r="BO114" s="1548"/>
      <c r="BP114" s="1548"/>
      <c r="BQ114" s="1548"/>
      <c r="BR114" s="1548"/>
      <c r="BS114" s="1548"/>
      <c r="BT114" s="1548"/>
      <c r="BU114" s="1548"/>
      <c r="BV114" s="1548"/>
      <c r="BW114" s="1548"/>
      <c r="BX114" s="1548"/>
      <c r="BY114" s="1548"/>
      <c r="BZ114" s="1548"/>
      <c r="CA114" s="1548"/>
      <c r="CB114" s="1548"/>
      <c r="CC114" s="1548"/>
      <c r="CD114" s="1548"/>
      <c r="CE114" s="1548"/>
    </row>
    <row r="115" spans="1:83" s="1832" customFormat="1" ht="11.25" customHeight="1">
      <c r="A115" s="1717"/>
      <c r="B115" s="1060"/>
      <c r="C115" s="346"/>
      <c r="D115" s="4308"/>
      <c r="E115" s="570" t="s">
        <v>24</v>
      </c>
      <c r="F115" s="1068" t="s">
        <v>24</v>
      </c>
      <c r="G115" s="1068" t="s">
        <v>1153</v>
      </c>
      <c r="H115" s="572" t="s">
        <v>24</v>
      </c>
      <c r="I115" s="572"/>
      <c r="J115" s="572"/>
      <c r="K115" s="572"/>
      <c r="L115" s="572"/>
      <c r="M115" s="572"/>
      <c r="N115" s="572"/>
      <c r="O115" s="572"/>
      <c r="P115" s="572"/>
      <c r="Q115" s="572"/>
      <c r="R115" s="573"/>
      <c r="S115" s="574"/>
      <c r="T115" s="637"/>
      <c r="U115" s="4073"/>
      <c r="V115" s="4073"/>
      <c r="W115" s="1060"/>
      <c r="X115" s="1060"/>
      <c r="Y115" s="1060"/>
      <c r="Z115" s="1060"/>
      <c r="AA115" s="1548"/>
      <c r="AB115" s="1060"/>
      <c r="AC115" s="1707"/>
      <c r="AD115" s="550"/>
      <c r="AE115" s="1060"/>
      <c r="AF115" s="1060"/>
      <c r="AG115" s="1548"/>
      <c r="AH115" s="1548"/>
      <c r="AI115" s="1548"/>
      <c r="AJ115" s="1548"/>
      <c r="AK115" s="1548"/>
      <c r="AL115" s="1548"/>
      <c r="AM115" s="1548"/>
      <c r="AN115" s="1548"/>
      <c r="AO115" s="1548"/>
      <c r="AP115" s="1548"/>
      <c r="AQ115" s="1548"/>
      <c r="AR115" s="1548"/>
      <c r="AS115" s="1548"/>
      <c r="AT115" s="1548"/>
      <c r="AU115" s="1548"/>
      <c r="AV115" s="1548"/>
      <c r="AW115" s="1548"/>
      <c r="AX115" s="1548"/>
      <c r="AY115" s="1548"/>
      <c r="AZ115" s="1548"/>
      <c r="BA115" s="1548"/>
      <c r="BB115" s="1548"/>
      <c r="BC115" s="1548"/>
      <c r="BD115" s="1548"/>
      <c r="BE115" s="1548"/>
      <c r="BF115" s="1548"/>
      <c r="BG115" s="1548"/>
      <c r="BH115" s="1548"/>
      <c r="BI115" s="1548"/>
      <c r="BJ115" s="1548"/>
      <c r="BK115" s="1548"/>
      <c r="BL115" s="1548"/>
      <c r="BM115" s="1548"/>
      <c r="BN115" s="1548"/>
      <c r="BO115" s="1548"/>
      <c r="BP115" s="1548"/>
      <c r="BQ115" s="1548"/>
      <c r="BR115" s="1548"/>
      <c r="BS115" s="1548"/>
      <c r="BT115" s="1548"/>
      <c r="BU115" s="1548"/>
      <c r="BV115" s="1060"/>
      <c r="BW115" s="1060"/>
      <c r="BX115" s="1060"/>
      <c r="BY115" s="1060"/>
      <c r="BZ115" s="1060"/>
      <c r="CA115" s="1060"/>
      <c r="CB115" s="1060"/>
      <c r="CC115" s="1060"/>
      <c r="CD115" s="1060"/>
      <c r="CE115" s="1060"/>
    </row>
    <row r="117" spans="1:83" s="3872" customFormat="1" ht="11.25" customHeight="1">
      <c r="A117" s="1726" t="s">
        <v>1154</v>
      </c>
    </row>
    <row r="119" spans="1:83" s="1832" customFormat="1" ht="15" customHeight="1">
      <c r="A119" s="544"/>
      <c r="B119" s="545"/>
      <c r="C119" s="545"/>
      <c r="D119" s="4306" t="s">
        <v>107</v>
      </c>
      <c r="E119" s="4156" t="s">
        <v>103</v>
      </c>
      <c r="F119" s="4157"/>
      <c r="G119" s="4158"/>
      <c r="H119" s="4162" t="str">
        <f>IF(A119="","",INDEX(DIFFERENTIATION_UNMERGE_VD,MATCH(A119,DIFFERENTIATION_ID_DIFF,0)))</f>
        <v/>
      </c>
      <c r="I119" s="4162"/>
      <c r="J119" s="4162"/>
      <c r="K119" s="4162"/>
      <c r="L119" s="4162"/>
      <c r="M119" s="4162"/>
      <c r="N119" s="4162"/>
      <c r="O119" s="4162"/>
      <c r="P119" s="4162"/>
      <c r="Q119" s="4162"/>
      <c r="R119" s="4162"/>
      <c r="S119" s="638"/>
      <c r="T119" s="635"/>
      <c r="U119" s="546"/>
      <c r="V119" s="546"/>
      <c r="W119" s="547"/>
      <c r="X119" s="547"/>
      <c r="Y119" s="547"/>
      <c r="Z119" s="547"/>
      <c r="AA119" s="548"/>
      <c r="AB119" s="549"/>
      <c r="AC119" s="4154"/>
      <c r="AD119" s="550"/>
      <c r="AE119" s="551" t="s">
        <v>24</v>
      </c>
      <c r="AF119" s="551"/>
      <c r="AG119" s="552" t="s">
        <v>592</v>
      </c>
      <c r="AH119" s="553">
        <v>3</v>
      </c>
      <c r="AI119" s="546"/>
      <c r="AJ119" s="546"/>
      <c r="AK119" s="546"/>
      <c r="AL119" s="546"/>
      <c r="AM119" s="546"/>
      <c r="AN119" s="546"/>
      <c r="AO119" s="546"/>
      <c r="AP119" s="546"/>
      <c r="AQ119" s="546"/>
      <c r="AR119" s="546"/>
      <c r="AS119" s="546"/>
      <c r="AT119" s="546"/>
      <c r="AU119" s="546"/>
      <c r="AV119" s="546"/>
      <c r="AW119" s="546"/>
      <c r="AX119" s="546"/>
      <c r="AY119" s="546"/>
      <c r="AZ119" s="546"/>
      <c r="BA119" s="546"/>
      <c r="BB119" s="546"/>
      <c r="BC119" s="546"/>
      <c r="BD119" s="546"/>
      <c r="BE119" s="546"/>
      <c r="BF119" s="546"/>
      <c r="BG119" s="546"/>
      <c r="BH119" s="546"/>
      <c r="BI119" s="546"/>
      <c r="BJ119" s="546"/>
      <c r="BK119" s="546"/>
      <c r="BL119" s="546"/>
      <c r="BM119" s="546"/>
      <c r="BN119" s="546"/>
      <c r="BO119" s="546"/>
      <c r="BP119" s="546"/>
      <c r="BQ119" s="546"/>
      <c r="BR119" s="546"/>
      <c r="BS119" s="546"/>
      <c r="BT119" s="546"/>
      <c r="BU119" s="546"/>
      <c r="BV119" s="547"/>
      <c r="BW119" s="547"/>
      <c r="BX119" s="547"/>
      <c r="BY119" s="547"/>
      <c r="BZ119" s="547"/>
      <c r="CA119" s="547"/>
      <c r="CB119" s="547"/>
      <c r="CC119" s="547"/>
      <c r="CD119" s="547"/>
      <c r="CE119" s="547"/>
    </row>
    <row r="120" spans="1:83" s="1832" customFormat="1" ht="15" customHeight="1">
      <c r="A120" s="544"/>
      <c r="B120" s="545"/>
      <c r="C120" s="545"/>
      <c r="D120" s="4307"/>
      <c r="E120" s="4156" t="s">
        <v>547</v>
      </c>
      <c r="F120" s="4157"/>
      <c r="G120" s="4158"/>
      <c r="H120" s="4162" t="str">
        <f>IF(A119="","",INDEX(DIFFERENTIATION_UNMERGE_AREA,MATCH(A119,DIFFERENTIATION_ID_DIFF,0)))</f>
        <v/>
      </c>
      <c r="I120" s="4162"/>
      <c r="J120" s="4162"/>
      <c r="K120" s="4162"/>
      <c r="L120" s="4162"/>
      <c r="M120" s="4162"/>
      <c r="N120" s="4162"/>
      <c r="O120" s="4162"/>
      <c r="P120" s="4162"/>
      <c r="Q120" s="4162"/>
      <c r="R120" s="4162"/>
      <c r="S120" s="638"/>
      <c r="T120" s="635"/>
      <c r="U120" s="546"/>
      <c r="V120" s="546"/>
      <c r="W120" s="547"/>
      <c r="X120" s="547"/>
      <c r="Y120" s="547"/>
      <c r="Z120" s="547"/>
      <c r="AA120" s="548"/>
      <c r="AB120" s="549"/>
      <c r="AC120" s="4154"/>
      <c r="AD120" s="550"/>
      <c r="AE120" s="551"/>
      <c r="AF120" s="551"/>
      <c r="AG120" s="552"/>
      <c r="AH120" s="553"/>
      <c r="AI120" s="546"/>
      <c r="AJ120" s="546"/>
      <c r="AK120" s="546"/>
      <c r="AL120" s="546"/>
      <c r="AM120" s="546"/>
      <c r="AN120" s="546"/>
      <c r="AO120" s="546"/>
      <c r="AP120" s="546"/>
      <c r="AQ120" s="546"/>
      <c r="AR120" s="546"/>
      <c r="AS120" s="546"/>
      <c r="AT120" s="546"/>
      <c r="AU120" s="546"/>
      <c r="AV120" s="546"/>
      <c r="AW120" s="546"/>
      <c r="AX120" s="546"/>
      <c r="AY120" s="546"/>
      <c r="AZ120" s="546"/>
      <c r="BA120" s="546"/>
      <c r="BB120" s="546"/>
      <c r="BC120" s="546"/>
      <c r="BD120" s="546"/>
      <c r="BE120" s="546"/>
      <c r="BF120" s="546"/>
      <c r="BG120" s="546"/>
      <c r="BH120" s="546"/>
      <c r="BI120" s="546"/>
      <c r="BJ120" s="546"/>
      <c r="BK120" s="546"/>
      <c r="BL120" s="546"/>
      <c r="BM120" s="546"/>
      <c r="BN120" s="546"/>
      <c r="BO120" s="546"/>
      <c r="BP120" s="546"/>
      <c r="BQ120" s="546"/>
      <c r="BR120" s="546"/>
      <c r="BS120" s="546"/>
      <c r="BT120" s="546"/>
      <c r="BU120" s="546"/>
      <c r="BV120" s="547"/>
      <c r="BW120" s="547"/>
      <c r="BX120" s="547"/>
      <c r="BY120" s="547"/>
      <c r="BZ120" s="547"/>
      <c r="CA120" s="547"/>
      <c r="CB120" s="547"/>
      <c r="CC120" s="547"/>
      <c r="CD120" s="547"/>
      <c r="CE120" s="547"/>
    </row>
    <row r="121" spans="1:83" s="1832" customFormat="1" ht="15" customHeight="1">
      <c r="A121" s="544"/>
      <c r="B121" s="545"/>
      <c r="C121" s="545"/>
      <c r="D121" s="4307"/>
      <c r="E121" s="4156" t="s">
        <v>548</v>
      </c>
      <c r="F121" s="4157"/>
      <c r="G121" s="4158"/>
      <c r="H121" s="4162" t="str">
        <f>IF(A119="","",INDEX(DIFFERENTIATION_UNMERGE_SYSTEM,MATCH(A119,DIFFERENTIATION_ID_DIFF,0)))</f>
        <v/>
      </c>
      <c r="I121" s="4162"/>
      <c r="J121" s="4162"/>
      <c r="K121" s="4162"/>
      <c r="L121" s="4162"/>
      <c r="M121" s="4162"/>
      <c r="N121" s="4162"/>
      <c r="O121" s="4162"/>
      <c r="P121" s="4162"/>
      <c r="Q121" s="4162"/>
      <c r="R121" s="4162"/>
      <c r="S121" s="638"/>
      <c r="T121" s="635"/>
      <c r="U121" s="546"/>
      <c r="V121" s="546"/>
      <c r="W121" s="547"/>
      <c r="X121" s="547"/>
      <c r="Y121" s="547"/>
      <c r="Z121" s="547"/>
      <c r="AA121" s="548"/>
      <c r="AB121" s="549"/>
      <c r="AC121" s="4154"/>
      <c r="AD121" s="550"/>
      <c r="AE121" s="551"/>
      <c r="AF121" s="551"/>
      <c r="AG121" s="552"/>
      <c r="AH121" s="553"/>
      <c r="AI121" s="546"/>
      <c r="AJ121" s="546"/>
      <c r="AK121" s="546"/>
      <c r="AL121" s="546"/>
      <c r="AM121" s="546"/>
      <c r="AN121" s="546"/>
      <c r="AO121" s="546"/>
      <c r="AP121" s="546"/>
      <c r="AQ121" s="546"/>
      <c r="AR121" s="546"/>
      <c r="AS121" s="546"/>
      <c r="AT121" s="546"/>
      <c r="AU121" s="546"/>
      <c r="AV121" s="546"/>
      <c r="AW121" s="546"/>
      <c r="AX121" s="546"/>
      <c r="AY121" s="546"/>
      <c r="AZ121" s="546"/>
      <c r="BA121" s="546"/>
      <c r="BB121" s="546"/>
      <c r="BC121" s="546"/>
      <c r="BD121" s="546"/>
      <c r="BE121" s="546"/>
      <c r="BF121" s="546"/>
      <c r="BG121" s="546"/>
      <c r="BH121" s="546"/>
      <c r="BI121" s="546"/>
      <c r="BJ121" s="546"/>
      <c r="BK121" s="546"/>
      <c r="BL121" s="546"/>
      <c r="BM121" s="546"/>
      <c r="BN121" s="546"/>
      <c r="BO121" s="546"/>
      <c r="BP121" s="546"/>
      <c r="BQ121" s="546"/>
      <c r="BR121" s="546"/>
      <c r="BS121" s="546"/>
      <c r="BT121" s="546"/>
      <c r="BU121" s="546"/>
      <c r="BV121" s="547"/>
      <c r="BW121" s="547"/>
      <c r="BX121" s="547"/>
      <c r="BY121" s="547"/>
      <c r="BZ121" s="547"/>
      <c r="CA121" s="547"/>
      <c r="CB121" s="547"/>
      <c r="CC121" s="547"/>
      <c r="CD121" s="547"/>
      <c r="CE121" s="547"/>
    </row>
    <row r="122" spans="1:83" s="1832" customFormat="1" ht="24.75" customHeight="1">
      <c r="A122" s="1717"/>
      <c r="B122" s="1060"/>
      <c r="C122" s="346"/>
      <c r="D122" s="4307"/>
      <c r="E122" s="4155" t="s">
        <v>593</v>
      </c>
      <c r="F122" s="4155"/>
      <c r="G122" s="4155"/>
      <c r="H122" s="4155"/>
      <c r="I122" s="4155"/>
      <c r="J122" s="4155"/>
      <c r="K122" s="4155"/>
      <c r="L122" s="4155"/>
      <c r="M122" s="4155"/>
      <c r="N122" s="4155"/>
      <c r="O122" s="4155"/>
      <c r="P122" s="4155"/>
      <c r="Q122" s="483">
        <f>SUMIF(T123:T124,"i",Q123:Q124)</f>
        <v>0</v>
      </c>
      <c r="R122" s="924"/>
      <c r="S122" s="1709" t="s">
        <v>594</v>
      </c>
      <c r="T122" s="636" t="s">
        <v>595</v>
      </c>
      <c r="U122" s="4073">
        <v>1</v>
      </c>
      <c r="V122" s="4073" t="s">
        <v>558</v>
      </c>
      <c r="W122" s="1060"/>
      <c r="X122" s="1060"/>
      <c r="Y122" s="1060"/>
      <c r="Z122" s="1060"/>
      <c r="AA122" s="1548"/>
      <c r="AB122" s="1060"/>
      <c r="AC122" s="4154"/>
      <c r="AD122" s="550"/>
      <c r="AE122" s="1060"/>
      <c r="AF122" s="1060"/>
      <c r="AG122" s="1548"/>
      <c r="AH122" s="1548"/>
      <c r="AI122" s="1548"/>
      <c r="AJ122" s="1548"/>
      <c r="AK122" s="1548"/>
      <c r="AL122" s="1548"/>
      <c r="AM122" s="1548"/>
      <c r="AN122" s="1548"/>
      <c r="AO122" s="1548"/>
      <c r="AP122" s="1548"/>
      <c r="AQ122" s="1548"/>
      <c r="AR122" s="1548"/>
      <c r="AS122" s="1548"/>
      <c r="AT122" s="1548"/>
      <c r="AU122" s="1548"/>
      <c r="AV122" s="1548"/>
      <c r="AW122" s="1548"/>
      <c r="AX122" s="1548"/>
      <c r="AY122" s="1548"/>
      <c r="AZ122" s="1548"/>
      <c r="BA122" s="1548"/>
      <c r="BB122" s="1548"/>
      <c r="BC122" s="1548"/>
      <c r="BD122" s="1548"/>
      <c r="BE122" s="1548"/>
      <c r="BF122" s="1548"/>
      <c r="BG122" s="1548"/>
      <c r="BH122" s="1548"/>
      <c r="BI122" s="1548"/>
      <c r="BJ122" s="1548"/>
      <c r="BK122" s="1548"/>
      <c r="BL122" s="1548"/>
      <c r="BM122" s="1548"/>
      <c r="BN122" s="1548"/>
      <c r="BO122" s="1548"/>
      <c r="BP122" s="1548"/>
      <c r="BQ122" s="1548"/>
      <c r="BR122" s="1548"/>
      <c r="BS122" s="1548"/>
      <c r="BT122" s="1548"/>
      <c r="BU122" s="1548"/>
      <c r="BV122" s="1060"/>
      <c r="BW122" s="1060"/>
      <c r="BX122" s="1060"/>
      <c r="BY122" s="1060"/>
      <c r="BZ122" s="1060"/>
      <c r="CA122" s="1060"/>
      <c r="CB122" s="1060"/>
      <c r="CC122" s="1060"/>
      <c r="CD122" s="1060"/>
      <c r="CE122" s="1060"/>
    </row>
    <row r="123" spans="1:83" s="1832" customFormat="1" ht="11.25" hidden="1" customHeight="1">
      <c r="A123" s="1704"/>
      <c r="B123" s="1548"/>
      <c r="C123" s="1548"/>
      <c r="D123" s="4307"/>
      <c r="E123" s="556"/>
      <c r="F123" s="556">
        <v>0</v>
      </c>
      <c r="G123" s="556"/>
      <c r="H123" s="556"/>
      <c r="I123" s="556"/>
      <c r="J123" s="556"/>
      <c r="K123" s="556"/>
      <c r="L123" s="556"/>
      <c r="M123" s="556"/>
      <c r="N123" s="556"/>
      <c r="O123" s="556"/>
      <c r="P123" s="556"/>
      <c r="Q123" s="556"/>
      <c r="R123" s="556"/>
      <c r="S123" s="557"/>
      <c r="T123" s="637"/>
      <c r="U123" s="4073"/>
      <c r="V123" s="4073"/>
      <c r="W123" s="1548"/>
      <c r="X123" s="1548"/>
      <c r="Y123" s="1548"/>
      <c r="Z123" s="1548"/>
      <c r="AA123" s="1548"/>
      <c r="AB123" s="1060"/>
      <c r="AC123" s="4154"/>
      <c r="AD123" s="550"/>
      <c r="AE123" s="1060"/>
      <c r="AF123" s="1060"/>
      <c r="AG123" s="1548"/>
      <c r="AH123" s="1548"/>
      <c r="AI123" s="1548"/>
      <c r="AJ123" s="1548"/>
      <c r="AK123" s="1548"/>
      <c r="AL123" s="1548"/>
      <c r="AM123" s="1548"/>
      <c r="AN123" s="1548"/>
      <c r="AO123" s="1548"/>
      <c r="AP123" s="1548"/>
      <c r="AQ123" s="1548"/>
      <c r="AR123" s="1548"/>
      <c r="AS123" s="1548"/>
      <c r="AT123" s="1548"/>
      <c r="AU123" s="1548"/>
      <c r="AV123" s="1548"/>
      <c r="AW123" s="1548"/>
      <c r="AX123" s="1548"/>
      <c r="AY123" s="1548"/>
      <c r="AZ123" s="1548"/>
      <c r="BA123" s="1548"/>
      <c r="BB123" s="1548"/>
      <c r="BC123" s="1548"/>
      <c r="BD123" s="1548"/>
      <c r="BE123" s="1548"/>
      <c r="BF123" s="1548"/>
      <c r="BG123" s="1548"/>
      <c r="BH123" s="1548"/>
      <c r="BI123" s="1548"/>
      <c r="BJ123" s="1548"/>
      <c r="BK123" s="1548"/>
      <c r="BL123" s="1548"/>
      <c r="BM123" s="1548"/>
      <c r="BN123" s="1548"/>
      <c r="BO123" s="1548"/>
      <c r="BP123" s="1548"/>
      <c r="BQ123" s="1548"/>
      <c r="BR123" s="1548"/>
      <c r="BS123" s="1548"/>
      <c r="BT123" s="1548"/>
      <c r="BU123" s="1548"/>
      <c r="BV123" s="1548"/>
      <c r="BW123" s="1548"/>
      <c r="BX123" s="1548"/>
      <c r="BY123" s="1548"/>
      <c r="BZ123" s="1548"/>
      <c r="CA123" s="1548"/>
      <c r="CB123" s="1548"/>
      <c r="CC123" s="1548"/>
      <c r="CD123" s="1548"/>
      <c r="CE123" s="1548"/>
    </row>
    <row r="124" spans="1:83" s="1832" customFormat="1" ht="11.25" customHeight="1">
      <c r="A124" s="1717"/>
      <c r="B124" s="1060"/>
      <c r="C124" s="346"/>
      <c r="D124" s="4307"/>
      <c r="E124" s="570" t="s">
        <v>24</v>
      </c>
      <c r="F124" s="1068" t="s">
        <v>24</v>
      </c>
      <c r="G124" s="1068" t="s">
        <v>1153</v>
      </c>
      <c r="H124" s="572" t="s">
        <v>24</v>
      </c>
      <c r="I124" s="572"/>
      <c r="J124" s="572"/>
      <c r="K124" s="572"/>
      <c r="L124" s="572"/>
      <c r="M124" s="572"/>
      <c r="N124" s="572"/>
      <c r="O124" s="572"/>
      <c r="P124" s="572"/>
      <c r="Q124" s="572"/>
      <c r="R124" s="573"/>
      <c r="S124" s="574"/>
      <c r="T124" s="637"/>
      <c r="U124" s="4073"/>
      <c r="V124" s="4073"/>
      <c r="W124" s="1060"/>
      <c r="X124" s="1060"/>
      <c r="Y124" s="1060"/>
      <c r="Z124" s="1060"/>
      <c r="AA124" s="1548"/>
      <c r="AB124" s="1060"/>
      <c r="AC124" s="4154"/>
      <c r="AD124" s="550"/>
      <c r="AE124" s="1060"/>
      <c r="AF124" s="1060"/>
      <c r="AG124" s="1548"/>
      <c r="AH124" s="1548"/>
      <c r="AI124" s="1548"/>
      <c r="AJ124" s="1548"/>
      <c r="AK124" s="1548"/>
      <c r="AL124" s="1548"/>
      <c r="AM124" s="1548"/>
      <c r="AN124" s="1548"/>
      <c r="AO124" s="1548"/>
      <c r="AP124" s="1548"/>
      <c r="AQ124" s="1548"/>
      <c r="AR124" s="1548"/>
      <c r="AS124" s="1548"/>
      <c r="AT124" s="1548"/>
      <c r="AU124" s="1548"/>
      <c r="AV124" s="1548"/>
      <c r="AW124" s="1548"/>
      <c r="AX124" s="1548"/>
      <c r="AY124" s="1548"/>
      <c r="AZ124" s="1548"/>
      <c r="BA124" s="1548"/>
      <c r="BB124" s="1548"/>
      <c r="BC124" s="1548"/>
      <c r="BD124" s="1548"/>
      <c r="BE124" s="1548"/>
      <c r="BF124" s="1548"/>
      <c r="BG124" s="1548"/>
      <c r="BH124" s="1548"/>
      <c r="BI124" s="1548"/>
      <c r="BJ124" s="1548"/>
      <c r="BK124" s="1548"/>
      <c r="BL124" s="1548"/>
      <c r="BM124" s="1548"/>
      <c r="BN124" s="1548"/>
      <c r="BO124" s="1548"/>
      <c r="BP124" s="1548"/>
      <c r="BQ124" s="1548"/>
      <c r="BR124" s="1548"/>
      <c r="BS124" s="1548"/>
      <c r="BT124" s="1548"/>
      <c r="BU124" s="1548"/>
      <c r="BV124" s="1060"/>
      <c r="BW124" s="1060"/>
      <c r="BX124" s="1060"/>
      <c r="BY124" s="1060"/>
      <c r="BZ124" s="1060"/>
      <c r="CA124" s="1060"/>
      <c r="CB124" s="1060"/>
      <c r="CC124" s="1060"/>
      <c r="CD124" s="1060"/>
      <c r="CE124" s="1060"/>
    </row>
    <row r="125" spans="1:83" s="1833" customFormat="1" ht="5.25" hidden="1" customHeight="1">
      <c r="A125" s="1704"/>
      <c r="B125" s="1548"/>
      <c r="C125" s="1548"/>
      <c r="D125" s="4307"/>
      <c r="E125" s="946"/>
      <c r="F125" s="946"/>
      <c r="G125" s="946"/>
      <c r="H125" s="946"/>
      <c r="I125" s="946"/>
      <c r="J125" s="946"/>
      <c r="K125" s="946"/>
      <c r="L125" s="946"/>
      <c r="M125" s="946"/>
      <c r="N125" s="946"/>
      <c r="O125" s="946"/>
      <c r="P125" s="946"/>
      <c r="Q125" s="947"/>
      <c r="R125" s="948"/>
      <c r="S125" s="949"/>
      <c r="T125" s="636" t="s">
        <v>595</v>
      </c>
      <c r="U125" s="4073">
        <v>1</v>
      </c>
      <c r="V125" s="4073" t="s">
        <v>558</v>
      </c>
      <c r="W125" s="1548"/>
      <c r="X125" s="1548"/>
      <c r="Y125" s="1548"/>
      <c r="Z125" s="1548"/>
      <c r="AA125" s="1548"/>
      <c r="AB125" s="1548"/>
      <c r="AC125" s="944"/>
      <c r="AD125" s="945"/>
      <c r="AE125" s="1548"/>
      <c r="AF125" s="1548"/>
      <c r="AG125" s="1548"/>
      <c r="AH125" s="1548"/>
      <c r="AI125" s="1548"/>
      <c r="AJ125" s="1548"/>
      <c r="AK125" s="1548"/>
      <c r="AL125" s="1548"/>
      <c r="AM125" s="1548"/>
      <c r="AN125" s="1548"/>
      <c r="AO125" s="1548"/>
      <c r="AP125" s="1548"/>
      <c r="AQ125" s="1548"/>
      <c r="AR125" s="1548"/>
      <c r="AS125" s="1548"/>
      <c r="AT125" s="1548"/>
      <c r="AU125" s="1548"/>
      <c r="AV125" s="1548"/>
      <c r="AW125" s="1548"/>
      <c r="AX125" s="1548"/>
      <c r="AY125" s="1548"/>
      <c r="AZ125" s="1548"/>
      <c r="BA125" s="1548"/>
      <c r="BB125" s="1548"/>
      <c r="BC125" s="1548"/>
      <c r="BD125" s="1548"/>
      <c r="BE125" s="1548"/>
      <c r="BF125" s="1548"/>
      <c r="BG125" s="1548"/>
      <c r="BH125" s="1548"/>
      <c r="BI125" s="1548"/>
      <c r="BJ125" s="1548"/>
      <c r="BK125" s="1548"/>
      <c r="BL125" s="1548"/>
      <c r="BM125" s="1548"/>
      <c r="BN125" s="1548"/>
      <c r="BO125" s="1548"/>
      <c r="BP125" s="1548"/>
      <c r="BQ125" s="1548"/>
      <c r="BR125" s="1548"/>
      <c r="BS125" s="1548"/>
      <c r="BT125" s="1548"/>
      <c r="BU125" s="1548"/>
      <c r="BV125" s="1548"/>
      <c r="BW125" s="1548"/>
      <c r="BX125" s="1548"/>
      <c r="BY125" s="1548"/>
      <c r="BZ125" s="1548"/>
      <c r="CA125" s="1548"/>
      <c r="CB125" s="1548"/>
      <c r="CC125" s="1548"/>
      <c r="CD125" s="1548"/>
      <c r="CE125" s="1548"/>
    </row>
    <row r="126" spans="1:83" s="1833" customFormat="1" ht="5.25" hidden="1" customHeight="1">
      <c r="A126" s="1704"/>
      <c r="B126" s="1548"/>
      <c r="C126" s="1548"/>
      <c r="D126" s="4307"/>
      <c r="E126" s="556"/>
      <c r="F126" s="556"/>
      <c r="G126" s="556"/>
      <c r="H126" s="556"/>
      <c r="I126" s="556"/>
      <c r="J126" s="556"/>
      <c r="K126" s="556"/>
      <c r="L126" s="556"/>
      <c r="M126" s="556"/>
      <c r="N126" s="556"/>
      <c r="O126" s="556"/>
      <c r="P126" s="556"/>
      <c r="Q126" s="556"/>
      <c r="R126" s="556"/>
      <c r="S126" s="557"/>
      <c r="T126" s="637"/>
      <c r="U126" s="4073"/>
      <c r="V126" s="4073"/>
      <c r="W126" s="1548"/>
      <c r="X126" s="1548"/>
      <c r="Y126" s="1548"/>
      <c r="Z126" s="1548"/>
      <c r="AA126" s="1548"/>
      <c r="AB126" s="1548"/>
      <c r="AC126" s="944"/>
      <c r="AD126" s="945"/>
      <c r="AE126" s="1548"/>
      <c r="AF126" s="1548"/>
      <c r="AG126" s="1548"/>
      <c r="AH126" s="1548"/>
      <c r="AI126" s="1548"/>
      <c r="AJ126" s="1548"/>
      <c r="AK126" s="1548"/>
      <c r="AL126" s="1548"/>
      <c r="AM126" s="1548"/>
      <c r="AN126" s="1548"/>
      <c r="AO126" s="1548"/>
      <c r="AP126" s="1548"/>
      <c r="AQ126" s="1548"/>
      <c r="AR126" s="1548"/>
      <c r="AS126" s="1548"/>
      <c r="AT126" s="1548"/>
      <c r="AU126" s="1548"/>
      <c r="AV126" s="1548"/>
      <c r="AW126" s="1548"/>
      <c r="AX126" s="1548"/>
      <c r="AY126" s="1548"/>
      <c r="AZ126" s="1548"/>
      <c r="BA126" s="1548"/>
      <c r="BB126" s="1548"/>
      <c r="BC126" s="1548"/>
      <c r="BD126" s="1548"/>
      <c r="BE126" s="1548"/>
      <c r="BF126" s="1548"/>
      <c r="BG126" s="1548"/>
      <c r="BH126" s="1548"/>
      <c r="BI126" s="1548"/>
      <c r="BJ126" s="1548"/>
      <c r="BK126" s="1548"/>
      <c r="BL126" s="1548"/>
      <c r="BM126" s="1548"/>
      <c r="BN126" s="1548"/>
      <c r="BO126" s="1548"/>
      <c r="BP126" s="1548"/>
      <c r="BQ126" s="1548"/>
      <c r="BR126" s="1548"/>
      <c r="BS126" s="1548"/>
      <c r="BT126" s="1548"/>
      <c r="BU126" s="1548"/>
      <c r="BV126" s="1548"/>
      <c r="BW126" s="1548"/>
      <c r="BX126" s="1548"/>
      <c r="BY126" s="1548"/>
      <c r="BZ126" s="1548"/>
      <c r="CA126" s="1548"/>
      <c r="CB126" s="1548"/>
      <c r="CC126" s="1548"/>
      <c r="CD126" s="1548"/>
      <c r="CE126" s="1548"/>
    </row>
    <row r="127" spans="1:83" s="1833" customFormat="1" ht="5.25" hidden="1" customHeight="1">
      <c r="A127" s="1704"/>
      <c r="B127" s="1548"/>
      <c r="C127" s="1548"/>
      <c r="D127" s="4308"/>
      <c r="E127" s="950"/>
      <c r="F127" s="951"/>
      <c r="G127" s="951"/>
      <c r="H127" s="952"/>
      <c r="I127" s="952"/>
      <c r="J127" s="952"/>
      <c r="K127" s="952"/>
      <c r="L127" s="952"/>
      <c r="M127" s="952"/>
      <c r="N127" s="952"/>
      <c r="O127" s="952"/>
      <c r="P127" s="952"/>
      <c r="Q127" s="952"/>
      <c r="R127" s="855"/>
      <c r="S127" s="953"/>
      <c r="T127" s="637"/>
      <c r="U127" s="4073"/>
      <c r="V127" s="4073"/>
      <c r="W127" s="1548"/>
      <c r="X127" s="1548"/>
      <c r="Y127" s="1548"/>
      <c r="Z127" s="1548"/>
      <c r="AA127" s="1548"/>
      <c r="AB127" s="1548"/>
      <c r="AC127" s="944"/>
      <c r="AD127" s="945"/>
      <c r="AE127" s="1548"/>
      <c r="AF127" s="1548"/>
      <c r="AG127" s="1548"/>
      <c r="AH127" s="1548"/>
      <c r="AI127" s="1548"/>
      <c r="AJ127" s="1548"/>
      <c r="AK127" s="1548"/>
      <c r="AL127" s="1548"/>
      <c r="AM127" s="1548"/>
      <c r="AN127" s="1548"/>
      <c r="AO127" s="1548"/>
      <c r="AP127" s="1548"/>
      <c r="AQ127" s="1548"/>
      <c r="AR127" s="1548"/>
      <c r="AS127" s="1548"/>
      <c r="AT127" s="1548"/>
      <c r="AU127" s="1548"/>
      <c r="AV127" s="1548"/>
      <c r="AW127" s="1548"/>
      <c r="AX127" s="1548"/>
      <c r="AY127" s="1548"/>
      <c r="AZ127" s="1548"/>
      <c r="BA127" s="1548"/>
      <c r="BB127" s="1548"/>
      <c r="BC127" s="1548"/>
      <c r="BD127" s="1548"/>
      <c r="BE127" s="1548"/>
      <c r="BF127" s="1548"/>
      <c r="BG127" s="1548"/>
      <c r="BH127" s="1548"/>
      <c r="BI127" s="1548"/>
      <c r="BJ127" s="1548"/>
      <c r="BK127" s="1548"/>
      <c r="BL127" s="1548"/>
      <c r="BM127" s="1548"/>
      <c r="BN127" s="1548"/>
      <c r="BO127" s="1548"/>
      <c r="BP127" s="1548"/>
      <c r="BQ127" s="1548"/>
      <c r="BR127" s="1548"/>
      <c r="BS127" s="1548"/>
      <c r="BT127" s="1548"/>
      <c r="BU127" s="1548"/>
      <c r="BV127" s="1548"/>
      <c r="BW127" s="1548"/>
      <c r="BX127" s="1548"/>
      <c r="BY127" s="1548"/>
      <c r="BZ127" s="1548"/>
      <c r="CA127" s="1548"/>
      <c r="CB127" s="1548"/>
      <c r="CC127" s="1548"/>
      <c r="CD127" s="1548"/>
      <c r="CE127" s="1548"/>
    </row>
    <row r="128" spans="1:83" ht="17.25" customHeight="1">
      <c r="D128" s="1745"/>
    </row>
    <row r="129" spans="1:29" s="3872" customFormat="1" ht="11.25" customHeight="1">
      <c r="A129" s="1726" t="s">
        <v>1155</v>
      </c>
    </row>
    <row r="131" spans="1:29" s="1832" customFormat="1" ht="45" customHeight="1">
      <c r="A131" s="1717"/>
      <c r="B131" s="1060"/>
      <c r="C131" s="346"/>
      <c r="D131" s="23"/>
      <c r="E131" s="4299"/>
      <c r="F131" s="3928" t="s">
        <v>107</v>
      </c>
      <c r="G131" s="4302" t="s">
        <v>24</v>
      </c>
      <c r="H131" s="208"/>
      <c r="I131" s="558" t="s">
        <v>107</v>
      </c>
      <c r="J131" s="1718" t="s">
        <v>1156</v>
      </c>
      <c r="K131" s="559" t="s">
        <v>529</v>
      </c>
      <c r="L131" s="4047" t="s">
        <v>529</v>
      </c>
      <c r="M131" s="3974"/>
      <c r="N131" s="559" t="s">
        <v>529</v>
      </c>
      <c r="O131" s="559" t="s">
        <v>529</v>
      </c>
      <c r="P131" s="559" t="s">
        <v>529</v>
      </c>
      <c r="Q131" s="560">
        <f>SUM(Q132:Q134)</f>
        <v>0</v>
      </c>
      <c r="R131" s="560">
        <f>IF(R128=0,0,(Q128/R128)*100)</f>
        <v>0</v>
      </c>
      <c r="S131" s="4007"/>
      <c r="T131" s="636" t="s">
        <v>595</v>
      </c>
      <c r="U131" s="23"/>
      <c r="V131" s="23"/>
      <c r="AC131" s="23"/>
    </row>
    <row r="132" spans="1:29" s="1832" customFormat="1" ht="11.25" customHeight="1">
      <c r="A132" s="1717"/>
      <c r="B132" s="1060"/>
      <c r="C132" s="346"/>
      <c r="D132" s="23"/>
      <c r="E132" s="4300"/>
      <c r="F132" s="3928"/>
      <c r="G132" s="4302"/>
      <c r="H132" s="3946"/>
      <c r="I132" s="4194" t="s">
        <v>919</v>
      </c>
      <c r="J132" s="4304"/>
      <c r="K132" s="4305"/>
      <c r="L132" s="561"/>
      <c r="M132" s="562" t="s">
        <v>107</v>
      </c>
      <c r="N132" s="1706"/>
      <c r="O132" s="563"/>
      <c r="P132" s="564"/>
      <c r="Q132" s="563"/>
      <c r="R132" s="565">
        <v>0</v>
      </c>
      <c r="S132" s="4007"/>
      <c r="T132" s="636"/>
      <c r="U132" s="23"/>
      <c r="V132" s="23"/>
      <c r="AC132" s="23"/>
    </row>
    <row r="133" spans="1:29" s="1832" customFormat="1" ht="11.25" customHeight="1">
      <c r="A133" s="1717"/>
      <c r="B133" s="1060"/>
      <c r="C133" s="346"/>
      <c r="D133" s="23"/>
      <c r="E133" s="4300"/>
      <c r="F133" s="3928"/>
      <c r="G133" s="4302"/>
      <c r="H133" s="3946"/>
      <c r="I133" s="4194"/>
      <c r="J133" s="4304"/>
      <c r="K133" s="4258"/>
      <c r="L133" s="566"/>
      <c r="M133" s="567"/>
      <c r="N133" s="568" t="s">
        <v>1157</v>
      </c>
      <c r="O133" s="568"/>
      <c r="P133" s="568"/>
      <c r="Q133" s="568"/>
      <c r="R133" s="569"/>
      <c r="S133" s="4007"/>
      <c r="T133" s="636"/>
      <c r="U133" s="23"/>
      <c r="V133" s="23"/>
      <c r="AC133" s="23"/>
    </row>
    <row r="134" spans="1:29" s="1832" customFormat="1" ht="11.25" customHeight="1">
      <c r="A134" s="1717"/>
      <c r="B134" s="1060"/>
      <c r="C134" s="346"/>
      <c r="D134" s="23"/>
      <c r="E134" s="4301"/>
      <c r="F134" s="3928"/>
      <c r="G134" s="4303"/>
      <c r="H134" s="566" t="s">
        <v>24</v>
      </c>
      <c r="I134" s="567"/>
      <c r="J134" s="568" t="s">
        <v>1158</v>
      </c>
      <c r="K134" s="568"/>
      <c r="L134" s="568"/>
      <c r="M134" s="568"/>
      <c r="N134" s="568"/>
      <c r="O134" s="568"/>
      <c r="P134" s="568"/>
      <c r="Q134" s="568"/>
      <c r="R134" s="569"/>
      <c r="S134" s="4007"/>
      <c r="T134" s="636"/>
      <c r="U134" s="23"/>
      <c r="V134" s="23"/>
      <c r="AC134" s="23"/>
    </row>
    <row r="139" spans="1:29" s="1832" customFormat="1" ht="11.25" customHeight="1">
      <c r="A139" s="1717"/>
      <c r="B139" s="1060"/>
      <c r="C139" s="346"/>
      <c r="D139" s="23"/>
      <c r="E139" s="1739"/>
      <c r="F139" s="1739"/>
      <c r="G139" s="1739"/>
      <c r="H139" s="3946"/>
      <c r="I139" s="4194" t="s">
        <v>919</v>
      </c>
      <c r="J139" s="4304"/>
      <c r="K139" s="4305"/>
      <c r="L139" s="561"/>
      <c r="M139" s="562" t="s">
        <v>107</v>
      </c>
      <c r="N139" s="1706"/>
      <c r="O139" s="563"/>
      <c r="P139" s="564"/>
      <c r="Q139" s="563"/>
      <c r="R139" s="565">
        <v>0</v>
      </c>
      <c r="S139" s="23"/>
      <c r="T139" s="636"/>
      <c r="U139" s="23"/>
      <c r="V139" s="23"/>
      <c r="AC139" s="23"/>
    </row>
    <row r="140" spans="1:29" s="1832" customFormat="1" ht="11.25" customHeight="1">
      <c r="A140" s="1717"/>
      <c r="B140" s="1060"/>
      <c r="C140" s="346"/>
      <c r="D140" s="23"/>
      <c r="E140" s="1739"/>
      <c r="F140" s="1739"/>
      <c r="G140" s="1739"/>
      <c r="H140" s="3946"/>
      <c r="I140" s="4194"/>
      <c r="J140" s="4304"/>
      <c r="K140" s="4258"/>
      <c r="L140" s="566"/>
      <c r="M140" s="567"/>
      <c r="N140" s="568" t="s">
        <v>1157</v>
      </c>
      <c r="O140" s="568"/>
      <c r="P140" s="568"/>
      <c r="Q140" s="568"/>
      <c r="R140" s="569"/>
      <c r="S140" s="23"/>
      <c r="T140" s="636"/>
      <c r="U140" s="23"/>
      <c r="V140" s="23"/>
      <c r="AC140" s="23"/>
    </row>
    <row r="142" spans="1:29" s="1832" customFormat="1" ht="11.25" customHeight="1">
      <c r="A142" s="1717"/>
      <c r="B142" s="1060"/>
      <c r="C142" s="346"/>
      <c r="D142" s="23"/>
      <c r="E142" s="1746"/>
      <c r="F142" s="1744"/>
      <c r="G142" s="1744"/>
      <c r="H142" s="1747"/>
      <c r="I142" s="1739"/>
      <c r="J142" s="1740"/>
      <c r="K142" s="1740"/>
      <c r="L142" s="561"/>
      <c r="M142" s="562" t="s">
        <v>107</v>
      </c>
      <c r="N142" s="1706"/>
      <c r="O142" s="563"/>
      <c r="P142" s="564"/>
      <c r="Q142" s="563"/>
      <c r="R142" s="565">
        <v>0</v>
      </c>
      <c r="S142" s="23"/>
      <c r="T142" s="636"/>
      <c r="U142" s="23"/>
      <c r="V142" s="23"/>
      <c r="AC142" s="23"/>
    </row>
    <row r="144" spans="1:29" s="3872" customFormat="1" ht="17.25" customHeight="1">
      <c r="A144" s="1726" t="s">
        <v>1159</v>
      </c>
    </row>
    <row r="145" spans="1:43" ht="17.25" customHeight="1">
      <c r="G145" s="1748"/>
      <c r="H145" s="1748"/>
      <c r="I145" s="1748"/>
      <c r="M145" s="1744"/>
    </row>
    <row r="146" spans="1:43" s="3875" customFormat="1" ht="17.25" customHeight="1">
      <c r="A146" s="1749"/>
      <c r="C146" s="1751"/>
      <c r="D146" s="3996"/>
      <c r="E146" s="3962"/>
      <c r="F146" s="3964"/>
      <c r="G146" s="3976"/>
      <c r="H146" s="3996"/>
      <c r="I146" s="3996">
        <v>1</v>
      </c>
      <c r="J146" s="3999"/>
      <c r="K146" s="4001" t="s">
        <v>65</v>
      </c>
      <c r="L146" s="3928"/>
      <c r="M146" s="3928" t="s">
        <v>107</v>
      </c>
      <c r="N146" s="4259" t="str">
        <f>IF(Z146="","",INDEX(TERRITORY_MR_LIST,MATCH(Z146,TERRITORY_LIST_ID,0)))</f>
        <v/>
      </c>
      <c r="O146" s="4001" t="s">
        <v>65</v>
      </c>
      <c r="P146" s="3928"/>
      <c r="Q146" s="3928" t="s">
        <v>107</v>
      </c>
      <c r="R146" s="4258" t="s">
        <v>24</v>
      </c>
      <c r="S146" s="3927" t="s">
        <v>65</v>
      </c>
      <c r="T146" s="1722"/>
      <c r="U146" s="1722" t="s">
        <v>107</v>
      </c>
      <c r="V146" s="1752" t="s">
        <v>24</v>
      </c>
      <c r="W146" s="1712"/>
      <c r="Y146" s="1186"/>
      <c r="Z146" s="1186"/>
      <c r="AA146" s="1186"/>
      <c r="AB146" s="1186"/>
      <c r="AC146" s="1186"/>
      <c r="AD146" s="1186"/>
      <c r="AE146" s="1186"/>
      <c r="AF146" s="1186"/>
      <c r="AG146" s="1186"/>
      <c r="AH146" s="1186"/>
      <c r="AI146" s="1186"/>
      <c r="AJ146" s="1186"/>
      <c r="AK146" s="1186"/>
      <c r="AL146" s="1753"/>
      <c r="AM146" s="1753"/>
      <c r="AN146" s="1186"/>
      <c r="AO146" s="1186"/>
      <c r="AP146" s="1186"/>
      <c r="AQ146" s="1186"/>
    </row>
    <row r="147" spans="1:43" s="3875" customFormat="1" ht="17.25" customHeight="1">
      <c r="A147" s="1749"/>
      <c r="C147" s="1754"/>
      <c r="D147" s="3996"/>
      <c r="E147" s="3962"/>
      <c r="F147" s="3965"/>
      <c r="G147" s="3976"/>
      <c r="H147" s="3996"/>
      <c r="I147" s="3996"/>
      <c r="J147" s="3999"/>
      <c r="K147" s="4002"/>
      <c r="L147" s="3928"/>
      <c r="M147" s="3928"/>
      <c r="N147" s="4259"/>
      <c r="O147" s="4002"/>
      <c r="P147" s="3928"/>
      <c r="Q147" s="3928"/>
      <c r="R147" s="4258"/>
      <c r="S147" s="3927"/>
      <c r="T147" s="241"/>
      <c r="U147" s="242"/>
      <c r="V147" s="242" t="s">
        <v>166</v>
      </c>
      <c r="W147" s="243"/>
      <c r="Y147" s="1179"/>
      <c r="Z147" s="1179"/>
      <c r="AA147" s="1179"/>
      <c r="AB147" s="1179"/>
      <c r="AC147" s="1179"/>
      <c r="AD147" s="1179"/>
      <c r="AE147" s="1179"/>
      <c r="AF147" s="1179"/>
      <c r="AG147" s="1179"/>
      <c r="AH147" s="1179"/>
      <c r="AI147" s="1179"/>
      <c r="AJ147" s="1179"/>
      <c r="AK147" s="1179"/>
    </row>
    <row r="148" spans="1:43" s="3875" customFormat="1" ht="17.25" customHeight="1">
      <c r="A148" s="1749"/>
      <c r="C148" s="1754"/>
      <c r="D148" s="3961"/>
      <c r="E148" s="3963"/>
      <c r="F148" s="3965"/>
      <c r="G148" s="3977"/>
      <c r="H148" s="3961"/>
      <c r="I148" s="3961"/>
      <c r="J148" s="4000"/>
      <c r="K148" s="4002"/>
      <c r="L148" s="3961"/>
      <c r="M148" s="3961"/>
      <c r="N148" s="4260"/>
      <c r="O148" s="3932"/>
      <c r="P148" s="241"/>
      <c r="Q148" s="242"/>
      <c r="R148" s="242" t="s">
        <v>167</v>
      </c>
      <c r="S148" s="1755"/>
      <c r="T148" s="1755"/>
      <c r="U148" s="1755"/>
      <c r="V148" s="1755"/>
      <c r="W148" s="243"/>
      <c r="Y148" s="1179"/>
      <c r="Z148" s="1179"/>
      <c r="AA148" s="1179"/>
      <c r="AB148" s="1179"/>
      <c r="AC148" s="1179"/>
      <c r="AD148" s="1179"/>
      <c r="AE148" s="1179"/>
      <c r="AF148" s="1179"/>
      <c r="AG148" s="1179"/>
      <c r="AH148" s="1179"/>
      <c r="AI148" s="1179"/>
      <c r="AJ148" s="1179"/>
      <c r="AK148" s="1179"/>
    </row>
    <row r="149" spans="1:43" s="3875" customFormat="1" ht="17.25" customHeight="1">
      <c r="A149" s="1749"/>
      <c r="C149" s="1754"/>
      <c r="D149" s="3961"/>
      <c r="E149" s="3963"/>
      <c r="F149" s="3965"/>
      <c r="G149" s="3977"/>
      <c r="H149" s="3961"/>
      <c r="I149" s="3961"/>
      <c r="J149" s="4000"/>
      <c r="K149" s="3932"/>
      <c r="L149" s="241"/>
      <c r="M149" s="242"/>
      <c r="N149" s="242" t="s">
        <v>168</v>
      </c>
      <c r="O149" s="242"/>
      <c r="P149" s="242"/>
      <c r="Q149" s="242"/>
      <c r="R149" s="242"/>
      <c r="S149" s="1755"/>
      <c r="T149" s="1755"/>
      <c r="U149" s="1755"/>
      <c r="V149" s="1755"/>
      <c r="W149" s="243"/>
      <c r="Y149" s="1179"/>
      <c r="Z149" s="1179"/>
      <c r="AA149" s="1179"/>
      <c r="AB149" s="1179"/>
      <c r="AC149" s="1179"/>
      <c r="AD149" s="1179"/>
      <c r="AE149" s="1179"/>
      <c r="AF149" s="1179"/>
      <c r="AG149" s="1179"/>
      <c r="AH149" s="1179"/>
      <c r="AI149" s="1179"/>
      <c r="AJ149" s="1179"/>
      <c r="AK149" s="1179"/>
    </row>
    <row r="150" spans="1:43" s="3875" customFormat="1" ht="17.25" customHeight="1">
      <c r="A150" s="1749"/>
      <c r="C150" s="1754"/>
      <c r="D150" s="3961"/>
      <c r="E150" s="3963"/>
      <c r="F150" s="3966"/>
      <c r="G150" s="3977"/>
      <c r="H150" s="241"/>
      <c r="I150" s="242"/>
      <c r="J150" s="242" t="s">
        <v>169</v>
      </c>
      <c r="K150" s="242"/>
      <c r="L150" s="242"/>
      <c r="M150" s="242"/>
      <c r="N150" s="242"/>
      <c r="O150" s="242"/>
      <c r="P150" s="242"/>
      <c r="Q150" s="242"/>
      <c r="R150" s="242"/>
      <c r="S150" s="1755"/>
      <c r="T150" s="1755"/>
      <c r="U150" s="1755"/>
      <c r="V150" s="1755"/>
      <c r="W150" s="243"/>
      <c r="Y150" s="1179"/>
      <c r="Z150" s="1179"/>
      <c r="AA150" s="1179"/>
      <c r="AB150" s="1179"/>
      <c r="AC150" s="1179"/>
      <c r="AD150" s="1179"/>
      <c r="AE150" s="1179"/>
      <c r="AF150" s="1179"/>
      <c r="AG150" s="1179"/>
      <c r="AH150" s="1179"/>
      <c r="AI150" s="1179"/>
      <c r="AJ150" s="1179"/>
      <c r="AK150" s="1179"/>
    </row>
    <row r="151" spans="1:43" ht="17.25" customHeight="1">
      <c r="G151" s="1748"/>
      <c r="H151" s="1748"/>
      <c r="I151" s="1748"/>
      <c r="M151" s="1744"/>
    </row>
    <row r="152" spans="1:43" s="3875" customFormat="1" ht="17.25" customHeight="1">
      <c r="A152" s="1749"/>
      <c r="C152" s="1751"/>
      <c r="D152" s="1739"/>
      <c r="E152" s="1756"/>
      <c r="F152" s="1695"/>
      <c r="G152" s="1757"/>
      <c r="H152" s="3996"/>
      <c r="I152" s="3996">
        <v>1</v>
      </c>
      <c r="J152" s="3999"/>
      <c r="K152" s="4001" t="s">
        <v>65</v>
      </c>
      <c r="L152" s="3928"/>
      <c r="M152" s="3928" t="s">
        <v>107</v>
      </c>
      <c r="N152" s="4259" t="str">
        <f>IF(Z152="","",INDEX(TERRITORY_MR_LIST,MATCH(Z152,TERRITORY_LIST_ID,0)))</f>
        <v/>
      </c>
      <c r="O152" s="4001" t="s">
        <v>65</v>
      </c>
      <c r="P152" s="3928"/>
      <c r="Q152" s="3928" t="s">
        <v>107</v>
      </c>
      <c r="R152" s="4258" t="s">
        <v>24</v>
      </c>
      <c r="S152" s="3927" t="s">
        <v>65</v>
      </c>
      <c r="T152" s="1722"/>
      <c r="U152" s="1722" t="s">
        <v>107</v>
      </c>
      <c r="V152" s="1752" t="s">
        <v>24</v>
      </c>
      <c r="W152" s="1712"/>
      <c r="Y152" s="1186"/>
      <c r="Z152" s="1186"/>
      <c r="AA152" s="1186"/>
      <c r="AB152" s="1186"/>
      <c r="AC152" s="1186"/>
      <c r="AD152" s="1186"/>
      <c r="AE152" s="1186"/>
      <c r="AF152" s="1186"/>
      <c r="AG152" s="1186"/>
      <c r="AH152" s="1186"/>
      <c r="AI152" s="1186"/>
      <c r="AJ152" s="1186"/>
      <c r="AK152" s="1186"/>
      <c r="AL152" s="1753"/>
      <c r="AM152" s="1753"/>
      <c r="AN152" s="1186"/>
      <c r="AO152" s="1186"/>
      <c r="AP152" s="1186"/>
      <c r="AQ152" s="1186"/>
    </row>
    <row r="153" spans="1:43" s="3875" customFormat="1" ht="17.25" customHeight="1">
      <c r="A153" s="1749"/>
      <c r="C153" s="1754"/>
      <c r="D153" s="1739"/>
      <c r="E153" s="1756"/>
      <c r="F153" s="1695"/>
      <c r="G153" s="1757"/>
      <c r="H153" s="3996"/>
      <c r="I153" s="3996"/>
      <c r="J153" s="3999"/>
      <c r="K153" s="4002"/>
      <c r="L153" s="3928"/>
      <c r="M153" s="3928"/>
      <c r="N153" s="4259"/>
      <c r="O153" s="4002"/>
      <c r="P153" s="3928"/>
      <c r="Q153" s="3928"/>
      <c r="R153" s="4258"/>
      <c r="S153" s="3927"/>
      <c r="T153" s="241"/>
      <c r="U153" s="242"/>
      <c r="V153" s="242" t="s">
        <v>166</v>
      </c>
      <c r="W153" s="243"/>
      <c r="Y153" s="1179"/>
      <c r="Z153" s="1179"/>
      <c r="AA153" s="1179"/>
      <c r="AB153" s="1179"/>
      <c r="AC153" s="1179"/>
      <c r="AD153" s="1179"/>
      <c r="AE153" s="1179"/>
      <c r="AF153" s="1179"/>
      <c r="AG153" s="1179"/>
      <c r="AH153" s="1179"/>
      <c r="AI153" s="1179"/>
      <c r="AJ153" s="1179"/>
      <c r="AK153" s="1179"/>
    </row>
    <row r="154" spans="1:43" s="3875" customFormat="1" ht="17.25" customHeight="1">
      <c r="A154" s="1749"/>
      <c r="C154" s="1754"/>
      <c r="D154" s="1739"/>
      <c r="E154" s="1756"/>
      <c r="F154" s="1695"/>
      <c r="G154" s="1757"/>
      <c r="H154" s="3961"/>
      <c r="I154" s="3961"/>
      <c r="J154" s="4000"/>
      <c r="K154" s="4002"/>
      <c r="L154" s="3961"/>
      <c r="M154" s="3961"/>
      <c r="N154" s="4260"/>
      <c r="O154" s="3932"/>
      <c r="P154" s="241"/>
      <c r="Q154" s="242"/>
      <c r="R154" s="242" t="s">
        <v>167</v>
      </c>
      <c r="S154" s="1755"/>
      <c r="T154" s="1755"/>
      <c r="U154" s="1755"/>
      <c r="V154" s="1755"/>
      <c r="W154" s="243"/>
      <c r="Y154" s="1179"/>
      <c r="Z154" s="1179"/>
      <c r="AA154" s="1179"/>
      <c r="AB154" s="1179"/>
      <c r="AC154" s="1179"/>
      <c r="AD154" s="1179"/>
      <c r="AE154" s="1179"/>
      <c r="AF154" s="1179"/>
      <c r="AG154" s="1179"/>
      <c r="AH154" s="1179"/>
      <c r="AI154" s="1179"/>
      <c r="AJ154" s="1179"/>
      <c r="AK154" s="1179"/>
    </row>
    <row r="155" spans="1:43" s="3875" customFormat="1" ht="17.25" customHeight="1">
      <c r="A155" s="1749"/>
      <c r="C155" s="1754"/>
      <c r="D155" s="1739"/>
      <c r="E155" s="1756"/>
      <c r="F155" s="1695"/>
      <c r="G155" s="1757"/>
      <c r="H155" s="3961"/>
      <c r="I155" s="3961"/>
      <c r="J155" s="4000"/>
      <c r="K155" s="3932"/>
      <c r="L155" s="241"/>
      <c r="M155" s="242"/>
      <c r="N155" s="242" t="s">
        <v>168</v>
      </c>
      <c r="O155" s="242"/>
      <c r="P155" s="242"/>
      <c r="Q155" s="242"/>
      <c r="R155" s="242"/>
      <c r="S155" s="1755"/>
      <c r="T155" s="1755"/>
      <c r="U155" s="1755"/>
      <c r="V155" s="1755"/>
      <c r="W155" s="243"/>
      <c r="Y155" s="1179"/>
      <c r="Z155" s="1179"/>
      <c r="AA155" s="1179"/>
      <c r="AB155" s="1179"/>
      <c r="AC155" s="1179"/>
      <c r="AD155" s="1179"/>
      <c r="AE155" s="1179"/>
      <c r="AF155" s="1179"/>
      <c r="AG155" s="1179"/>
      <c r="AH155" s="1179"/>
      <c r="AI155" s="1179"/>
      <c r="AJ155" s="1179"/>
      <c r="AK155" s="1179"/>
    </row>
    <row r="156" spans="1:43" ht="17.25" customHeight="1">
      <c r="G156" s="1748"/>
      <c r="H156" s="1748"/>
      <c r="I156" s="1748"/>
      <c r="M156" s="1744"/>
    </row>
    <row r="157" spans="1:43" s="3875" customFormat="1" ht="17.25" customHeight="1">
      <c r="A157" s="1749"/>
      <c r="C157" s="1751"/>
      <c r="D157" s="1739"/>
      <c r="E157" s="1756"/>
      <c r="F157" s="1695"/>
      <c r="G157" s="1757"/>
      <c r="H157" s="1739"/>
      <c r="I157" s="1739"/>
      <c r="J157" s="1758"/>
      <c r="K157" s="1670"/>
      <c r="L157" s="3928"/>
      <c r="M157" s="3928" t="s">
        <v>107</v>
      </c>
      <c r="N157" s="4259" t="str">
        <f>IF(Z157="","",INDEX(TERRITORY_MR_LIST,MATCH(Z157,TERRITORY_LIST_ID,0)))</f>
        <v/>
      </c>
      <c r="O157" s="4001" t="s">
        <v>65</v>
      </c>
      <c r="P157" s="3928"/>
      <c r="Q157" s="3928" t="s">
        <v>107</v>
      </c>
      <c r="R157" s="4258" t="s">
        <v>24</v>
      </c>
      <c r="S157" s="3927" t="s">
        <v>65</v>
      </c>
      <c r="T157" s="1722"/>
      <c r="U157" s="1722" t="s">
        <v>107</v>
      </c>
      <c r="V157" s="1752" t="s">
        <v>24</v>
      </c>
      <c r="W157" s="1712"/>
      <c r="Y157" s="1186"/>
      <c r="Z157" s="1186"/>
      <c r="AA157" s="1186"/>
      <c r="AB157" s="1186"/>
      <c r="AC157" s="1186"/>
      <c r="AD157" s="1186"/>
      <c r="AE157" s="1186"/>
      <c r="AF157" s="1186"/>
      <c r="AG157" s="1186"/>
      <c r="AH157" s="1186"/>
      <c r="AI157" s="1186"/>
      <c r="AJ157" s="1186"/>
      <c r="AK157" s="1186"/>
      <c r="AL157" s="1753"/>
      <c r="AM157" s="1753"/>
      <c r="AN157" s="1186"/>
      <c r="AO157" s="1186"/>
      <c r="AP157" s="1186"/>
      <c r="AQ157" s="1186"/>
    </row>
    <row r="158" spans="1:43" s="3875" customFormat="1" ht="17.25" customHeight="1">
      <c r="A158" s="1749"/>
      <c r="C158" s="1754"/>
      <c r="D158" s="1739"/>
      <c r="E158" s="1756"/>
      <c r="F158" s="1695"/>
      <c r="G158" s="1757"/>
      <c r="H158" s="1739"/>
      <c r="I158" s="1739"/>
      <c r="J158" s="1758"/>
      <c r="K158" s="1670"/>
      <c r="L158" s="3928"/>
      <c r="M158" s="3928"/>
      <c r="N158" s="4259"/>
      <c r="O158" s="4002"/>
      <c r="P158" s="3928"/>
      <c r="Q158" s="3928"/>
      <c r="R158" s="4258"/>
      <c r="S158" s="3927"/>
      <c r="T158" s="241"/>
      <c r="U158" s="242"/>
      <c r="V158" s="242" t="s">
        <v>166</v>
      </c>
      <c r="W158" s="243"/>
      <c r="Y158" s="1179"/>
      <c r="Z158" s="1179"/>
      <c r="AA158" s="1179"/>
      <c r="AB158" s="1179"/>
      <c r="AC158" s="1179"/>
      <c r="AD158" s="1179"/>
      <c r="AE158" s="1179"/>
      <c r="AF158" s="1179"/>
      <c r="AG158" s="1179"/>
      <c r="AH158" s="1179"/>
      <c r="AI158" s="1179"/>
      <c r="AJ158" s="1179"/>
      <c r="AK158" s="1179"/>
    </row>
    <row r="159" spans="1:43" s="3875" customFormat="1" ht="17.25" customHeight="1">
      <c r="A159" s="1749"/>
      <c r="C159" s="1754"/>
      <c r="D159" s="1739"/>
      <c r="E159" s="1756"/>
      <c r="F159" s="1695"/>
      <c r="G159" s="1757"/>
      <c r="H159" s="1739"/>
      <c r="I159" s="1739"/>
      <c r="J159" s="1758"/>
      <c r="K159" s="1670"/>
      <c r="L159" s="3961"/>
      <c r="M159" s="3961"/>
      <c r="N159" s="4260"/>
      <c r="O159" s="3932"/>
      <c r="P159" s="241"/>
      <c r="Q159" s="242"/>
      <c r="R159" s="242" t="s">
        <v>167</v>
      </c>
      <c r="S159" s="1755"/>
      <c r="T159" s="1755"/>
      <c r="U159" s="1755"/>
      <c r="V159" s="1755"/>
      <c r="W159" s="243"/>
      <c r="Y159" s="1179"/>
      <c r="Z159" s="1179"/>
      <c r="AA159" s="1179"/>
      <c r="AB159" s="1179"/>
      <c r="AC159" s="1179"/>
      <c r="AD159" s="1179"/>
      <c r="AE159" s="1179"/>
      <c r="AF159" s="1179"/>
      <c r="AG159" s="1179"/>
      <c r="AH159" s="1179"/>
      <c r="AI159" s="1179"/>
      <c r="AJ159" s="1179"/>
      <c r="AK159" s="1179"/>
    </row>
    <row r="160" spans="1:43" ht="17.25" customHeight="1">
      <c r="G160" s="1748"/>
      <c r="H160" s="1748"/>
      <c r="I160" s="1748"/>
      <c r="M160" s="1744"/>
    </row>
    <row r="161" spans="1:43" s="3875" customFormat="1" ht="17.25" customHeight="1">
      <c r="A161" s="1749"/>
      <c r="C161" s="1751"/>
      <c r="D161" s="1739"/>
      <c r="E161" s="1756"/>
      <c r="F161" s="1695"/>
      <c r="G161" s="1757"/>
      <c r="H161" s="1739"/>
      <c r="I161" s="1739"/>
      <c r="J161" s="1758"/>
      <c r="K161" s="1670"/>
      <c r="L161" s="1666"/>
      <c r="M161" s="1666"/>
      <c r="N161" s="1759"/>
      <c r="O161" s="1698"/>
      <c r="P161" s="3928"/>
      <c r="Q161" s="3928" t="s">
        <v>107</v>
      </c>
      <c r="R161" s="4258" t="s">
        <v>24</v>
      </c>
      <c r="S161" s="3927" t="s">
        <v>65</v>
      </c>
      <c r="T161" s="1722"/>
      <c r="U161" s="1722" t="s">
        <v>107</v>
      </c>
      <c r="V161" s="1752" t="s">
        <v>24</v>
      </c>
      <c r="W161" s="1712"/>
      <c r="Y161" s="1186"/>
      <c r="Z161" s="1186"/>
      <c r="AA161" s="1186"/>
      <c r="AB161" s="1186"/>
      <c r="AC161" s="1186"/>
      <c r="AD161" s="1186"/>
      <c r="AE161" s="1186"/>
      <c r="AF161" s="1186"/>
      <c r="AG161" s="1186"/>
      <c r="AH161" s="1186"/>
      <c r="AI161" s="1186"/>
      <c r="AJ161" s="1186"/>
      <c r="AK161" s="1186"/>
      <c r="AL161" s="1753"/>
      <c r="AM161" s="1753"/>
      <c r="AN161" s="1186"/>
      <c r="AO161" s="1186"/>
      <c r="AP161" s="1186"/>
      <c r="AQ161" s="1186"/>
    </row>
    <row r="162" spans="1:43" s="3875" customFormat="1" ht="17.25" customHeight="1">
      <c r="A162" s="1749"/>
      <c r="C162" s="1754"/>
      <c r="D162" s="1739"/>
      <c r="E162" s="1756"/>
      <c r="F162" s="1695"/>
      <c r="G162" s="1757"/>
      <c r="H162" s="1739"/>
      <c r="I162" s="1739"/>
      <c r="J162" s="1758"/>
      <c r="K162" s="1670"/>
      <c r="L162" s="1666"/>
      <c r="M162" s="1666"/>
      <c r="N162" s="1759"/>
      <c r="O162" s="1698"/>
      <c r="P162" s="3928"/>
      <c r="Q162" s="3928"/>
      <c r="R162" s="4258"/>
      <c r="S162" s="3927"/>
      <c r="T162" s="241"/>
      <c r="U162" s="242"/>
      <c r="V162" s="242" t="s">
        <v>166</v>
      </c>
      <c r="W162" s="243"/>
      <c r="Y162" s="1179"/>
      <c r="Z162" s="1179"/>
      <c r="AA162" s="1179"/>
      <c r="AB162" s="1179"/>
      <c r="AC162" s="1179"/>
      <c r="AD162" s="1179"/>
      <c r="AE162" s="1179"/>
      <c r="AF162" s="1179"/>
      <c r="AG162" s="1179"/>
      <c r="AH162" s="1179"/>
      <c r="AI162" s="1179"/>
      <c r="AJ162" s="1179"/>
      <c r="AK162" s="1179"/>
    </row>
    <row r="163" spans="1:43" ht="17.25" customHeight="1">
      <c r="G163" s="1748"/>
      <c r="H163" s="1748"/>
      <c r="I163" s="1748"/>
      <c r="M163" s="1744"/>
    </row>
    <row r="164" spans="1:43" s="3875" customFormat="1" ht="17.25" customHeight="1">
      <c r="A164" s="1749"/>
      <c r="C164" s="1751"/>
      <c r="D164" s="1739"/>
      <c r="E164" s="1756"/>
      <c r="F164" s="1695"/>
      <c r="G164" s="1757"/>
      <c r="H164" s="1666"/>
      <c r="I164" s="1666"/>
      <c r="J164" s="1667"/>
      <c r="K164" s="1757"/>
      <c r="L164" s="1666"/>
      <c r="M164" s="1666"/>
      <c r="N164" s="1757"/>
      <c r="O164" s="1757"/>
      <c r="P164" s="1666"/>
      <c r="Q164" s="1666"/>
      <c r="R164" s="1668"/>
      <c r="S164" s="1757"/>
      <c r="T164" s="1722"/>
      <c r="U164" s="1722" t="s">
        <v>107</v>
      </c>
      <c r="V164" s="1752" t="s">
        <v>24</v>
      </c>
      <c r="W164" s="1712"/>
      <c r="Y164" s="1186"/>
      <c r="Z164" s="1186"/>
      <c r="AA164" s="1186"/>
      <c r="AB164" s="1186"/>
      <c r="AC164" s="1186"/>
      <c r="AD164" s="1186"/>
      <c r="AE164" s="1186"/>
      <c r="AF164" s="1186"/>
      <c r="AG164" s="1186"/>
      <c r="AH164" s="1186"/>
      <c r="AI164" s="1186"/>
      <c r="AJ164" s="1186"/>
      <c r="AK164" s="1186"/>
      <c r="AL164" s="1753"/>
      <c r="AM164" s="1753"/>
      <c r="AN164" s="1186"/>
      <c r="AO164" s="1186"/>
      <c r="AP164" s="1186"/>
      <c r="AQ164" s="1186"/>
    </row>
    <row r="166" spans="1:43" s="3872" customFormat="1" ht="17.25" customHeight="1">
      <c r="A166" s="1726" t="s">
        <v>1160</v>
      </c>
    </row>
    <row r="167" spans="1:43" ht="17.25" customHeight="1">
      <c r="G167" s="1748"/>
      <c r="H167" s="1748"/>
      <c r="I167" s="1748"/>
      <c r="M167" s="1744"/>
    </row>
    <row r="168" spans="1:43" s="3875" customFormat="1" ht="17.25" customHeight="1">
      <c r="A168" s="1749"/>
      <c r="C168" s="1751"/>
      <c r="D168" s="3996"/>
      <c r="E168" s="3962"/>
      <c r="F168" s="3964"/>
      <c r="G168" s="3976"/>
      <c r="H168" s="3996"/>
      <c r="I168" s="3996">
        <v>1</v>
      </c>
      <c r="J168" s="3999"/>
      <c r="K168" s="4001" t="s">
        <v>65</v>
      </c>
      <c r="L168" s="3928"/>
      <c r="M168" s="3928" t="s">
        <v>107</v>
      </c>
      <c r="N168" s="4259" t="str">
        <f>IF(Z168="","",INDEX(TERRITORY_MR_LIST,MATCH(Z168,TERRITORY_LIST_ID,0)))</f>
        <v/>
      </c>
      <c r="O168" s="4001" t="s">
        <v>65</v>
      </c>
      <c r="P168" s="3928"/>
      <c r="Q168" s="3928" t="s">
        <v>107</v>
      </c>
      <c r="R168" s="4258" t="s">
        <v>24</v>
      </c>
      <c r="S168" s="4177" t="s">
        <v>55</v>
      </c>
      <c r="T168" s="1713"/>
      <c r="U168" s="1713" t="s">
        <v>107</v>
      </c>
      <c r="V168" s="1349"/>
      <c r="W168" s="3999"/>
      <c r="Y168" s="1186"/>
      <c r="Z168" s="1186"/>
      <c r="AA168" s="1186"/>
      <c r="AB168" s="1186"/>
      <c r="AC168" s="1186"/>
      <c r="AD168" s="1186"/>
      <c r="AE168" s="1186"/>
      <c r="AF168" s="1186"/>
      <c r="AG168" s="1186"/>
      <c r="AH168" s="1186"/>
      <c r="AI168" s="1186"/>
      <c r="AJ168" s="1186"/>
      <c r="AK168" s="1186"/>
      <c r="AL168" s="1753"/>
      <c r="AM168" s="1753"/>
      <c r="AN168" s="1186"/>
      <c r="AO168" s="1186"/>
      <c r="AP168" s="1186"/>
      <c r="AQ168" s="1186"/>
    </row>
    <row r="169" spans="1:43" s="3875" customFormat="1" ht="17.25" customHeight="1">
      <c r="A169" s="1749"/>
      <c r="C169" s="1754"/>
      <c r="D169" s="3996"/>
      <c r="E169" s="3962"/>
      <c r="F169" s="3965"/>
      <c r="G169" s="3976"/>
      <c r="H169" s="3996"/>
      <c r="I169" s="3996"/>
      <c r="J169" s="3999"/>
      <c r="K169" s="4002"/>
      <c r="L169" s="3928"/>
      <c r="M169" s="3928"/>
      <c r="N169" s="4259"/>
      <c r="O169" s="4002"/>
      <c r="P169" s="3928"/>
      <c r="Q169" s="3928"/>
      <c r="R169" s="4258"/>
      <c r="S169" s="4177"/>
      <c r="T169" s="1350"/>
      <c r="U169" s="1351"/>
      <c r="V169" s="1351"/>
      <c r="W169" s="3999"/>
      <c r="Y169" s="1179"/>
      <c r="Z169" s="1179"/>
      <c r="AA169" s="1179"/>
      <c r="AB169" s="1179"/>
      <c r="AC169" s="1179"/>
      <c r="AD169" s="1179"/>
      <c r="AE169" s="1179"/>
      <c r="AF169" s="1179"/>
      <c r="AG169" s="1179"/>
      <c r="AH169" s="1179"/>
      <c r="AI169" s="1179"/>
      <c r="AJ169" s="1179"/>
      <c r="AK169" s="1179"/>
    </row>
    <row r="170" spans="1:43" s="3875" customFormat="1" ht="17.25" customHeight="1">
      <c r="A170" s="1749"/>
      <c r="C170" s="1754"/>
      <c r="D170" s="3961"/>
      <c r="E170" s="3963"/>
      <c r="F170" s="3965"/>
      <c r="G170" s="3977"/>
      <c r="H170" s="3961"/>
      <c r="I170" s="3961"/>
      <c r="J170" s="4000"/>
      <c r="K170" s="4002"/>
      <c r="L170" s="3961"/>
      <c r="M170" s="3961"/>
      <c r="N170" s="4260"/>
      <c r="O170" s="3932"/>
      <c r="P170" s="241"/>
      <c r="Q170" s="242"/>
      <c r="R170" s="242" t="s">
        <v>167</v>
      </c>
      <c r="S170" s="1755"/>
      <c r="T170" s="1755"/>
      <c r="U170" s="1755"/>
      <c r="V170" s="1755"/>
      <c r="W170" s="1348"/>
      <c r="Y170" s="1179"/>
      <c r="Z170" s="1179"/>
      <c r="AA170" s="1179"/>
      <c r="AB170" s="1179"/>
      <c r="AC170" s="1179"/>
      <c r="AD170" s="1179"/>
      <c r="AE170" s="1179"/>
      <c r="AF170" s="1179"/>
      <c r="AG170" s="1179"/>
      <c r="AH170" s="1179"/>
      <c r="AI170" s="1179"/>
      <c r="AJ170" s="1179"/>
      <c r="AK170" s="1179"/>
    </row>
    <row r="171" spans="1:43" s="3875" customFormat="1" ht="17.25" customHeight="1">
      <c r="A171" s="1749"/>
      <c r="C171" s="1754"/>
      <c r="D171" s="3961"/>
      <c r="E171" s="3963"/>
      <c r="F171" s="3965"/>
      <c r="G171" s="3977"/>
      <c r="H171" s="3961"/>
      <c r="I171" s="3961"/>
      <c r="J171" s="4000"/>
      <c r="K171" s="3932"/>
      <c r="L171" s="241"/>
      <c r="M171" s="242"/>
      <c r="N171" s="242" t="s">
        <v>168</v>
      </c>
      <c r="O171" s="242"/>
      <c r="P171" s="242"/>
      <c r="Q171" s="242"/>
      <c r="R171" s="242"/>
      <c r="S171" s="1755"/>
      <c r="T171" s="1755"/>
      <c r="U171" s="1755"/>
      <c r="V171" s="1755"/>
      <c r="W171" s="243"/>
      <c r="Y171" s="1179"/>
      <c r="Z171" s="1179"/>
      <c r="AA171" s="1179"/>
      <c r="AB171" s="1179"/>
      <c r="AC171" s="1179"/>
      <c r="AD171" s="1179"/>
      <c r="AE171" s="1179"/>
      <c r="AF171" s="1179"/>
      <c r="AG171" s="1179"/>
      <c r="AH171" s="1179"/>
      <c r="AI171" s="1179"/>
      <c r="AJ171" s="1179"/>
      <c r="AK171" s="1179"/>
    </row>
    <row r="172" spans="1:43" s="3875" customFormat="1" ht="17.25" customHeight="1">
      <c r="A172" s="1749"/>
      <c r="C172" s="1754"/>
      <c r="D172" s="3961"/>
      <c r="E172" s="3963"/>
      <c r="F172" s="3966"/>
      <c r="G172" s="3977"/>
      <c r="H172" s="241"/>
      <c r="I172" s="242"/>
      <c r="J172" s="242" t="s">
        <v>169</v>
      </c>
      <c r="K172" s="242"/>
      <c r="L172" s="242"/>
      <c r="M172" s="242"/>
      <c r="N172" s="242"/>
      <c r="O172" s="242"/>
      <c r="P172" s="242"/>
      <c r="Q172" s="242"/>
      <c r="R172" s="242"/>
      <c r="S172" s="1755"/>
      <c r="T172" s="1755"/>
      <c r="U172" s="1755"/>
      <c r="V172" s="1755"/>
      <c r="W172" s="243"/>
      <c r="Y172" s="1179"/>
      <c r="Z172" s="1179"/>
      <c r="AA172" s="1179"/>
      <c r="AB172" s="1179"/>
      <c r="AC172" s="1179"/>
      <c r="AD172" s="1179"/>
      <c r="AE172" s="1179"/>
      <c r="AF172" s="1179"/>
      <c r="AG172" s="1179"/>
      <c r="AH172" s="1179"/>
      <c r="AI172" s="1179"/>
      <c r="AJ172" s="1179"/>
      <c r="AK172" s="1179"/>
    </row>
    <row r="173" spans="1:43" ht="17.25" customHeight="1">
      <c r="A173" s="1760"/>
    </row>
    <row r="174" spans="1:43" s="3875" customFormat="1" ht="17.25" customHeight="1">
      <c r="A174" s="1749"/>
      <c r="C174" s="1751"/>
      <c r="D174" s="1739"/>
      <c r="E174" s="1756"/>
      <c r="F174" s="1695"/>
      <c r="G174" s="1757"/>
      <c r="H174" s="3996"/>
      <c r="I174" s="3996">
        <v>1</v>
      </c>
      <c r="J174" s="3999"/>
      <c r="K174" s="4001" t="s">
        <v>65</v>
      </c>
      <c r="L174" s="3928"/>
      <c r="M174" s="3928" t="s">
        <v>107</v>
      </c>
      <c r="N174" s="4259" t="str">
        <f>IF(Z174="","",INDEX(TERRITORY_MR_LIST,MATCH(Z174,TERRITORY_LIST_ID,0)))</f>
        <v/>
      </c>
      <c r="O174" s="4001" t="s">
        <v>65</v>
      </c>
      <c r="P174" s="3928"/>
      <c r="Q174" s="3928" t="s">
        <v>107</v>
      </c>
      <c r="R174" s="4258" t="s">
        <v>24</v>
      </c>
      <c r="S174" s="4177" t="s">
        <v>55</v>
      </c>
      <c r="T174" s="1713"/>
      <c r="U174" s="1713" t="s">
        <v>107</v>
      </c>
      <c r="V174" s="1349"/>
      <c r="W174" s="3999"/>
      <c r="Y174" s="1186"/>
      <c r="Z174" s="1186"/>
      <c r="AA174" s="1186"/>
      <c r="AB174" s="1186"/>
      <c r="AC174" s="1186"/>
      <c r="AD174" s="1186"/>
      <c r="AE174" s="1186"/>
      <c r="AF174" s="1186"/>
      <c r="AG174" s="1186"/>
      <c r="AH174" s="1186"/>
      <c r="AI174" s="1186"/>
      <c r="AJ174" s="1186"/>
      <c r="AK174" s="1186"/>
      <c r="AL174" s="1753"/>
      <c r="AM174" s="1753"/>
      <c r="AN174" s="1186"/>
      <c r="AO174" s="1186"/>
      <c r="AP174" s="1186"/>
      <c r="AQ174" s="1186"/>
    </row>
    <row r="175" spans="1:43" s="3875" customFormat="1" ht="17.25" customHeight="1">
      <c r="A175" s="1749"/>
      <c r="C175" s="1754"/>
      <c r="D175" s="1739"/>
      <c r="E175" s="1756"/>
      <c r="F175" s="1695"/>
      <c r="G175" s="1757"/>
      <c r="H175" s="3996"/>
      <c r="I175" s="3996"/>
      <c r="J175" s="3999"/>
      <c r="K175" s="4002"/>
      <c r="L175" s="3928"/>
      <c r="M175" s="3928"/>
      <c r="N175" s="4259"/>
      <c r="O175" s="4002"/>
      <c r="P175" s="3928"/>
      <c r="Q175" s="3928"/>
      <c r="R175" s="4258"/>
      <c r="S175" s="4177"/>
      <c r="T175" s="1350"/>
      <c r="U175" s="1351"/>
      <c r="V175" s="1351"/>
      <c r="W175" s="3999"/>
      <c r="Y175" s="1179"/>
      <c r="Z175" s="1179"/>
      <c r="AA175" s="1179"/>
      <c r="AB175" s="1179"/>
      <c r="AC175" s="1179"/>
      <c r="AD175" s="1179"/>
      <c r="AE175" s="1179"/>
      <c r="AF175" s="1179"/>
      <c r="AG175" s="1179"/>
      <c r="AH175" s="1179"/>
      <c r="AI175" s="1179"/>
      <c r="AJ175" s="1179"/>
      <c r="AK175" s="1179"/>
    </row>
    <row r="176" spans="1:43" s="3875" customFormat="1" ht="17.25" customHeight="1">
      <c r="A176" s="1749"/>
      <c r="C176" s="1754"/>
      <c r="D176" s="1739"/>
      <c r="E176" s="1756"/>
      <c r="F176" s="1695"/>
      <c r="G176" s="1757"/>
      <c r="H176" s="3961"/>
      <c r="I176" s="3961"/>
      <c r="J176" s="4000"/>
      <c r="K176" s="4002"/>
      <c r="L176" s="3961"/>
      <c r="M176" s="3961"/>
      <c r="N176" s="4260"/>
      <c r="O176" s="3932"/>
      <c r="P176" s="241"/>
      <c r="Q176" s="242"/>
      <c r="R176" s="242" t="s">
        <v>167</v>
      </c>
      <c r="S176" s="1755"/>
      <c r="T176" s="1755"/>
      <c r="U176" s="1755"/>
      <c r="V176" s="1755"/>
      <c r="W176" s="1348"/>
      <c r="Y176" s="1179"/>
      <c r="Z176" s="1179"/>
      <c r="AA176" s="1179"/>
      <c r="AB176" s="1179"/>
      <c r="AC176" s="1179"/>
      <c r="AD176" s="1179"/>
      <c r="AE176" s="1179"/>
      <c r="AF176" s="1179"/>
      <c r="AG176" s="1179"/>
      <c r="AH176" s="1179"/>
      <c r="AI176" s="1179"/>
      <c r="AJ176" s="1179"/>
      <c r="AK176" s="1179"/>
    </row>
    <row r="177" spans="1:43" s="3875" customFormat="1" ht="17.25" customHeight="1">
      <c r="A177" s="1749"/>
      <c r="C177" s="1754"/>
      <c r="D177" s="1739"/>
      <c r="E177" s="1756"/>
      <c r="F177" s="1695"/>
      <c r="G177" s="1757"/>
      <c r="H177" s="3961"/>
      <c r="I177" s="3961"/>
      <c r="J177" s="4000"/>
      <c r="K177" s="3932"/>
      <c r="L177" s="241"/>
      <c r="M177" s="242"/>
      <c r="N177" s="242" t="s">
        <v>168</v>
      </c>
      <c r="O177" s="242"/>
      <c r="P177" s="242"/>
      <c r="Q177" s="242"/>
      <c r="R177" s="242"/>
      <c r="S177" s="1755"/>
      <c r="T177" s="1755"/>
      <c r="U177" s="1755"/>
      <c r="V177" s="1755"/>
      <c r="W177" s="243"/>
      <c r="Y177" s="1179"/>
      <c r="Z177" s="1179"/>
      <c r="AA177" s="1179"/>
      <c r="AB177" s="1179"/>
      <c r="AC177" s="1179"/>
      <c r="AD177" s="1179"/>
      <c r="AE177" s="1179"/>
      <c r="AF177" s="1179"/>
      <c r="AG177" s="1179"/>
      <c r="AH177" s="1179"/>
      <c r="AI177" s="1179"/>
      <c r="AJ177" s="1179"/>
      <c r="AK177" s="1179"/>
    </row>
    <row r="178" spans="1:43" ht="17.25" customHeight="1">
      <c r="A178" s="1760"/>
    </row>
    <row r="179" spans="1:43" s="3875" customFormat="1" ht="17.25" customHeight="1">
      <c r="A179" s="1749"/>
      <c r="C179" s="1751"/>
      <c r="D179" s="1739"/>
      <c r="E179" s="1756"/>
      <c r="F179" s="1695"/>
      <c r="G179" s="1757"/>
      <c r="H179" s="1739"/>
      <c r="I179" s="1739"/>
      <c r="J179" s="1761"/>
      <c r="K179" s="1757"/>
      <c r="L179" s="3928"/>
      <c r="M179" s="3928" t="s">
        <v>107</v>
      </c>
      <c r="N179" s="4259" t="str">
        <f>IF(Z179="","",INDEX(TERRITORY_MR_LIST,MATCH(Z179,TERRITORY_LIST_ID,0)))</f>
        <v/>
      </c>
      <c r="O179" s="4001" t="s">
        <v>65</v>
      </c>
      <c r="P179" s="3928"/>
      <c r="Q179" s="3928" t="s">
        <v>107</v>
      </c>
      <c r="R179" s="4258" t="s">
        <v>24</v>
      </c>
      <c r="S179" s="4177" t="s">
        <v>55</v>
      </c>
      <c r="T179" s="1713"/>
      <c r="U179" s="1713" t="s">
        <v>107</v>
      </c>
      <c r="V179" s="1349"/>
      <c r="W179" s="3999"/>
      <c r="Y179" s="1186"/>
      <c r="Z179" s="1186"/>
      <c r="AA179" s="1186"/>
      <c r="AB179" s="1186"/>
      <c r="AC179" s="1186"/>
      <c r="AD179" s="1186"/>
      <c r="AE179" s="1186"/>
      <c r="AF179" s="1186"/>
      <c r="AG179" s="1186"/>
      <c r="AH179" s="1186"/>
      <c r="AI179" s="1186"/>
      <c r="AJ179" s="1186"/>
      <c r="AK179" s="1186"/>
      <c r="AL179" s="1753"/>
      <c r="AM179" s="1753"/>
      <c r="AN179" s="1186"/>
      <c r="AO179" s="1186"/>
      <c r="AP179" s="1186"/>
      <c r="AQ179" s="1186"/>
    </row>
    <row r="180" spans="1:43" s="3875" customFormat="1" ht="17.25" customHeight="1">
      <c r="A180" s="1749"/>
      <c r="C180" s="1754"/>
      <c r="D180" s="1739"/>
      <c r="E180" s="1756"/>
      <c r="F180" s="1695"/>
      <c r="G180" s="1757"/>
      <c r="H180" s="1739"/>
      <c r="I180" s="1739"/>
      <c r="J180" s="1761"/>
      <c r="K180" s="1757"/>
      <c r="L180" s="3928"/>
      <c r="M180" s="3928"/>
      <c r="N180" s="4259"/>
      <c r="O180" s="4002"/>
      <c r="P180" s="3928"/>
      <c r="Q180" s="3928"/>
      <c r="R180" s="4258"/>
      <c r="S180" s="4177"/>
      <c r="T180" s="1350"/>
      <c r="U180" s="1351"/>
      <c r="V180" s="1351"/>
      <c r="W180" s="3999"/>
      <c r="Y180" s="1179"/>
      <c r="Z180" s="1179"/>
      <c r="AA180" s="1179"/>
      <c r="AB180" s="1179"/>
      <c r="AC180" s="1179"/>
      <c r="AD180" s="1179"/>
      <c r="AE180" s="1179"/>
      <c r="AF180" s="1179"/>
      <c r="AG180" s="1179"/>
      <c r="AH180" s="1179"/>
      <c r="AI180" s="1179"/>
      <c r="AJ180" s="1179"/>
      <c r="AK180" s="1179"/>
    </row>
    <row r="181" spans="1:43" s="3875" customFormat="1" ht="17.25" customHeight="1">
      <c r="A181" s="1749"/>
      <c r="C181" s="1754"/>
      <c r="D181" s="1739"/>
      <c r="E181" s="1756"/>
      <c r="F181" s="1695"/>
      <c r="G181" s="1757"/>
      <c r="H181" s="1739"/>
      <c r="I181" s="1739"/>
      <c r="J181" s="1761"/>
      <c r="K181" s="1757"/>
      <c r="L181" s="3961"/>
      <c r="M181" s="3961"/>
      <c r="N181" s="4260"/>
      <c r="O181" s="3932"/>
      <c r="P181" s="241"/>
      <c r="Q181" s="242"/>
      <c r="R181" s="242" t="s">
        <v>167</v>
      </c>
      <c r="S181" s="1755"/>
      <c r="T181" s="1755"/>
      <c r="U181" s="1755"/>
      <c r="V181" s="1755"/>
      <c r="W181" s="1348"/>
      <c r="Y181" s="1179"/>
      <c r="Z181" s="1179"/>
      <c r="AA181" s="1179"/>
      <c r="AB181" s="1179"/>
      <c r="AC181" s="1179"/>
      <c r="AD181" s="1179"/>
      <c r="AE181" s="1179"/>
      <c r="AF181" s="1179"/>
      <c r="AG181" s="1179"/>
      <c r="AH181" s="1179"/>
      <c r="AI181" s="1179"/>
      <c r="AJ181" s="1179"/>
      <c r="AK181" s="1179"/>
    </row>
    <row r="182" spans="1:43" ht="17.25" customHeight="1">
      <c r="A182" s="1760"/>
    </row>
    <row r="183" spans="1:43" s="3875" customFormat="1" ht="17.25" customHeight="1">
      <c r="A183" s="1749"/>
      <c r="C183" s="1751"/>
      <c r="D183" s="1739"/>
      <c r="E183" s="1756"/>
      <c r="F183" s="1695"/>
      <c r="G183" s="1757"/>
      <c r="H183" s="1739"/>
      <c r="I183" s="1739"/>
      <c r="J183" s="1761"/>
      <c r="K183" s="1757"/>
      <c r="L183" s="1739"/>
      <c r="M183" s="1739"/>
      <c r="N183" s="1759"/>
      <c r="O183" s="1698"/>
      <c r="P183" s="3928"/>
      <c r="Q183" s="3928" t="s">
        <v>107</v>
      </c>
      <c r="R183" s="4258" t="s">
        <v>24</v>
      </c>
      <c r="S183" s="4177" t="s">
        <v>55</v>
      </c>
      <c r="T183" s="1713"/>
      <c r="U183" s="1713" t="s">
        <v>107</v>
      </c>
      <c r="V183" s="1349"/>
      <c r="W183" s="3999"/>
      <c r="Y183" s="1186"/>
      <c r="Z183" s="1186"/>
      <c r="AA183" s="1186"/>
      <c r="AB183" s="1186"/>
      <c r="AC183" s="1186"/>
      <c r="AD183" s="1186"/>
      <c r="AE183" s="1186"/>
      <c r="AF183" s="1186"/>
      <c r="AG183" s="1186"/>
      <c r="AH183" s="1186"/>
      <c r="AI183" s="1186"/>
      <c r="AJ183" s="1186"/>
      <c r="AK183" s="1186"/>
      <c r="AL183" s="1753"/>
      <c r="AM183" s="1753"/>
      <c r="AN183" s="1186"/>
      <c r="AO183" s="1186"/>
      <c r="AP183" s="1186"/>
      <c r="AQ183" s="1186"/>
    </row>
    <row r="184" spans="1:43" s="3875" customFormat="1" ht="17.25" customHeight="1">
      <c r="A184" s="1749"/>
      <c r="C184" s="1754"/>
      <c r="D184" s="1739"/>
      <c r="E184" s="1756"/>
      <c r="F184" s="1695"/>
      <c r="G184" s="1757"/>
      <c r="H184" s="1739"/>
      <c r="I184" s="1739"/>
      <c r="J184" s="1761"/>
      <c r="K184" s="1757"/>
      <c r="L184" s="1739"/>
      <c r="M184" s="1739"/>
      <c r="N184" s="1759"/>
      <c r="O184" s="1698"/>
      <c r="P184" s="3928"/>
      <c r="Q184" s="3928"/>
      <c r="R184" s="4258"/>
      <c r="S184" s="4177"/>
      <c r="T184" s="1350"/>
      <c r="U184" s="1351"/>
      <c r="V184" s="1351"/>
      <c r="W184" s="3999"/>
      <c r="Y184" s="1179"/>
      <c r="Z184" s="1179"/>
      <c r="AA184" s="1179"/>
      <c r="AB184" s="1179"/>
      <c r="AC184" s="1179"/>
      <c r="AD184" s="1179"/>
      <c r="AE184" s="1179"/>
      <c r="AF184" s="1179"/>
      <c r="AG184" s="1179"/>
      <c r="AH184" s="1179"/>
      <c r="AI184" s="1179"/>
      <c r="AJ184" s="1179"/>
      <c r="AK184" s="1179"/>
    </row>
    <row r="185" spans="1:43" ht="17.25" customHeight="1">
      <c r="A185" s="1760"/>
    </row>
    <row r="186" spans="1:43" ht="16.5" customHeight="1">
      <c r="A186" s="1749"/>
      <c r="B186" s="1750"/>
      <c r="C186" s="1754"/>
      <c r="D186" s="3996"/>
      <c r="E186" s="4007"/>
      <c r="F186" s="4007"/>
      <c r="G186" s="3946"/>
      <c r="H186" s="3967"/>
      <c r="I186" s="3969"/>
      <c r="J186" s="3971"/>
      <c r="K186" s="3954"/>
      <c r="L186" s="3954"/>
      <c r="M186" s="3954"/>
      <c r="N186" s="3956"/>
      <c r="O186" s="3954"/>
      <c r="P186" s="3954"/>
      <c r="Q186" s="3954"/>
      <c r="R186" s="3959"/>
      <c r="S186" s="3954"/>
      <c r="T186" s="1694"/>
      <c r="U186" s="1694"/>
      <c r="V186" s="1762"/>
      <c r="W186" s="1215"/>
    </row>
    <row r="187" spans="1:43" ht="16.5" customHeight="1">
      <c r="A187" s="1749"/>
      <c r="B187" s="1750"/>
      <c r="C187" s="1754"/>
      <c r="D187" s="3996"/>
      <c r="E187" s="4007"/>
      <c r="F187" s="4007"/>
      <c r="G187" s="3946"/>
      <c r="H187" s="3968"/>
      <c r="I187" s="3970"/>
      <c r="J187" s="3972"/>
      <c r="K187" s="3955"/>
      <c r="L187" s="3955"/>
      <c r="M187" s="3955"/>
      <c r="N187" s="3957"/>
      <c r="O187" s="3955"/>
      <c r="P187" s="3955"/>
      <c r="Q187" s="3955"/>
      <c r="R187" s="3958"/>
      <c r="S187" s="3955"/>
      <c r="T187" s="1216"/>
      <c r="U187" s="1216"/>
      <c r="V187" s="1216"/>
      <c r="W187" s="1217"/>
    </row>
    <row r="188" spans="1:43" ht="17.25" customHeight="1">
      <c r="A188" s="1749"/>
      <c r="B188" s="1750"/>
      <c r="C188" s="1754"/>
      <c r="D188" s="3996"/>
      <c r="E188" s="4007"/>
      <c r="F188" s="4007"/>
      <c r="G188" s="3946"/>
      <c r="H188" s="3968"/>
      <c r="I188" s="3970"/>
      <c r="J188" s="3973"/>
      <c r="K188" s="3955"/>
      <c r="L188" s="3955"/>
      <c r="M188" s="3955"/>
      <c r="N188" s="3958"/>
      <c r="O188" s="3955"/>
      <c r="P188" s="1697"/>
      <c r="Q188" s="1216"/>
      <c r="R188" s="1216"/>
      <c r="S188" s="1763"/>
      <c r="T188" s="1763"/>
      <c r="U188" s="1763"/>
      <c r="V188" s="1763"/>
      <c r="W188" s="1217"/>
    </row>
    <row r="189" spans="1:43" ht="17.25" customHeight="1">
      <c r="A189" s="1749"/>
      <c r="B189" s="1750"/>
      <c r="C189" s="1754"/>
      <c r="D189" s="3996"/>
      <c r="E189" s="4007"/>
      <c r="F189" s="4007"/>
      <c r="G189" s="3946"/>
      <c r="H189" s="3968"/>
      <c r="I189" s="3970"/>
      <c r="J189" s="3973"/>
      <c r="K189" s="3955"/>
      <c r="L189" s="1216"/>
      <c r="M189" s="1216"/>
      <c r="N189" s="1216"/>
      <c r="O189" s="1216"/>
      <c r="P189" s="1216"/>
      <c r="Q189" s="1216"/>
      <c r="R189" s="1216"/>
      <c r="S189" s="1763"/>
      <c r="T189" s="1763"/>
      <c r="U189" s="1763"/>
      <c r="V189" s="1763"/>
      <c r="W189" s="1217"/>
    </row>
    <row r="190" spans="1:43" ht="17.25" customHeight="1">
      <c r="A190" s="1749"/>
      <c r="B190" s="1750"/>
      <c r="C190" s="1754"/>
      <c r="D190" s="3996"/>
      <c r="E190" s="4007"/>
      <c r="F190" s="4007"/>
      <c r="G190" s="3946"/>
      <c r="H190" s="1218"/>
      <c r="I190" s="1219"/>
      <c r="J190" s="1219"/>
      <c r="K190" s="1219"/>
      <c r="L190" s="1219"/>
      <c r="M190" s="1219"/>
      <c r="N190" s="1219"/>
      <c r="O190" s="1219"/>
      <c r="P190" s="1219"/>
      <c r="Q190" s="1219"/>
      <c r="R190" s="1219"/>
      <c r="S190" s="1764"/>
      <c r="T190" s="1764"/>
      <c r="U190" s="1764"/>
      <c r="V190" s="1764"/>
      <c r="W190" s="1221"/>
    </row>
    <row r="192" spans="1:43" s="3872" customFormat="1" ht="17.25" customHeight="1">
      <c r="A192" s="1726" t="s">
        <v>1161</v>
      </c>
    </row>
    <row r="193" spans="1:63" ht="17.25" customHeight="1">
      <c r="G193" s="1748"/>
      <c r="H193" s="1748"/>
      <c r="I193" s="1748"/>
      <c r="M193" s="1744"/>
    </row>
    <row r="194" spans="1:63" s="1832" customFormat="1" ht="15" customHeight="1">
      <c r="D194" s="4276"/>
      <c r="E194" s="4022"/>
      <c r="F194" s="4022"/>
      <c r="G194" s="4001"/>
      <c r="H194" s="1481"/>
      <c r="I194" s="4280">
        <v>1</v>
      </c>
      <c r="J194" s="3999"/>
      <c r="K194" s="1496"/>
      <c r="L194" s="4001" t="s">
        <v>65</v>
      </c>
      <c r="M194" s="4001" t="s">
        <v>65</v>
      </c>
      <c r="N194" s="1481"/>
      <c r="O194" s="3928" t="s">
        <v>107</v>
      </c>
      <c r="P194" s="4270"/>
      <c r="Q194" s="1497"/>
      <c r="R194" s="4001" t="s">
        <v>65</v>
      </c>
      <c r="S194" s="4001" t="s">
        <v>65</v>
      </c>
      <c r="T194" s="1765"/>
      <c r="U194" s="3928" t="s">
        <v>107</v>
      </c>
      <c r="V194" s="4277" t="str">
        <f>IF(AK194="","",INDEX(TERRITORY_MR_LIST,MATCH(AK194,TERRITORY_LIST_ID,0)))</f>
        <v/>
      </c>
      <c r="W194" s="1498"/>
      <c r="X194" s="4001" t="s">
        <v>65</v>
      </c>
      <c r="Y194" s="4001" t="s">
        <v>55</v>
      </c>
      <c r="Z194" s="1481"/>
      <c r="AA194" s="3928" t="s">
        <v>107</v>
      </c>
      <c r="AB194" s="4279"/>
      <c r="AC194" s="1499"/>
      <c r="AD194" s="4001" t="s">
        <v>65</v>
      </c>
      <c r="AE194" s="4001" t="s">
        <v>55</v>
      </c>
      <c r="AF194" s="1479"/>
      <c r="AG194" s="1722" t="s">
        <v>107</v>
      </c>
      <c r="AH194" s="1489"/>
      <c r="AI194" s="1712"/>
    </row>
    <row r="195" spans="1:63" s="1832" customFormat="1" ht="15" customHeight="1">
      <c r="D195" s="4276"/>
      <c r="E195" s="4022"/>
      <c r="F195" s="4022"/>
      <c r="G195" s="4002"/>
      <c r="H195" s="1481"/>
      <c r="I195" s="4280"/>
      <c r="J195" s="3999"/>
      <c r="K195" s="1480"/>
      <c r="L195" s="4002"/>
      <c r="M195" s="4002"/>
      <c r="N195" s="1481"/>
      <c r="O195" s="3928"/>
      <c r="P195" s="4270"/>
      <c r="Q195" s="1477"/>
      <c r="R195" s="4002"/>
      <c r="S195" s="4002"/>
      <c r="T195" s="1765"/>
      <c r="U195" s="3928"/>
      <c r="V195" s="4278"/>
      <c r="W195" s="1478"/>
      <c r="X195" s="4002"/>
      <c r="Y195" s="4002"/>
      <c r="Z195" s="1481"/>
      <c r="AA195" s="3928"/>
      <c r="AB195" s="4252"/>
      <c r="AC195" s="1482"/>
      <c r="AD195" s="3932"/>
      <c r="AE195" s="3932"/>
      <c r="AF195" s="1483"/>
      <c r="AG195" s="1484"/>
      <c r="AH195" s="4271" t="s">
        <v>1162</v>
      </c>
      <c r="AI195" s="4272"/>
    </row>
    <row r="196" spans="1:63" s="1832" customFormat="1" ht="15" customHeight="1">
      <c r="D196" s="4276"/>
      <c r="E196" s="4022"/>
      <c r="F196" s="4022"/>
      <c r="G196" s="4002"/>
      <c r="H196" s="1481"/>
      <c r="I196" s="4280"/>
      <c r="J196" s="3999"/>
      <c r="K196" s="1480"/>
      <c r="L196" s="4002"/>
      <c r="M196" s="4002"/>
      <c r="N196" s="1481"/>
      <c r="O196" s="3928"/>
      <c r="P196" s="4270"/>
      <c r="Q196" s="1477"/>
      <c r="R196" s="4002"/>
      <c r="S196" s="4002"/>
      <c r="T196" s="1765"/>
      <c r="U196" s="3928"/>
      <c r="V196" s="4278"/>
      <c r="W196" s="1478"/>
      <c r="X196" s="4002"/>
      <c r="Y196" s="4002"/>
      <c r="Z196" s="1520"/>
      <c r="AA196" s="1486"/>
      <c r="AB196" s="4273" t="s">
        <v>1163</v>
      </c>
      <c r="AC196" s="4273"/>
      <c r="AD196" s="4273"/>
      <c r="AE196" s="4273"/>
      <c r="AF196" s="4273"/>
      <c r="AG196" s="4273"/>
      <c r="AH196" s="4273"/>
      <c r="AI196" s="4274"/>
    </row>
    <row r="197" spans="1:63" s="1832" customFormat="1" ht="15" customHeight="1">
      <c r="D197" s="4276"/>
      <c r="E197" s="4022"/>
      <c r="F197" s="4022"/>
      <c r="G197" s="4002"/>
      <c r="H197" s="1481"/>
      <c r="I197" s="4280"/>
      <c r="J197" s="3999"/>
      <c r="K197" s="1480"/>
      <c r="L197" s="4002"/>
      <c r="M197" s="4002"/>
      <c r="N197" s="1481"/>
      <c r="O197" s="3928"/>
      <c r="P197" s="4275"/>
      <c r="Q197" s="1477"/>
      <c r="R197" s="4002"/>
      <c r="S197" s="4002"/>
      <c r="T197" s="1766"/>
      <c r="U197" s="1521"/>
      <c r="V197" s="4271" t="s">
        <v>101</v>
      </c>
      <c r="W197" s="4271"/>
      <c r="X197" s="4271"/>
      <c r="Y197" s="4271"/>
      <c r="Z197" s="4271"/>
      <c r="AA197" s="4271"/>
      <c r="AB197" s="4271"/>
      <c r="AC197" s="4271"/>
      <c r="AD197" s="4271"/>
      <c r="AE197" s="4271"/>
      <c r="AF197" s="4271"/>
      <c r="AG197" s="4271"/>
      <c r="AH197" s="4271"/>
      <c r="AI197" s="4272"/>
    </row>
    <row r="198" spans="1:63" s="1832" customFormat="1" ht="11.25" customHeight="1">
      <c r="D198" s="4276"/>
      <c r="E198" s="4022"/>
      <c r="F198" s="4022"/>
      <c r="G198" s="4002"/>
      <c r="H198" s="1485"/>
      <c r="I198" s="4280"/>
      <c r="J198" s="4281"/>
      <c r="K198" s="1480"/>
      <c r="L198" s="4002"/>
      <c r="M198" s="4002"/>
      <c r="N198" s="1485"/>
      <c r="O198" s="1486"/>
      <c r="P198" s="4271" t="s">
        <v>1164</v>
      </c>
      <c r="Q198" s="4271"/>
      <c r="R198" s="4271"/>
      <c r="S198" s="4271"/>
      <c r="T198" s="4271"/>
      <c r="U198" s="4271"/>
      <c r="V198" s="4271"/>
      <c r="W198" s="4271"/>
      <c r="X198" s="4271"/>
      <c r="Y198" s="4271"/>
      <c r="Z198" s="4271"/>
      <c r="AA198" s="4271"/>
      <c r="AB198" s="4271"/>
      <c r="AC198" s="4271"/>
      <c r="AD198" s="4271"/>
      <c r="AE198" s="4271"/>
      <c r="AF198" s="4271"/>
      <c r="AG198" s="4271"/>
      <c r="AH198" s="4271"/>
      <c r="AI198" s="4272"/>
    </row>
    <row r="199" spans="1:63" s="1917" customFormat="1" ht="11.25" customHeight="1">
      <c r="D199" s="4276"/>
      <c r="E199" s="4022"/>
      <c r="F199" s="4022"/>
      <c r="G199" s="3932"/>
      <c r="H199" s="1487"/>
      <c r="I199" s="1488"/>
      <c r="J199" s="4271" t="s">
        <v>169</v>
      </c>
      <c r="K199" s="4271"/>
      <c r="L199" s="4271"/>
      <c r="M199" s="4271"/>
      <c r="N199" s="4271"/>
      <c r="O199" s="4271"/>
      <c r="P199" s="4271"/>
      <c r="Q199" s="4271"/>
      <c r="R199" s="4271"/>
      <c r="S199" s="4271"/>
      <c r="T199" s="4271"/>
      <c r="U199" s="4271"/>
      <c r="V199" s="4271"/>
      <c r="W199" s="4271"/>
      <c r="X199" s="4271"/>
      <c r="Y199" s="4271"/>
      <c r="Z199" s="4271"/>
      <c r="AA199" s="4271"/>
      <c r="AB199" s="4271"/>
      <c r="AC199" s="4271"/>
      <c r="AD199" s="4271"/>
      <c r="AE199" s="4271"/>
      <c r="AF199" s="4271"/>
      <c r="AG199" s="4271"/>
      <c r="AH199" s="4271"/>
      <c r="AI199" s="4272"/>
      <c r="BK199" s="1491"/>
    </row>
    <row r="200" spans="1:63" ht="17.25" customHeight="1">
      <c r="G200" s="1748"/>
      <c r="I200" s="1748"/>
      <c r="J200" s="1748"/>
      <c r="N200" s="1744"/>
    </row>
    <row r="201" spans="1:63" s="1832" customFormat="1" ht="15" customHeight="1">
      <c r="D201" s="4276"/>
      <c r="E201" s="4022"/>
      <c r="F201" s="4022"/>
      <c r="G201" s="4007"/>
      <c r="H201" s="1516"/>
      <c r="I201" s="4009"/>
      <c r="J201" s="3971"/>
      <c r="K201" s="1696"/>
      <c r="L201" s="3954"/>
      <c r="M201" s="3954"/>
      <c r="N201" s="1501"/>
      <c r="O201" s="3954"/>
      <c r="P201" s="3971"/>
      <c r="Q201" s="1700"/>
      <c r="R201" s="3954"/>
      <c r="S201" s="3954"/>
      <c r="T201" s="1767"/>
      <c r="U201" s="3954"/>
      <c r="V201" s="3971"/>
      <c r="W201" s="1504"/>
      <c r="X201" s="3954"/>
      <c r="Y201" s="3954"/>
      <c r="Z201" s="1501"/>
      <c r="AA201" s="3954"/>
      <c r="AB201" s="3971"/>
      <c r="AC201" s="1505"/>
      <c r="AD201" s="3954"/>
      <c r="AE201" s="3954"/>
      <c r="AF201" s="1694"/>
      <c r="AG201" s="1694"/>
      <c r="AH201" s="1506"/>
      <c r="AI201" s="1215"/>
    </row>
    <row r="202" spans="1:63" s="1832" customFormat="1" ht="15" customHeight="1">
      <c r="D202" s="4276"/>
      <c r="E202" s="4022"/>
      <c r="F202" s="4022"/>
      <c r="G202" s="4007"/>
      <c r="H202" s="1517"/>
      <c r="I202" s="4010"/>
      <c r="J202" s="3972"/>
      <c r="K202" s="1525"/>
      <c r="L202" s="3955"/>
      <c r="M202" s="3955"/>
      <c r="N202" s="1507"/>
      <c r="O202" s="3955"/>
      <c r="P202" s="3972"/>
      <c r="Q202" s="1701"/>
      <c r="R202" s="3955"/>
      <c r="S202" s="3955"/>
      <c r="T202" s="1768"/>
      <c r="U202" s="3955"/>
      <c r="V202" s="3972"/>
      <c r="W202" s="1510"/>
      <c r="X202" s="3955"/>
      <c r="Y202" s="3955"/>
      <c r="Z202" s="1507"/>
      <c r="AA202" s="3955"/>
      <c r="AB202" s="3972"/>
      <c r="AC202" s="1511"/>
      <c r="AD202" s="3955"/>
      <c r="AE202" s="3955"/>
      <c r="AF202" s="1699"/>
      <c r="AG202" s="1699"/>
      <c r="AH202" s="4005"/>
      <c r="AI202" s="4006"/>
    </row>
    <row r="203" spans="1:63" s="1832" customFormat="1" ht="15" customHeight="1">
      <c r="D203" s="4276"/>
      <c r="E203" s="4022"/>
      <c r="F203" s="4022"/>
      <c r="G203" s="4007"/>
      <c r="H203" s="1517"/>
      <c r="I203" s="4010"/>
      <c r="J203" s="3972"/>
      <c r="K203" s="1525"/>
      <c r="L203" s="3955"/>
      <c r="M203" s="3955"/>
      <c r="N203" s="1507"/>
      <c r="O203" s="3955"/>
      <c r="P203" s="3972"/>
      <c r="Q203" s="1701"/>
      <c r="R203" s="3955"/>
      <c r="S203" s="3955"/>
      <c r="T203" s="1768"/>
      <c r="U203" s="3955"/>
      <c r="V203" s="3972"/>
      <c r="W203" s="1510"/>
      <c r="X203" s="3955"/>
      <c r="Y203" s="3955"/>
      <c r="Z203" s="1697"/>
      <c r="AA203" s="1699"/>
      <c r="AB203" s="4005"/>
      <c r="AC203" s="4005"/>
      <c r="AD203" s="4005"/>
      <c r="AE203" s="4005"/>
      <c r="AF203" s="4005"/>
      <c r="AG203" s="4005"/>
      <c r="AH203" s="4005"/>
      <c r="AI203" s="4006"/>
    </row>
    <row r="204" spans="1:63" s="1832" customFormat="1" ht="15" customHeight="1">
      <c r="D204" s="4276"/>
      <c r="E204" s="4022"/>
      <c r="F204" s="4022"/>
      <c r="G204" s="4007"/>
      <c r="H204" s="1517"/>
      <c r="I204" s="4010"/>
      <c r="J204" s="3972"/>
      <c r="K204" s="1525"/>
      <c r="L204" s="3955"/>
      <c r="M204" s="3955"/>
      <c r="N204" s="1507"/>
      <c r="O204" s="3955"/>
      <c r="P204" s="3972"/>
      <c r="Q204" s="1701"/>
      <c r="R204" s="3955"/>
      <c r="S204" s="3955"/>
      <c r="T204" s="1769"/>
      <c r="U204" s="1514"/>
      <c r="V204" s="4005"/>
      <c r="W204" s="4005"/>
      <c r="X204" s="4005"/>
      <c r="Y204" s="4005"/>
      <c r="Z204" s="4005"/>
      <c r="AA204" s="4005"/>
      <c r="AB204" s="4005"/>
      <c r="AC204" s="4005"/>
      <c r="AD204" s="4005"/>
      <c r="AE204" s="4005"/>
      <c r="AF204" s="4005"/>
      <c r="AG204" s="4005"/>
      <c r="AH204" s="4005"/>
      <c r="AI204" s="4006"/>
    </row>
    <row r="205" spans="1:63" s="1832" customFormat="1" ht="11.25" customHeight="1">
      <c r="D205" s="4276"/>
      <c r="E205" s="4022"/>
      <c r="F205" s="4022"/>
      <c r="G205" s="4007"/>
      <c r="H205" s="1518"/>
      <c r="I205" s="4010"/>
      <c r="J205" s="3972"/>
      <c r="K205" s="1525"/>
      <c r="L205" s="3955"/>
      <c r="M205" s="3955"/>
      <c r="N205" s="1699"/>
      <c r="O205" s="1699"/>
      <c r="P205" s="4005"/>
      <c r="Q205" s="4005"/>
      <c r="R205" s="4005"/>
      <c r="S205" s="4005"/>
      <c r="T205" s="4005"/>
      <c r="U205" s="4005"/>
      <c r="V205" s="4005"/>
      <c r="W205" s="4005"/>
      <c r="X205" s="4005"/>
      <c r="Y205" s="4005"/>
      <c r="Z205" s="4005"/>
      <c r="AA205" s="4005"/>
      <c r="AB205" s="4005"/>
      <c r="AC205" s="4005"/>
      <c r="AD205" s="4005"/>
      <c r="AE205" s="4005"/>
      <c r="AF205" s="4005"/>
      <c r="AG205" s="4005"/>
      <c r="AH205" s="4005"/>
      <c r="AI205" s="4006"/>
    </row>
    <row r="206" spans="1:63" s="1917" customFormat="1" ht="11.25" customHeight="1">
      <c r="D206" s="4276"/>
      <c r="E206" s="4022"/>
      <c r="F206" s="4022"/>
      <c r="G206" s="4012"/>
      <c r="H206" s="1515"/>
      <c r="I206" s="1519"/>
      <c r="J206" s="4013"/>
      <c r="K206" s="4013"/>
      <c r="L206" s="4013"/>
      <c r="M206" s="4013"/>
      <c r="N206" s="4013"/>
      <c r="O206" s="4013"/>
      <c r="P206" s="4013"/>
      <c r="Q206" s="4013"/>
      <c r="R206" s="4013"/>
      <c r="S206" s="4013"/>
      <c r="T206" s="4013"/>
      <c r="U206" s="4013"/>
      <c r="V206" s="4013"/>
      <c r="W206" s="4013"/>
      <c r="X206" s="4013"/>
      <c r="Y206" s="4013"/>
      <c r="Z206" s="4013"/>
      <c r="AA206" s="4013"/>
      <c r="AB206" s="4013"/>
      <c r="AC206" s="4013"/>
      <c r="AD206" s="4013"/>
      <c r="AE206" s="4013"/>
      <c r="AF206" s="4013"/>
      <c r="AG206" s="4013"/>
      <c r="AH206" s="4013"/>
      <c r="AI206" s="4014"/>
      <c r="BK206" s="1491"/>
    </row>
    <row r="207" spans="1:63" ht="17.25" customHeight="1">
      <c r="A207" s="1760"/>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3880" customWidth="1"/>
    <col min="2" max="2" width="11" style="3881" customWidth="1"/>
    <col min="3" max="3" width="9.140625" style="3881"/>
    <col min="4" max="4" width="26.5703125" style="3881" customWidth="1"/>
    <col min="5" max="5" width="27.7109375" style="3878" customWidth="1"/>
    <col min="6" max="6" width="23.5703125" style="3878" customWidth="1"/>
    <col min="7" max="7" width="31.42578125" style="3878" customWidth="1"/>
    <col min="8" max="8" width="40.85546875" style="3878" customWidth="1"/>
    <col min="9" max="9" width="14.5703125" style="3878" customWidth="1"/>
    <col min="10" max="10" width="26.85546875" style="3878" customWidth="1"/>
    <col min="11" max="11" width="50" style="3878" customWidth="1"/>
    <col min="12" max="12" width="52.42578125" style="3878" customWidth="1"/>
    <col min="13" max="13" width="10.7109375" style="3878" customWidth="1"/>
    <col min="14" max="14" width="55.140625" style="3878" customWidth="1"/>
    <col min="15" max="15" width="31.85546875" style="3878" customWidth="1"/>
    <col min="16" max="16" width="23.85546875" style="3878" customWidth="1"/>
    <col min="17" max="17" width="46.5703125" style="3878" customWidth="1"/>
    <col min="18" max="18" width="24" style="3878" customWidth="1"/>
    <col min="19" max="19" width="20.5703125" style="3878" customWidth="1"/>
    <col min="20" max="20" width="22" style="3878" customWidth="1"/>
    <col min="21" max="22" width="26.42578125" style="3878" customWidth="1"/>
    <col min="23" max="23" width="8.28515625" style="3878" hidden="1" customWidth="1"/>
    <col min="24" max="24" width="59.7109375" style="3878" customWidth="1"/>
    <col min="25" max="25" width="49.140625" style="3878" customWidth="1"/>
    <col min="26" max="26" width="11.140625" style="3878" customWidth="1"/>
    <col min="27" max="30" width="29" style="3878" customWidth="1"/>
    <col min="31" max="31" width="9.140625" style="3878"/>
    <col min="32" max="32" width="34.7109375" style="3878" customWidth="1"/>
    <col min="33" max="33" width="9.140625" style="3878"/>
    <col min="34" max="35" width="34.42578125" style="3878" customWidth="1"/>
    <col min="36" max="36" width="9.140625" style="3878"/>
    <col min="37" max="37" width="24.5703125" style="3878" customWidth="1"/>
    <col min="38" max="38" width="9.140625" style="3878"/>
    <col min="39" max="39" width="26.140625" style="3878" customWidth="1"/>
    <col min="40" max="40" width="1.7109375" style="3878" customWidth="1"/>
    <col min="41" max="41" width="9.140625" style="3878"/>
    <col min="42" max="43" width="47.85546875" style="3878" customWidth="1"/>
    <col min="44" max="44" width="1.7109375" style="3878" customWidth="1"/>
    <col min="45" max="45" width="21.42578125" style="3878" customWidth="1"/>
    <col min="46" max="46" width="1.7109375" style="3878" customWidth="1"/>
    <col min="47" max="47" width="31.28515625" style="3878" customWidth="1"/>
    <col min="48" max="48" width="1.7109375" style="3878" customWidth="1"/>
    <col min="49" max="50" width="9.140625" style="3882"/>
    <col min="51" max="51" width="3.7109375" style="3878" customWidth="1"/>
    <col min="52" max="52" width="55" style="3878" customWidth="1"/>
    <col min="53" max="53" width="9.140625" style="3878"/>
    <col min="54" max="54" width="35.140625" style="3878" customWidth="1"/>
    <col min="55" max="55" width="9.140625" style="3878"/>
    <col min="56" max="56" width="1.7109375" style="3878" customWidth="1"/>
    <col min="57" max="57" width="12.5703125" style="3883" customWidth="1"/>
    <col min="58" max="58" width="14.28515625" style="3883" customWidth="1"/>
    <col min="59" max="59" width="30.7109375" style="3878" customWidth="1"/>
    <col min="60" max="60" width="40.7109375" style="3877" customWidth="1"/>
    <col min="61" max="61" width="15" style="3877" customWidth="1"/>
    <col min="62" max="62" width="40.7109375" style="3877" customWidth="1"/>
    <col min="63" max="63" width="2.7109375" style="3877" customWidth="1"/>
    <col min="64" max="64" width="44.7109375" style="3877" customWidth="1"/>
    <col min="65" max="65" width="2.7109375" style="3877" customWidth="1"/>
    <col min="66" max="66" width="40.7109375" style="3877" customWidth="1"/>
    <col min="67" max="68" width="9.140625" style="3878"/>
    <col min="69" max="69" width="18.140625" style="3878" customWidth="1"/>
    <col min="70" max="70" width="57.85546875" style="3878" customWidth="1"/>
    <col min="71" max="71" width="1.7109375" style="3879" customWidth="1"/>
    <col min="72" max="72" width="22.5703125" style="3878" customWidth="1"/>
    <col min="73" max="73" width="57.85546875" style="3878" customWidth="1"/>
    <col min="74" max="74" width="1.7109375" style="3878" customWidth="1"/>
    <col min="75" max="75" width="22.5703125" style="3878" customWidth="1"/>
    <col min="76" max="76" width="57.85546875" style="3878" customWidth="1"/>
    <col min="77" max="77" width="1.7109375" style="3878" customWidth="1"/>
    <col min="78" max="78" width="22.5703125" style="3878" customWidth="1"/>
    <col min="79" max="79" width="57.85546875" style="3878" customWidth="1"/>
    <col min="80" max="81" width="9.140625" style="3878"/>
    <col min="82" max="82" width="49.5703125" style="3878" customWidth="1"/>
  </cols>
  <sheetData>
    <row r="1" spans="1:79" s="3876" customFormat="1" ht="11.25" customHeight="1">
      <c r="A1" s="972" t="s">
        <v>1165</v>
      </c>
      <c r="B1" s="972" t="s">
        <v>1166</v>
      </c>
      <c r="C1" s="972" t="s">
        <v>1167</v>
      </c>
      <c r="D1" s="972" t="s">
        <v>1168</v>
      </c>
      <c r="E1" s="972" t="s">
        <v>1169</v>
      </c>
      <c r="F1" s="972" t="s">
        <v>1170</v>
      </c>
      <c r="G1" s="972" t="s">
        <v>1171</v>
      </c>
      <c r="H1" s="972" t="s">
        <v>1172</v>
      </c>
      <c r="I1" s="972" t="s">
        <v>1173</v>
      </c>
      <c r="J1" s="972" t="s">
        <v>1174</v>
      </c>
      <c r="K1" s="972" t="s">
        <v>1175</v>
      </c>
      <c r="L1" s="972" t="s">
        <v>1176</v>
      </c>
      <c r="M1" s="972"/>
      <c r="N1" s="972" t="s">
        <v>1177</v>
      </c>
      <c r="O1" s="972" t="s">
        <v>1178</v>
      </c>
      <c r="P1" s="972" t="s">
        <v>1179</v>
      </c>
      <c r="Q1" s="972" t="s">
        <v>1180</v>
      </c>
      <c r="R1" s="972" t="s">
        <v>1181</v>
      </c>
      <c r="S1" s="972" t="s">
        <v>1182</v>
      </c>
      <c r="T1" s="972" t="s">
        <v>1183</v>
      </c>
      <c r="U1" s="972" t="s">
        <v>1184</v>
      </c>
      <c r="V1" s="972"/>
      <c r="W1" s="714" t="s">
        <v>1185</v>
      </c>
      <c r="X1" s="972" t="s">
        <v>1186</v>
      </c>
      <c r="Y1" s="972" t="s">
        <v>1187</v>
      </c>
      <c r="Z1" s="972"/>
      <c r="AA1" s="972" t="s">
        <v>1188</v>
      </c>
      <c r="AB1" s="972"/>
      <c r="AC1" s="972" t="s">
        <v>1189</v>
      </c>
      <c r="AD1" s="972"/>
      <c r="AF1" s="972" t="s">
        <v>1190</v>
      </c>
      <c r="AH1" s="972" t="s">
        <v>1191</v>
      </c>
      <c r="AI1" s="972" t="s">
        <v>1192</v>
      </c>
      <c r="AK1" s="972" t="s">
        <v>1193</v>
      </c>
      <c r="AM1" s="972" t="s">
        <v>1194</v>
      </c>
      <c r="AP1" s="972" t="s">
        <v>1195</v>
      </c>
      <c r="AQ1" s="972" t="s">
        <v>1196</v>
      </c>
      <c r="AS1" s="972" t="s">
        <v>1197</v>
      </c>
      <c r="AU1" s="972" t="s">
        <v>1198</v>
      </c>
      <c r="AW1" s="972" t="s">
        <v>1199</v>
      </c>
      <c r="AX1" s="972" t="s">
        <v>1200</v>
      </c>
      <c r="AZ1" s="1052" t="s">
        <v>1201</v>
      </c>
      <c r="BB1" s="972" t="s">
        <v>1202</v>
      </c>
      <c r="BC1" s="972"/>
      <c r="BE1" s="972" t="s">
        <v>1203</v>
      </c>
      <c r="BF1" s="972" t="s">
        <v>1204</v>
      </c>
      <c r="BH1" s="974" t="s">
        <v>705</v>
      </c>
      <c r="BI1" s="975"/>
      <c r="BJ1" s="976" t="s">
        <v>1205</v>
      </c>
      <c r="BK1" s="975"/>
      <c r="BL1" s="977" t="s">
        <v>803</v>
      </c>
      <c r="BM1" s="975"/>
      <c r="BN1" s="978" t="s">
        <v>1206</v>
      </c>
      <c r="BS1" s="1342"/>
    </row>
    <row r="2" spans="1:79" ht="11.25" customHeight="1">
      <c r="A2" s="979" t="s">
        <v>1207</v>
      </c>
      <c r="B2" s="980">
        <v>2000</v>
      </c>
      <c r="C2" s="980">
        <v>2022</v>
      </c>
      <c r="D2" s="980" t="s">
        <v>65</v>
      </c>
      <c r="E2" s="981" t="s">
        <v>1208</v>
      </c>
      <c r="F2" s="981" t="s">
        <v>1209</v>
      </c>
      <c r="G2" s="981" t="s">
        <v>1210</v>
      </c>
      <c r="H2" s="982" t="s">
        <v>53</v>
      </c>
      <c r="I2" s="981" t="s">
        <v>107</v>
      </c>
      <c r="J2" s="981" t="s">
        <v>1211</v>
      </c>
      <c r="K2" s="983" t="s">
        <v>1212</v>
      </c>
      <c r="L2" s="984"/>
      <c r="M2" s="983">
        <v>1</v>
      </c>
      <c r="N2" s="1062" t="s">
        <v>1213</v>
      </c>
      <c r="O2" s="982" t="s">
        <v>439</v>
      </c>
      <c r="P2" s="985" t="s">
        <v>1214</v>
      </c>
      <c r="Q2" s="986" t="s">
        <v>438</v>
      </c>
      <c r="R2" s="68" t="s">
        <v>1215</v>
      </c>
      <c r="S2" s="68" t="s">
        <v>1216</v>
      </c>
      <c r="T2" s="987" t="s">
        <v>1217</v>
      </c>
      <c r="U2" s="984" t="s">
        <v>1218</v>
      </c>
      <c r="V2" s="988">
        <v>1</v>
      </c>
      <c r="W2" s="989"/>
      <c r="X2" s="989" t="s">
        <v>1219</v>
      </c>
      <c r="Y2" s="980" t="s">
        <v>1220</v>
      </c>
      <c r="Z2" s="990"/>
      <c r="AA2" s="980" t="s">
        <v>1221</v>
      </c>
      <c r="AB2" s="991" t="s">
        <v>1221</v>
      </c>
      <c r="AC2" s="980" t="s">
        <v>1222</v>
      </c>
      <c r="AD2" s="991" t="s">
        <v>1222</v>
      </c>
      <c r="AF2" s="982" t="s">
        <v>1218</v>
      </c>
      <c r="AH2" s="981" t="s">
        <v>1223</v>
      </c>
      <c r="AI2" s="981" t="s">
        <v>1223</v>
      </c>
      <c r="AK2" s="981" t="s">
        <v>1224</v>
      </c>
      <c r="AM2" s="981" t="s">
        <v>1225</v>
      </c>
      <c r="AP2" s="992" t="s">
        <v>1219</v>
      </c>
      <c r="AQ2" s="993" t="s">
        <v>1219</v>
      </c>
      <c r="AS2" s="980" t="s">
        <v>1226</v>
      </c>
      <c r="AU2" s="1023" t="s">
        <v>1227</v>
      </c>
      <c r="AW2" s="1023" t="s">
        <v>1228</v>
      </c>
      <c r="AX2" s="1023" t="s">
        <v>1228</v>
      </c>
      <c r="AZ2" s="1023" t="s">
        <v>51</v>
      </c>
      <c r="BB2" s="1023" t="s">
        <v>1229</v>
      </c>
      <c r="BC2" s="1023" t="s">
        <v>1230</v>
      </c>
      <c r="BE2" s="1023">
        <v>2000</v>
      </c>
      <c r="BF2" s="1023" t="s">
        <v>1231</v>
      </c>
    </row>
    <row r="3" spans="1:79" ht="11.25" customHeight="1">
      <c r="A3" s="979" t="s">
        <v>1232</v>
      </c>
      <c r="B3" s="980">
        <v>2001</v>
      </c>
      <c r="C3" s="980">
        <v>2023</v>
      </c>
      <c r="D3" s="980" t="s">
        <v>55</v>
      </c>
      <c r="E3" s="981" t="s">
        <v>1233</v>
      </c>
      <c r="F3" s="981" t="s">
        <v>1234</v>
      </c>
      <c r="G3" s="981" t="s">
        <v>1235</v>
      </c>
      <c r="H3" s="982" t="s">
        <v>1236</v>
      </c>
      <c r="I3" s="981" t="s">
        <v>108</v>
      </c>
      <c r="J3" s="981" t="s">
        <v>539</v>
      </c>
      <c r="K3" s="983" t="s">
        <v>1048</v>
      </c>
      <c r="L3" s="984">
        <f>IFERROR(MATCH(K3,OFFER_METHOD,0),0)</f>
        <v>1</v>
      </c>
      <c r="M3" s="983">
        <v>2</v>
      </c>
      <c r="N3" s="1062" t="s">
        <v>1237</v>
      </c>
      <c r="O3" s="982" t="s">
        <v>1238</v>
      </c>
      <c r="P3" s="985" t="s">
        <v>33</v>
      </c>
      <c r="Q3" s="986" t="s">
        <v>1239</v>
      </c>
      <c r="R3" s="68" t="s">
        <v>1240</v>
      </c>
      <c r="S3" s="68" t="s">
        <v>1241</v>
      </c>
      <c r="T3" s="987" t="s">
        <v>1242</v>
      </c>
      <c r="U3" s="984" t="s">
        <v>1243</v>
      </c>
      <c r="V3" s="988">
        <v>2</v>
      </c>
      <c r="W3" s="989"/>
      <c r="X3" s="989" t="s">
        <v>1244</v>
      </c>
      <c r="Y3" s="980" t="s">
        <v>1220</v>
      </c>
      <c r="Z3" s="990"/>
      <c r="AA3" s="980" t="s">
        <v>1245</v>
      </c>
      <c r="AB3" s="991" t="s">
        <v>1245</v>
      </c>
      <c r="AC3" s="980" t="s">
        <v>1246</v>
      </c>
      <c r="AD3" s="991" t="s">
        <v>1246</v>
      </c>
      <c r="AF3" s="982" t="s">
        <v>1243</v>
      </c>
      <c r="AH3" s="981" t="s">
        <v>1247</v>
      </c>
      <c r="AI3" s="981" t="s">
        <v>1248</v>
      </c>
      <c r="AK3" s="981" t="s">
        <v>1249</v>
      </c>
      <c r="AM3" s="981" t="s">
        <v>1250</v>
      </c>
      <c r="AP3" s="992" t="s">
        <v>1251</v>
      </c>
      <c r="AQ3" s="993" t="s">
        <v>1251</v>
      </c>
      <c r="AS3" s="980" t="s">
        <v>1252</v>
      </c>
      <c r="AU3" s="1023" t="s">
        <v>1253</v>
      </c>
      <c r="AW3" s="1023" t="s">
        <v>1254</v>
      </c>
      <c r="AX3" s="1023" t="s">
        <v>1254</v>
      </c>
      <c r="AZ3" s="1023" t="s">
        <v>1255</v>
      </c>
      <c r="BB3" s="1023" t="s">
        <v>1256</v>
      </c>
      <c r="BC3" s="1023" t="s">
        <v>1230</v>
      </c>
      <c r="BE3" s="1023">
        <v>2001</v>
      </c>
      <c r="BF3" s="1023" t="s">
        <v>1257</v>
      </c>
      <c r="BH3" s="972" t="s">
        <v>1258</v>
      </c>
      <c r="BJ3" s="972" t="s">
        <v>1259</v>
      </c>
      <c r="BL3" s="972" t="s">
        <v>1260</v>
      </c>
      <c r="BN3" s="972" t="s">
        <v>1261</v>
      </c>
      <c r="BR3" s="972" t="s">
        <v>1262</v>
      </c>
      <c r="BS3" s="1343"/>
      <c r="BT3" s="975"/>
      <c r="BU3" s="972" t="s">
        <v>1263</v>
      </c>
      <c r="BV3" s="975"/>
      <c r="BW3" s="1601"/>
      <c r="BX3" s="1603" t="s">
        <v>1264</v>
      </c>
      <c r="CA3" s="972" t="s">
        <v>1265</v>
      </c>
    </row>
    <row r="4" spans="1:79" ht="11.25" customHeight="1">
      <c r="A4" s="979" t="s">
        <v>1266</v>
      </c>
      <c r="B4" s="980">
        <v>2002</v>
      </c>
      <c r="C4" s="980">
        <v>2024</v>
      </c>
      <c r="E4" s="981" t="s">
        <v>1267</v>
      </c>
      <c r="F4" s="981" t="s">
        <v>1268</v>
      </c>
      <c r="H4" s="982" t="s">
        <v>1269</v>
      </c>
      <c r="I4" s="981" t="s">
        <v>88</v>
      </c>
      <c r="J4" s="981" t="s">
        <v>1270</v>
      </c>
      <c r="K4" s="983" t="s">
        <v>1271</v>
      </c>
      <c r="L4" s="984">
        <f>IFERROR(MATCH(K4,OFFER_METHOD,0),0)</f>
        <v>0</v>
      </c>
      <c r="M4" s="983">
        <v>3</v>
      </c>
      <c r="N4" s="1062" t="s">
        <v>1272</v>
      </c>
      <c r="O4" s="981" t="s">
        <v>1273</v>
      </c>
      <c r="Q4" s="986" t="s">
        <v>1274</v>
      </c>
      <c r="R4" s="68" t="s">
        <v>1275</v>
      </c>
      <c r="S4" s="68" t="s">
        <v>1276</v>
      </c>
      <c r="T4" s="987" t="s">
        <v>1277</v>
      </c>
      <c r="U4" s="984" t="s">
        <v>1278</v>
      </c>
      <c r="V4" s="988">
        <v>3</v>
      </c>
      <c r="W4" s="989"/>
      <c r="X4" s="989" t="s">
        <v>1279</v>
      </c>
      <c r="Y4" s="980" t="s">
        <v>1220</v>
      </c>
      <c r="Z4" s="995"/>
      <c r="AC4" s="980" t="s">
        <v>1280</v>
      </c>
      <c r="AD4" s="991" t="s">
        <v>1280</v>
      </c>
      <c r="AF4" s="982" t="s">
        <v>1278</v>
      </c>
      <c r="AH4" s="982" t="s">
        <v>1281</v>
      </c>
      <c r="AK4" s="981" t="s">
        <v>1282</v>
      </c>
      <c r="AM4" s="981" t="s">
        <v>1283</v>
      </c>
      <c r="AP4" s="992" t="s">
        <v>1244</v>
      </c>
      <c r="AQ4" s="993" t="s">
        <v>1244</v>
      </c>
      <c r="AS4" s="980" t="s">
        <v>1284</v>
      </c>
      <c r="AU4" s="1023" t="s">
        <v>1285</v>
      </c>
      <c r="AW4" s="1023" t="s">
        <v>1286</v>
      </c>
      <c r="AX4" s="1023" t="s">
        <v>1286</v>
      </c>
      <c r="AZ4" s="1023" t="s">
        <v>1287</v>
      </c>
      <c r="BB4" s="1023" t="s">
        <v>1288</v>
      </c>
      <c r="BC4" s="1023" t="s">
        <v>1289</v>
      </c>
      <c r="BE4" s="1023">
        <v>2002</v>
      </c>
      <c r="BF4" s="1023" t="s">
        <v>1290</v>
      </c>
      <c r="BH4" s="973" t="s">
        <v>1291</v>
      </c>
      <c r="BJ4" s="973" t="s">
        <v>1291</v>
      </c>
      <c r="BL4" s="973" t="s">
        <v>1291</v>
      </c>
      <c r="BN4" s="973" t="s">
        <v>1291</v>
      </c>
      <c r="BQ4" s="1347" t="s">
        <v>1292</v>
      </c>
      <c r="BR4" s="1059" t="s">
        <v>1293</v>
      </c>
      <c r="BS4" s="193"/>
      <c r="BT4" s="1347" t="s">
        <v>1294</v>
      </c>
      <c r="BU4" s="1059" t="s">
        <v>1295</v>
      </c>
      <c r="BV4" s="975"/>
      <c r="BW4" s="1608" t="s">
        <v>1296</v>
      </c>
      <c r="BX4" s="1602" t="s">
        <v>1297</v>
      </c>
      <c r="BZ4" s="1347" t="s">
        <v>1298</v>
      </c>
      <c r="CA4" s="1059" t="s">
        <v>1299</v>
      </c>
    </row>
    <row r="5" spans="1:79" ht="11.25" customHeight="1">
      <c r="A5" s="979" t="s">
        <v>1300</v>
      </c>
      <c r="B5" s="980">
        <v>2003</v>
      </c>
      <c r="C5" s="980">
        <v>2025</v>
      </c>
      <c r="E5" s="981" t="s">
        <v>1301</v>
      </c>
      <c r="F5" s="981" t="s">
        <v>1302</v>
      </c>
      <c r="H5" s="982" t="s">
        <v>1303</v>
      </c>
      <c r="I5" s="981" t="s">
        <v>89</v>
      </c>
      <c r="K5" s="983" t="s">
        <v>1304</v>
      </c>
      <c r="L5" s="984">
        <f>IFERROR(MATCH(K5,OFFER_METHOD,0),0)</f>
        <v>0</v>
      </c>
      <c r="M5" s="983">
        <v>4</v>
      </c>
      <c r="N5" s="996" t="s">
        <v>1305</v>
      </c>
      <c r="O5" s="981" t="s">
        <v>1306</v>
      </c>
      <c r="Q5" s="986" t="s">
        <v>1307</v>
      </c>
      <c r="R5" s="68" t="s">
        <v>1308</v>
      </c>
      <c r="T5" s="982" t="s">
        <v>1309</v>
      </c>
      <c r="U5" s="984" t="s">
        <v>1310</v>
      </c>
      <c r="V5" s="988">
        <v>4</v>
      </c>
      <c r="W5" s="989"/>
      <c r="X5" s="989" t="s">
        <v>170</v>
      </c>
      <c r="Y5" s="980" t="s">
        <v>1311</v>
      </c>
      <c r="Z5" s="995">
        <v>1</v>
      </c>
      <c r="AF5" s="982" t="s">
        <v>1312</v>
      </c>
      <c r="AH5" s="981" t="s">
        <v>1313</v>
      </c>
      <c r="AK5" s="981" t="s">
        <v>1314</v>
      </c>
      <c r="AM5" s="981" t="s">
        <v>1315</v>
      </c>
      <c r="AP5" s="992" t="s">
        <v>170</v>
      </c>
      <c r="AQ5" s="993" t="s">
        <v>170</v>
      </c>
      <c r="AU5" s="1023" t="s">
        <v>1316</v>
      </c>
      <c r="AW5" s="1023" t="s">
        <v>1317</v>
      </c>
      <c r="AX5" s="1023" t="s">
        <v>1317</v>
      </c>
      <c r="AZ5" s="1023" t="s">
        <v>1318</v>
      </c>
      <c r="BB5" s="1023" t="s">
        <v>1319</v>
      </c>
      <c r="BC5" s="1023" t="s">
        <v>1320</v>
      </c>
      <c r="BE5" s="1023">
        <v>2003</v>
      </c>
      <c r="BF5" s="1023" t="s">
        <v>1321</v>
      </c>
      <c r="BH5" s="973" t="s">
        <v>1322</v>
      </c>
      <c r="BJ5" s="973" t="s">
        <v>1322</v>
      </c>
      <c r="BL5" s="973" t="s">
        <v>1322</v>
      </c>
      <c r="BN5" s="973" t="s">
        <v>1323</v>
      </c>
      <c r="BQ5" s="1201">
        <v>4213775</v>
      </c>
      <c r="BR5" s="973" t="s">
        <v>1219</v>
      </c>
      <c r="BS5" s="1344"/>
      <c r="BT5" s="1201">
        <v>64236871</v>
      </c>
      <c r="BU5" s="973" t="s">
        <v>219</v>
      </c>
      <c r="BV5" s="975"/>
      <c r="BW5" s="1606">
        <v>4213767</v>
      </c>
      <c r="BX5" s="1604" t="s">
        <v>1324</v>
      </c>
      <c r="BZ5" s="1201">
        <v>64237509</v>
      </c>
      <c r="CA5" s="1214" t="s">
        <v>1325</v>
      </c>
    </row>
    <row r="6" spans="1:79" ht="11.25" customHeight="1">
      <c r="A6" s="979" t="s">
        <v>1326</v>
      </c>
      <c r="B6" s="980">
        <v>2004</v>
      </c>
      <c r="C6" s="980">
        <v>2026</v>
      </c>
      <c r="E6" s="981" t="s">
        <v>1327</v>
      </c>
      <c r="F6" s="997"/>
      <c r="H6" s="982" t="s">
        <v>1328</v>
      </c>
      <c r="I6" s="981" t="s">
        <v>109</v>
      </c>
      <c r="J6" s="972" t="s">
        <v>1329</v>
      </c>
      <c r="L6" s="984">
        <f>SUM(kind_of_control_method_filter)</f>
        <v>1</v>
      </c>
      <c r="N6" s="996" t="s">
        <v>1330</v>
      </c>
      <c r="O6" s="981" t="s">
        <v>1331</v>
      </c>
      <c r="R6" s="68" t="s">
        <v>438</v>
      </c>
      <c r="T6" s="982" t="s">
        <v>1332</v>
      </c>
      <c r="U6" s="984" t="s">
        <v>1312</v>
      </c>
      <c r="V6" s="988">
        <v>5</v>
      </c>
      <c r="W6" s="989"/>
      <c r="X6" s="980" t="s">
        <v>176</v>
      </c>
      <c r="Y6" s="980" t="s">
        <v>1333</v>
      </c>
      <c r="Z6" s="995"/>
      <c r="AA6" s="998"/>
      <c r="AH6" s="981" t="s">
        <v>1334</v>
      </c>
      <c r="AK6" s="981" t="s">
        <v>1335</v>
      </c>
      <c r="AM6" s="981" t="s">
        <v>1336</v>
      </c>
      <c r="AP6" s="992" t="s">
        <v>176</v>
      </c>
      <c r="AQ6" s="993" t="s">
        <v>176</v>
      </c>
      <c r="AU6" s="1023" t="s">
        <v>1337</v>
      </c>
      <c r="AW6" s="1023" t="s">
        <v>1338</v>
      </c>
      <c r="AX6" s="1023" t="s">
        <v>1338</v>
      </c>
      <c r="BB6" s="1023" t="s">
        <v>1339</v>
      </c>
      <c r="BC6" s="1023" t="s">
        <v>1320</v>
      </c>
      <c r="BE6" s="1023">
        <v>2004</v>
      </c>
      <c r="BF6" s="1023" t="s">
        <v>1340</v>
      </c>
      <c r="BH6" s="973" t="s">
        <v>1341</v>
      </c>
      <c r="BJ6" s="973" t="s">
        <v>1342</v>
      </c>
      <c r="BL6" s="973" t="s">
        <v>1342</v>
      </c>
      <c r="BN6" s="973" t="s">
        <v>1343</v>
      </c>
      <c r="BQ6" s="1201">
        <v>4213784</v>
      </c>
      <c r="BR6" s="1214" t="s">
        <v>1251</v>
      </c>
      <c r="BS6" s="1345"/>
      <c r="BT6" s="1201">
        <v>64236872</v>
      </c>
      <c r="BU6" s="973" t="s">
        <v>224</v>
      </c>
      <c r="BV6" s="975"/>
      <c r="BW6" s="1606">
        <v>4213768</v>
      </c>
      <c r="BX6" s="1604" t="s">
        <v>244</v>
      </c>
      <c r="BZ6" s="1201">
        <v>64237510</v>
      </c>
      <c r="CA6" s="973" t="s">
        <v>1344</v>
      </c>
    </row>
    <row r="7" spans="1:79" ht="11.25" customHeight="1">
      <c r="A7" s="979" t="s">
        <v>1345</v>
      </c>
      <c r="B7" s="980">
        <v>2005</v>
      </c>
      <c r="E7" s="981" t="s">
        <v>1346</v>
      </c>
      <c r="F7" s="997"/>
      <c r="H7" s="982" t="s">
        <v>1347</v>
      </c>
      <c r="I7" s="981" t="s">
        <v>90</v>
      </c>
      <c r="J7" s="981" t="s">
        <v>1348</v>
      </c>
      <c r="N7" s="1000" t="s">
        <v>1349</v>
      </c>
      <c r="O7" s="981" t="s">
        <v>1350</v>
      </c>
      <c r="U7" s="984" t="s">
        <v>55</v>
      </c>
      <c r="V7" s="298" t="s">
        <v>90</v>
      </c>
      <c r="W7" s="989"/>
      <c r="X7" s="980" t="s">
        <v>182</v>
      </c>
      <c r="Y7" s="980" t="s">
        <v>1311</v>
      </c>
      <c r="Z7" s="995"/>
      <c r="AA7" s="998"/>
      <c r="AH7" s="981" t="s">
        <v>1351</v>
      </c>
      <c r="AK7" s="981" t="s">
        <v>1352</v>
      </c>
      <c r="AM7" s="981" t="s">
        <v>1353</v>
      </c>
      <c r="AP7" s="992" t="s">
        <v>182</v>
      </c>
      <c r="AQ7" s="993" t="s">
        <v>182</v>
      </c>
      <c r="AU7" s="1023" t="s">
        <v>1354</v>
      </c>
      <c r="AW7" s="1023" t="s">
        <v>1355</v>
      </c>
      <c r="AX7" s="1023" t="s">
        <v>1355</v>
      </c>
      <c r="AZ7" s="972" t="s">
        <v>1356</v>
      </c>
      <c r="BB7" s="1023" t="s">
        <v>1357</v>
      </c>
      <c r="BC7" s="1023" t="s">
        <v>1320</v>
      </c>
      <c r="BE7" s="1023">
        <v>2005</v>
      </c>
      <c r="BF7" s="1023" t="s">
        <v>1358</v>
      </c>
      <c r="BH7" s="973" t="s">
        <v>1359</v>
      </c>
      <c r="BJ7" s="973" t="s">
        <v>1341</v>
      </c>
      <c r="BL7" s="973" t="s">
        <v>1341</v>
      </c>
      <c r="BN7" s="973" t="s">
        <v>1360</v>
      </c>
      <c r="BQ7" s="1201">
        <v>4213781</v>
      </c>
      <c r="BR7" s="973" t="s">
        <v>1244</v>
      </c>
      <c r="BS7" s="1344"/>
      <c r="BT7" s="1201">
        <v>64236873</v>
      </c>
      <c r="BU7" s="973" t="s">
        <v>229</v>
      </c>
      <c r="BV7" s="975"/>
      <c r="BW7" s="1606">
        <v>4213769</v>
      </c>
      <c r="BX7" s="1604" t="s">
        <v>1361</v>
      </c>
      <c r="BZ7" s="1201">
        <v>64237511</v>
      </c>
      <c r="CA7" s="973" t="s">
        <v>259</v>
      </c>
    </row>
    <row r="8" spans="1:79" ht="11.25" customHeight="1">
      <c r="A8" s="979" t="s">
        <v>1362</v>
      </c>
      <c r="B8" s="980">
        <v>2006</v>
      </c>
      <c r="E8" s="981" t="s">
        <v>1363</v>
      </c>
      <c r="F8" s="997"/>
      <c r="I8" s="981" t="s">
        <v>91</v>
      </c>
      <c r="J8" s="981" t="s">
        <v>1364</v>
      </c>
      <c r="N8" s="1063" t="s">
        <v>1365</v>
      </c>
      <c r="O8" s="981" t="s">
        <v>1366</v>
      </c>
      <c r="V8" s="298" t="s">
        <v>91</v>
      </c>
      <c r="W8" s="989"/>
      <c r="X8" s="980" t="s">
        <v>188</v>
      </c>
      <c r="Y8" s="980" t="s">
        <v>1311</v>
      </c>
      <c r="Z8" s="995"/>
      <c r="AA8" s="998"/>
      <c r="AK8" s="981" t="s">
        <v>1367</v>
      </c>
      <c r="AP8" s="992" t="s">
        <v>188</v>
      </c>
      <c r="AQ8" s="993" t="s">
        <v>188</v>
      </c>
      <c r="AU8" s="1023" t="s">
        <v>1368</v>
      </c>
      <c r="AW8" s="1023" t="s">
        <v>1369</v>
      </c>
      <c r="AX8" s="1023" t="s">
        <v>1369</v>
      </c>
      <c r="AZ8" s="1023" t="s">
        <v>1370</v>
      </c>
      <c r="BB8" s="1023" t="s">
        <v>1371</v>
      </c>
      <c r="BC8" s="1023" t="s">
        <v>1320</v>
      </c>
      <c r="BE8" s="1023">
        <v>2006</v>
      </c>
      <c r="BF8" s="1023" t="s">
        <v>1372</v>
      </c>
      <c r="BH8" s="973" t="s">
        <v>1373</v>
      </c>
      <c r="BJ8" s="973" t="s">
        <v>1374</v>
      </c>
      <c r="BL8" s="973" t="s">
        <v>1374</v>
      </c>
      <c r="BN8" s="973" t="s">
        <v>1375</v>
      </c>
      <c r="BQ8" s="1201">
        <v>4213776</v>
      </c>
      <c r="BR8" s="973" t="s">
        <v>170</v>
      </c>
      <c r="BS8" s="1344"/>
      <c r="BT8" s="1201">
        <v>64236874</v>
      </c>
      <c r="BU8" s="1214" t="s">
        <v>1376</v>
      </c>
      <c r="BV8" s="975"/>
      <c r="BW8" s="1606">
        <v>4213770</v>
      </c>
      <c r="BX8" s="1607" t="s">
        <v>1377</v>
      </c>
      <c r="BZ8" s="1201">
        <v>64237512</v>
      </c>
      <c r="CA8" s="973" t="s">
        <v>254</v>
      </c>
    </row>
    <row r="9" spans="1:79" ht="11.25" customHeight="1">
      <c r="A9" s="979" t="s">
        <v>1378</v>
      </c>
      <c r="B9" s="980">
        <v>2007</v>
      </c>
      <c r="E9" s="981" t="s">
        <v>1379</v>
      </c>
      <c r="F9" s="997"/>
      <c r="G9" s="972" t="s">
        <v>1380</v>
      </c>
      <c r="H9" s="972" t="s">
        <v>1381</v>
      </c>
      <c r="I9" s="981" t="s">
        <v>110</v>
      </c>
      <c r="O9" s="981" t="s">
        <v>1382</v>
      </c>
      <c r="V9" s="298" t="s">
        <v>110</v>
      </c>
      <c r="W9" s="989"/>
      <c r="X9" s="980" t="s">
        <v>194</v>
      </c>
      <c r="Y9" s="980" t="s">
        <v>1220</v>
      </c>
      <c r="Z9" s="995">
        <v>1</v>
      </c>
      <c r="AA9" s="998"/>
      <c r="AK9" s="981" t="s">
        <v>1383</v>
      </c>
      <c r="AP9" s="992" t="s">
        <v>1384</v>
      </c>
      <c r="AQ9" s="993" t="s">
        <v>1384</v>
      </c>
      <c r="AW9" s="1023" t="s">
        <v>1385</v>
      </c>
      <c r="AX9" s="1023" t="s">
        <v>1385</v>
      </c>
      <c r="AZ9" s="1023" t="s">
        <v>1386</v>
      </c>
      <c r="BB9" s="1023" t="s">
        <v>1387</v>
      </c>
      <c r="BC9" s="1023" t="s">
        <v>1320</v>
      </c>
      <c r="BE9" s="1023">
        <v>2007</v>
      </c>
      <c r="BF9" s="1023" t="s">
        <v>1388</v>
      </c>
      <c r="BH9" s="973" t="s">
        <v>1389</v>
      </c>
      <c r="BJ9" s="973" t="s">
        <v>1390</v>
      </c>
      <c r="BL9" s="973" t="s">
        <v>1390</v>
      </c>
      <c r="BN9" s="973" t="s">
        <v>1391</v>
      </c>
      <c r="BQ9" s="1201">
        <v>4213777</v>
      </c>
      <c r="BR9" s="973" t="s">
        <v>176</v>
      </c>
      <c r="BS9" s="1344"/>
      <c r="BT9" s="1201">
        <v>64236875</v>
      </c>
      <c r="BU9" s="973" t="s">
        <v>234</v>
      </c>
      <c r="BV9" s="975"/>
      <c r="BW9" s="1601"/>
      <c r="BX9" s="1601"/>
    </row>
    <row r="10" spans="1:79" ht="11.25" customHeight="1">
      <c r="A10" s="979" t="s">
        <v>1392</v>
      </c>
      <c r="B10" s="980">
        <v>2008</v>
      </c>
      <c r="E10" s="981" t="s">
        <v>1393</v>
      </c>
      <c r="F10" s="997"/>
      <c r="G10" s="981" t="s">
        <v>1394</v>
      </c>
      <c r="H10" s="981" t="s">
        <v>1395</v>
      </c>
      <c r="I10" s="981" t="s">
        <v>146</v>
      </c>
      <c r="J10" s="972" t="s">
        <v>1396</v>
      </c>
      <c r="K10" s="972" t="s">
        <v>1397</v>
      </c>
      <c r="O10" s="981" t="s">
        <v>1398</v>
      </c>
      <c r="V10" s="299" t="s">
        <v>146</v>
      </c>
      <c r="W10" s="1001"/>
      <c r="X10" s="1001" t="s">
        <v>1399</v>
      </c>
      <c r="Y10" s="1002" t="s">
        <v>1400</v>
      </c>
      <c r="Z10" s="995"/>
      <c r="AP10" s="992" t="s">
        <v>1399</v>
      </c>
      <c r="AQ10" s="993" t="s">
        <v>1399</v>
      </c>
      <c r="AW10" s="1023" t="s">
        <v>1401</v>
      </c>
      <c r="AX10" s="1023" t="s">
        <v>1401</v>
      </c>
      <c r="AZ10" s="1023" t="s">
        <v>1402</v>
      </c>
      <c r="BB10" s="1023" t="s">
        <v>1403</v>
      </c>
      <c r="BC10" s="1023" t="s">
        <v>1320</v>
      </c>
      <c r="BE10" s="1023">
        <v>2008</v>
      </c>
      <c r="BF10" s="1023" t="s">
        <v>1404</v>
      </c>
      <c r="BH10" s="973" t="s">
        <v>1405</v>
      </c>
      <c r="BJ10" s="973" t="s">
        <v>1406</v>
      </c>
      <c r="BL10" s="973" t="s">
        <v>1406</v>
      </c>
      <c r="BN10" s="973" t="s">
        <v>1407</v>
      </c>
      <c r="BQ10" s="1201">
        <v>4213778</v>
      </c>
      <c r="BR10" s="973" t="s">
        <v>182</v>
      </c>
      <c r="BS10" s="1344"/>
      <c r="BT10" s="1201">
        <v>64236876</v>
      </c>
      <c r="BU10" s="973" t="s">
        <v>214</v>
      </c>
      <c r="BV10" s="975"/>
      <c r="BW10" s="1601"/>
      <c r="BX10" s="1601"/>
    </row>
    <row r="11" spans="1:79" ht="11.25" customHeight="1">
      <c r="A11" s="979" t="s">
        <v>1408</v>
      </c>
      <c r="B11" s="980">
        <v>2009</v>
      </c>
      <c r="E11" s="981" t="s">
        <v>1409</v>
      </c>
      <c r="F11" s="997"/>
      <c r="G11" s="981" t="s">
        <v>1410</v>
      </c>
      <c r="H11" s="981" t="s">
        <v>1411</v>
      </c>
      <c r="I11" s="981" t="s">
        <v>147</v>
      </c>
      <c r="J11" s="982" t="s">
        <v>1412</v>
      </c>
      <c r="K11" s="1003" t="s">
        <v>1413</v>
      </c>
      <c r="O11" s="982" t="s">
        <v>1414</v>
      </c>
      <c r="V11" s="298" t="s">
        <v>147</v>
      </c>
      <c r="W11" s="194"/>
      <c r="X11" s="989" t="s">
        <v>1384</v>
      </c>
      <c r="Y11" s="980" t="s">
        <v>1415</v>
      </c>
      <c r="Z11" s="995"/>
      <c r="AP11" s="992" t="s">
        <v>194</v>
      </c>
      <c r="AQ11" s="994" t="s">
        <v>194</v>
      </c>
      <c r="AW11" s="1023" t="s">
        <v>1416</v>
      </c>
      <c r="AX11" s="1023" t="s">
        <v>1416</v>
      </c>
      <c r="AZ11" s="1023" t="s">
        <v>1417</v>
      </c>
      <c r="BB11" s="1023" t="s">
        <v>1418</v>
      </c>
      <c r="BC11" s="1023" t="s">
        <v>1320</v>
      </c>
      <c r="BE11" s="1023">
        <v>2009</v>
      </c>
      <c r="BF11" s="1023" t="s">
        <v>1419</v>
      </c>
      <c r="BH11" s="973" t="s">
        <v>1420</v>
      </c>
      <c r="BJ11" s="973" t="s">
        <v>1389</v>
      </c>
      <c r="BL11" s="973" t="s">
        <v>1389</v>
      </c>
      <c r="BN11" s="973" t="s">
        <v>1421</v>
      </c>
      <c r="BQ11" s="1201">
        <v>4213780</v>
      </c>
      <c r="BR11" s="973" t="s">
        <v>188</v>
      </c>
      <c r="BS11" s="1344"/>
      <c r="BW11" s="1601"/>
      <c r="BX11" s="1601"/>
    </row>
    <row r="12" spans="1:79" ht="11.25" customHeight="1">
      <c r="A12" s="979" t="s">
        <v>1422</v>
      </c>
      <c r="B12" s="980">
        <v>2010</v>
      </c>
      <c r="E12" s="981" t="s">
        <v>1423</v>
      </c>
      <c r="F12" s="997"/>
      <c r="G12" s="981" t="s">
        <v>1411</v>
      </c>
      <c r="I12" s="981" t="s">
        <v>148</v>
      </c>
      <c r="J12" s="982" t="s">
        <v>1424</v>
      </c>
      <c r="K12" s="1003" t="s">
        <v>1425</v>
      </c>
      <c r="O12" s="982" t="s">
        <v>438</v>
      </c>
      <c r="V12" s="298" t="s">
        <v>148</v>
      </c>
      <c r="W12" s="994"/>
      <c r="X12" s="989" t="s">
        <v>1426</v>
      </c>
      <c r="Y12" s="980" t="s">
        <v>1220</v>
      </c>
      <c r="AP12" s="992"/>
      <c r="AW12" s="1023" t="s">
        <v>147</v>
      </c>
      <c r="AX12" s="1023" t="s">
        <v>147</v>
      </c>
      <c r="AZ12" s="1023" t="s">
        <v>1427</v>
      </c>
      <c r="BB12" s="1023" t="s">
        <v>1428</v>
      </c>
      <c r="BC12" s="1023" t="s">
        <v>1320</v>
      </c>
      <c r="BE12" s="1023">
        <v>2010</v>
      </c>
      <c r="BF12" s="1023" t="s">
        <v>1429</v>
      </c>
      <c r="BH12" s="973" t="s">
        <v>1430</v>
      </c>
      <c r="BJ12" s="973" t="s">
        <v>1431</v>
      </c>
      <c r="BL12" s="973" t="s">
        <v>1431</v>
      </c>
      <c r="BN12" s="973" t="s">
        <v>1432</v>
      </c>
      <c r="BQ12" s="1201">
        <v>4213779</v>
      </c>
      <c r="BR12" s="973" t="s">
        <v>1384</v>
      </c>
      <c r="BS12" s="1344"/>
      <c r="BT12" s="975"/>
      <c r="BU12" s="975"/>
      <c r="BV12" s="975"/>
      <c r="BW12" s="1601"/>
      <c r="BX12" s="1601"/>
    </row>
    <row r="13" spans="1:79" ht="11.25" customHeight="1">
      <c r="A13" s="979" t="s">
        <v>1433</v>
      </c>
      <c r="B13" s="980">
        <v>2011</v>
      </c>
      <c r="E13" s="981" t="s">
        <v>1434</v>
      </c>
      <c r="F13" s="997"/>
      <c r="I13" s="981" t="s">
        <v>149</v>
      </c>
      <c r="K13" s="1003" t="s">
        <v>1383</v>
      </c>
      <c r="V13" s="298" t="s">
        <v>149</v>
      </c>
      <c r="W13" s="994"/>
      <c r="X13" s="994"/>
      <c r="Y13" s="994"/>
      <c r="AW13" s="1023" t="s">
        <v>148</v>
      </c>
      <c r="AX13" s="1023" t="s">
        <v>148</v>
      </c>
      <c r="BB13" s="1023" t="s">
        <v>1435</v>
      </c>
      <c r="BC13" s="1023" t="s">
        <v>1436</v>
      </c>
      <c r="BE13" s="1023">
        <v>2011</v>
      </c>
      <c r="BF13" s="1023" t="s">
        <v>1437</v>
      </c>
      <c r="BH13" s="973" t="s">
        <v>1438</v>
      </c>
      <c r="BJ13" s="973" t="s">
        <v>1420</v>
      </c>
      <c r="BL13" s="973" t="s">
        <v>1420</v>
      </c>
      <c r="BN13" s="973" t="s">
        <v>1439</v>
      </c>
      <c r="BQ13" s="1201">
        <v>4213783</v>
      </c>
      <c r="BR13" s="973" t="s">
        <v>1399</v>
      </c>
      <c r="BS13" s="1344"/>
      <c r="BT13" s="975"/>
      <c r="BU13" s="975"/>
      <c r="BV13" s="975"/>
      <c r="BW13" s="1605"/>
      <c r="BX13" s="1601"/>
    </row>
    <row r="14" spans="1:79" ht="11.25" customHeight="1">
      <c r="A14" s="979" t="s">
        <v>1440</v>
      </c>
      <c r="B14" s="980">
        <v>2012</v>
      </c>
      <c r="I14" s="981" t="s">
        <v>150</v>
      </c>
      <c r="J14" s="972" t="s">
        <v>1441</v>
      </c>
      <c r="N14" s="972" t="s">
        <v>1442</v>
      </c>
      <c r="V14" s="988">
        <v>13</v>
      </c>
      <c r="W14" s="989"/>
      <c r="X14" s="989" t="s">
        <v>1251</v>
      </c>
      <c r="Y14" s="980" t="s">
        <v>1220</v>
      </c>
      <c r="AW14" s="1023" t="s">
        <v>149</v>
      </c>
      <c r="AX14" s="1023" t="s">
        <v>149</v>
      </c>
      <c r="AZ14" s="972" t="s">
        <v>1443</v>
      </c>
      <c r="BB14" s="1023" t="s">
        <v>1444</v>
      </c>
      <c r="BC14" s="1023" t="s">
        <v>1436</v>
      </c>
      <c r="BE14" s="1023">
        <v>2012</v>
      </c>
      <c r="BH14" s="973" t="s">
        <v>1360</v>
      </c>
      <c r="BJ14" s="1121" t="s">
        <v>1445</v>
      </c>
      <c r="BL14" s="1121" t="s">
        <v>1445</v>
      </c>
      <c r="BN14" s="973" t="s">
        <v>1446</v>
      </c>
      <c r="BQ14" s="1201">
        <v>4213782</v>
      </c>
      <c r="BR14" s="973" t="s">
        <v>194</v>
      </c>
      <c r="BS14" s="1344"/>
      <c r="BT14" s="975"/>
      <c r="BU14" s="975"/>
      <c r="BV14" s="975"/>
      <c r="BW14" s="1605"/>
      <c r="BX14" s="1601"/>
    </row>
    <row r="15" spans="1:79" ht="19.5" customHeight="1">
      <c r="A15" s="979" t="s">
        <v>1447</v>
      </c>
      <c r="B15" s="980">
        <v>2013</v>
      </c>
      <c r="E15" s="1609" t="s">
        <v>1448</v>
      </c>
      <c r="G15" s="972" t="s">
        <v>1449</v>
      </c>
      <c r="H15" s="972" t="s">
        <v>1450</v>
      </c>
      <c r="I15" s="983" t="s">
        <v>151</v>
      </c>
      <c r="J15" s="994" t="s">
        <v>566</v>
      </c>
      <c r="N15" s="1058" t="s">
        <v>1451</v>
      </c>
      <c r="X15" s="992"/>
      <c r="AW15" s="1023" t="s">
        <v>150</v>
      </c>
      <c r="AX15" s="1023" t="s">
        <v>150</v>
      </c>
      <c r="AZ15" s="1023" t="s">
        <v>1370</v>
      </c>
      <c r="BB15" s="1023" t="s">
        <v>1452</v>
      </c>
      <c r="BC15" s="1023" t="s">
        <v>1436</v>
      </c>
      <c r="BE15" s="1023">
        <v>2013</v>
      </c>
      <c r="BH15" s="973" t="s">
        <v>1375</v>
      </c>
      <c r="BJ15" s="1121" t="s">
        <v>1453</v>
      </c>
      <c r="BL15" s="1121" t="s">
        <v>1453</v>
      </c>
      <c r="BN15" s="973" t="s">
        <v>1454</v>
      </c>
      <c r="BR15" s="975"/>
      <c r="BS15" s="1346"/>
      <c r="BT15" s="975"/>
      <c r="BU15" s="975"/>
      <c r="BV15" s="975"/>
      <c r="BW15" s="1605"/>
      <c r="BX15" s="1601"/>
    </row>
    <row r="16" spans="1:79" ht="21" customHeight="1">
      <c r="A16" s="1781" t="s">
        <v>1455</v>
      </c>
      <c r="B16" s="980">
        <v>2014</v>
      </c>
      <c r="E16" s="1610" t="s">
        <v>1456</v>
      </c>
      <c r="G16" s="981" t="s">
        <v>1457</v>
      </c>
      <c r="H16" s="981" t="s">
        <v>1458</v>
      </c>
      <c r="I16" s="983" t="s">
        <v>1459</v>
      </c>
      <c r="J16" s="994" t="s">
        <v>539</v>
      </c>
      <c r="N16" s="1058" t="s">
        <v>1460</v>
      </c>
      <c r="AW16" s="1023" t="s">
        <v>151</v>
      </c>
      <c r="AX16" s="1023" t="s">
        <v>151</v>
      </c>
      <c r="AZ16" s="1023" t="s">
        <v>1386</v>
      </c>
      <c r="BB16" s="1023" t="s">
        <v>1461</v>
      </c>
      <c r="BC16" s="1023" t="s">
        <v>1436</v>
      </c>
      <c r="BE16" s="1023">
        <v>2014</v>
      </c>
      <c r="BH16" s="973" t="s">
        <v>1391</v>
      </c>
      <c r="BJ16" s="1121" t="s">
        <v>1462</v>
      </c>
      <c r="BL16" s="1121" t="s">
        <v>1462</v>
      </c>
      <c r="BN16" s="973" t="s">
        <v>1463</v>
      </c>
      <c r="BR16" s="975"/>
      <c r="BS16" s="1346"/>
      <c r="BT16" s="975"/>
      <c r="BU16" s="975"/>
      <c r="BV16" s="975"/>
      <c r="BW16" s="1605"/>
      <c r="BX16" s="1601"/>
    </row>
    <row r="17" spans="1:82" ht="21" customHeight="1">
      <c r="A17" s="979" t="s">
        <v>1464</v>
      </c>
      <c r="B17" s="980">
        <v>2015</v>
      </c>
      <c r="G17" s="981" t="s">
        <v>1411</v>
      </c>
      <c r="H17" s="981" t="s">
        <v>1411</v>
      </c>
      <c r="I17" s="981" t="s">
        <v>97</v>
      </c>
      <c r="N17" s="1058" t="s">
        <v>1465</v>
      </c>
      <c r="X17" s="992"/>
      <c r="AW17" s="1023" t="s">
        <v>1459</v>
      </c>
      <c r="AX17" s="1023" t="s">
        <v>1459</v>
      </c>
      <c r="AZ17" s="1023" t="s">
        <v>1466</v>
      </c>
      <c r="BB17" s="1023" t="s">
        <v>1467</v>
      </c>
      <c r="BC17" s="1023" t="s">
        <v>1320</v>
      </c>
      <c r="BE17" s="1023">
        <v>2015</v>
      </c>
      <c r="BH17" s="973" t="s">
        <v>1407</v>
      </c>
      <c r="BJ17" s="1121" t="s">
        <v>1468</v>
      </c>
      <c r="BL17" s="1121" t="s">
        <v>1468</v>
      </c>
      <c r="BN17" s="973" t="s">
        <v>1469</v>
      </c>
      <c r="BR17" s="972" t="s">
        <v>1262</v>
      </c>
      <c r="BS17" s="1343"/>
      <c r="BU17" s="972" t="s">
        <v>1470</v>
      </c>
      <c r="BV17" s="975"/>
      <c r="BW17" s="1601"/>
      <c r="BX17" s="1603" t="s">
        <v>1471</v>
      </c>
      <c r="CA17" s="972" t="s">
        <v>1472</v>
      </c>
      <c r="CD17" s="972" t="s">
        <v>1473</v>
      </c>
    </row>
    <row r="18" spans="1:82" ht="21" customHeight="1">
      <c r="A18" s="979" t="s">
        <v>1474</v>
      </c>
      <c r="B18" s="980">
        <v>2016</v>
      </c>
      <c r="I18" s="981" t="s">
        <v>1475</v>
      </c>
      <c r="N18" s="1058" t="s">
        <v>1476</v>
      </c>
      <c r="X18" s="992"/>
      <c r="AW18" s="1023" t="s">
        <v>97</v>
      </c>
      <c r="AX18" s="1023" t="s">
        <v>97</v>
      </c>
      <c r="BB18" s="1023" t="s">
        <v>1477</v>
      </c>
      <c r="BC18" s="1023" t="s">
        <v>1320</v>
      </c>
      <c r="BE18" s="1023">
        <v>2016</v>
      </c>
      <c r="BH18" s="973" t="s">
        <v>1421</v>
      </c>
      <c r="BJ18" s="1121" t="s">
        <v>1478</v>
      </c>
      <c r="BL18" s="1121" t="s">
        <v>1478</v>
      </c>
      <c r="BN18" s="973" t="s">
        <v>1479</v>
      </c>
      <c r="BQ18" s="1347" t="s">
        <v>1292</v>
      </c>
      <c r="BR18" s="1059" t="s">
        <v>1293</v>
      </c>
      <c r="BS18" s="193"/>
      <c r="BT18" s="1347" t="s">
        <v>1480</v>
      </c>
      <c r="BU18" s="1059" t="s">
        <v>1481</v>
      </c>
      <c r="BV18" s="975"/>
      <c r="BW18" s="1608" t="s">
        <v>1482</v>
      </c>
      <c r="BX18" s="1602" t="s">
        <v>1483</v>
      </c>
      <c r="BZ18" s="1347" t="s">
        <v>1484</v>
      </c>
      <c r="CA18" s="1059" t="s">
        <v>1485</v>
      </c>
      <c r="CC18" s="1347" t="s">
        <v>1486</v>
      </c>
      <c r="CD18" s="1059" t="s">
        <v>1487</v>
      </c>
    </row>
    <row r="19" spans="1:82" ht="21" customHeight="1">
      <c r="A19" s="1781" t="s">
        <v>1488</v>
      </c>
      <c r="B19" s="980">
        <v>2017</v>
      </c>
      <c r="I19" s="981" t="s">
        <v>1489</v>
      </c>
      <c r="N19" s="1058" t="s">
        <v>1490</v>
      </c>
      <c r="X19" s="992"/>
      <c r="AW19" s="1023" t="s">
        <v>1475</v>
      </c>
      <c r="AX19" s="1023" t="s">
        <v>1475</v>
      </c>
      <c r="AZ19" s="972" t="s">
        <v>1491</v>
      </c>
      <c r="BB19" s="1023" t="s">
        <v>1492</v>
      </c>
      <c r="BC19" s="1023" t="s">
        <v>1320</v>
      </c>
      <c r="BE19" s="1023">
        <v>2017</v>
      </c>
      <c r="BH19" s="973" t="s">
        <v>1493</v>
      </c>
      <c r="BJ19" s="1121" t="s">
        <v>1494</v>
      </c>
      <c r="BL19" s="1121" t="s">
        <v>1494</v>
      </c>
      <c r="BQ19" s="1201">
        <v>4190064</v>
      </c>
      <c r="BR19" s="973" t="s">
        <v>1495</v>
      </c>
      <c r="BS19" s="1344"/>
      <c r="BT19" s="1201">
        <v>4189671</v>
      </c>
      <c r="BU19" s="973" t="s">
        <v>1496</v>
      </c>
      <c r="BV19" s="975"/>
      <c r="BW19" s="1606">
        <v>4189706</v>
      </c>
      <c r="BX19" s="1604" t="s">
        <v>1497</v>
      </c>
      <c r="BZ19" s="1201">
        <v>4189714</v>
      </c>
      <c r="CA19" s="973" t="s">
        <v>1498</v>
      </c>
      <c r="CC19" s="1201">
        <v>4189708</v>
      </c>
      <c r="CD19" s="973" t="s">
        <v>1499</v>
      </c>
    </row>
    <row r="20" spans="1:82" ht="21" customHeight="1">
      <c r="A20" s="979" t="s">
        <v>1500</v>
      </c>
      <c r="B20" s="980">
        <v>2018</v>
      </c>
      <c r="I20" s="981" t="s">
        <v>1501</v>
      </c>
      <c r="N20" s="1058" t="s">
        <v>1502</v>
      </c>
      <c r="AW20" s="1023" t="s">
        <v>1489</v>
      </c>
      <c r="AX20" s="1023" t="s">
        <v>1489</v>
      </c>
      <c r="AZ20" s="1023" t="s">
        <v>1503</v>
      </c>
      <c r="BB20" s="1023" t="s">
        <v>1504</v>
      </c>
      <c r="BC20" s="1023" t="s">
        <v>1436</v>
      </c>
      <c r="BE20" s="1023">
        <v>2018</v>
      </c>
      <c r="BH20" s="973" t="s">
        <v>1432</v>
      </c>
      <c r="BJ20" s="973" t="s">
        <v>1360</v>
      </c>
      <c r="BL20" s="973" t="s">
        <v>1360</v>
      </c>
      <c r="BQ20" s="1201">
        <v>4190065</v>
      </c>
      <c r="BR20" s="973" t="s">
        <v>1505</v>
      </c>
      <c r="BS20" s="1344"/>
      <c r="BT20" s="1201">
        <v>4189672</v>
      </c>
      <c r="BU20" s="973" t="s">
        <v>1506</v>
      </c>
      <c r="BV20" s="975"/>
      <c r="BW20" s="1606">
        <v>4189705</v>
      </c>
      <c r="BX20" s="1604" t="s">
        <v>1507</v>
      </c>
      <c r="BZ20" s="1201">
        <v>4189713</v>
      </c>
      <c r="CA20" s="973" t="s">
        <v>1507</v>
      </c>
      <c r="CC20" s="1201">
        <v>4189709</v>
      </c>
      <c r="CD20" s="973" t="s">
        <v>1508</v>
      </c>
    </row>
    <row r="21" spans="1:82" ht="21" customHeight="1">
      <c r="A21" s="979" t="s">
        <v>1509</v>
      </c>
      <c r="B21" s="980">
        <v>2019</v>
      </c>
      <c r="I21" s="981" t="s">
        <v>1510</v>
      </c>
      <c r="N21" s="1058" t="s">
        <v>1511</v>
      </c>
      <c r="AW21" s="1023" t="s">
        <v>1501</v>
      </c>
      <c r="AX21" s="1023" t="s">
        <v>1501</v>
      </c>
      <c r="AZ21" s="1023" t="s">
        <v>1512</v>
      </c>
      <c r="BB21" s="1023" t="s">
        <v>1513</v>
      </c>
      <c r="BC21" s="1023" t="s">
        <v>1320</v>
      </c>
      <c r="BE21" s="1023">
        <v>2019</v>
      </c>
      <c r="BH21" s="973" t="s">
        <v>1439</v>
      </c>
      <c r="BJ21" s="973" t="s">
        <v>1375</v>
      </c>
      <c r="BL21" s="973" t="s">
        <v>1375</v>
      </c>
      <c r="BQ21" s="1201">
        <v>4190066</v>
      </c>
      <c r="BR21" s="973" t="s">
        <v>1514</v>
      </c>
      <c r="BS21" s="1344"/>
      <c r="BT21" s="1201">
        <v>4189673</v>
      </c>
      <c r="BU21" s="973" t="s">
        <v>1515</v>
      </c>
      <c r="BV21" s="975"/>
      <c r="BW21" s="1606">
        <v>4189707</v>
      </c>
      <c r="BX21" s="1604" t="s">
        <v>1516</v>
      </c>
      <c r="BZ21" s="1201">
        <v>4189712</v>
      </c>
      <c r="CA21" s="973" t="s">
        <v>1517</v>
      </c>
      <c r="CC21" s="1201">
        <v>4189710</v>
      </c>
      <c r="CD21" s="973" t="s">
        <v>1518</v>
      </c>
    </row>
    <row r="22" spans="1:82" ht="21" customHeight="1">
      <c r="A22" s="979" t="s">
        <v>1519</v>
      </c>
      <c r="B22" s="980">
        <v>2020</v>
      </c>
      <c r="N22" s="1058" t="s">
        <v>1520</v>
      </c>
      <c r="AW22" s="1023" t="s">
        <v>1510</v>
      </c>
      <c r="AX22" s="1023" t="s">
        <v>1510</v>
      </c>
      <c r="AZ22" s="1023" t="s">
        <v>1521</v>
      </c>
      <c r="BB22" s="1023" t="s">
        <v>1522</v>
      </c>
      <c r="BC22" s="1023" t="s">
        <v>1320</v>
      </c>
      <c r="BE22" s="1023">
        <v>2020</v>
      </c>
      <c r="BH22" s="973" t="s">
        <v>1446</v>
      </c>
      <c r="BJ22" s="973" t="s">
        <v>1391</v>
      </c>
      <c r="BL22" s="973" t="s">
        <v>1391</v>
      </c>
      <c r="BQ22" s="1201">
        <v>4190067</v>
      </c>
      <c r="BR22" s="973" t="s">
        <v>1523</v>
      </c>
      <c r="BS22" s="1344"/>
      <c r="BT22" s="1201">
        <v>4189674</v>
      </c>
      <c r="BU22" s="973" t="s">
        <v>1524</v>
      </c>
      <c r="BV22" s="975"/>
      <c r="BW22" s="975"/>
      <c r="CC22" s="1201">
        <v>4189711</v>
      </c>
      <c r="CD22" s="973" t="s">
        <v>283</v>
      </c>
    </row>
    <row r="23" spans="1:82" ht="21" customHeight="1">
      <c r="A23" s="979" t="s">
        <v>1525</v>
      </c>
      <c r="B23" s="980">
        <v>2021</v>
      </c>
      <c r="AW23" s="1023" t="s">
        <v>1526</v>
      </c>
      <c r="AX23" s="1023" t="s">
        <v>1526</v>
      </c>
      <c r="AZ23" s="1023" t="s">
        <v>1527</v>
      </c>
      <c r="BB23" s="1023" t="s">
        <v>1528</v>
      </c>
      <c r="BC23" s="1023" t="s">
        <v>1230</v>
      </c>
      <c r="BE23" s="1023">
        <v>2021</v>
      </c>
      <c r="BH23" s="973" t="s">
        <v>1454</v>
      </c>
      <c r="BJ23" s="973" t="s">
        <v>1407</v>
      </c>
      <c r="BL23" s="973" t="s">
        <v>1407</v>
      </c>
      <c r="BQ23" s="1201">
        <v>4190068</v>
      </c>
      <c r="BR23" s="973" t="s">
        <v>1529</v>
      </c>
      <c r="BS23" s="1344"/>
      <c r="BT23" s="1201">
        <v>4189675</v>
      </c>
      <c r="BU23" s="973" t="s">
        <v>1530</v>
      </c>
      <c r="BV23" s="975"/>
      <c r="BW23" s="975"/>
      <c r="CC23" s="1201">
        <v>5110778</v>
      </c>
      <c r="CD23" s="973" t="s">
        <v>1531</v>
      </c>
    </row>
    <row r="24" spans="1:82" ht="21" customHeight="1">
      <c r="A24" s="979" t="s">
        <v>1532</v>
      </c>
      <c r="B24" s="980">
        <v>2022</v>
      </c>
      <c r="AW24" s="1023" t="s">
        <v>1533</v>
      </c>
      <c r="AX24" s="1023" t="s">
        <v>1533</v>
      </c>
      <c r="AZ24" s="1023" t="s">
        <v>1534</v>
      </c>
      <c r="BB24" s="1023" t="s">
        <v>1535</v>
      </c>
      <c r="BC24" s="1023" t="s">
        <v>1536</v>
      </c>
      <c r="BE24" s="1023">
        <v>2022</v>
      </c>
      <c r="BH24" s="973" t="s">
        <v>1463</v>
      </c>
      <c r="BJ24" s="973" t="s">
        <v>1421</v>
      </c>
      <c r="BL24" s="973" t="s">
        <v>1421</v>
      </c>
      <c r="BQ24" s="1201">
        <v>4190069</v>
      </c>
      <c r="BR24" s="973" t="s">
        <v>1537</v>
      </c>
      <c r="BS24" s="1344"/>
      <c r="BT24" s="1201">
        <v>4189676</v>
      </c>
      <c r="BU24" s="973" t="s">
        <v>1538</v>
      </c>
      <c r="BV24" s="975"/>
      <c r="BW24" s="975"/>
      <c r="CC24" s="1201">
        <v>25575374</v>
      </c>
      <c r="CD24" s="973" t="s">
        <v>1539</v>
      </c>
    </row>
    <row r="25" spans="1:82" ht="11.25" customHeight="1">
      <c r="A25" s="979" t="s">
        <v>1540</v>
      </c>
      <c r="B25" s="980">
        <v>2023</v>
      </c>
      <c r="AW25" s="1023" t="s">
        <v>1541</v>
      </c>
      <c r="AX25" s="1023" t="s">
        <v>1541</v>
      </c>
      <c r="AZ25" s="1023" t="s">
        <v>1542</v>
      </c>
      <c r="BB25" s="1023" t="s">
        <v>1543</v>
      </c>
      <c r="BC25" s="1023" t="s">
        <v>1536</v>
      </c>
      <c r="BE25" s="1023">
        <v>2023</v>
      </c>
      <c r="BH25" s="973" t="s">
        <v>1469</v>
      </c>
      <c r="BJ25" s="973" t="s">
        <v>1493</v>
      </c>
      <c r="BL25" s="973" t="s">
        <v>1493</v>
      </c>
      <c r="BQ25" s="1201">
        <v>4190070</v>
      </c>
      <c r="BR25" s="973" t="s">
        <v>1544</v>
      </c>
      <c r="BS25" s="1344"/>
      <c r="BT25" s="1201">
        <v>4189677</v>
      </c>
      <c r="BU25" s="973" t="s">
        <v>1545</v>
      </c>
      <c r="BV25" s="975"/>
      <c r="BW25" s="975"/>
    </row>
    <row r="26" spans="1:82" ht="11.25" customHeight="1">
      <c r="A26" s="979" t="s">
        <v>1546</v>
      </c>
      <c r="B26" s="980">
        <v>2024</v>
      </c>
      <c r="J26" s="1641" t="s">
        <v>1547</v>
      </c>
      <c r="AX26" s="1023" t="s">
        <v>1548</v>
      </c>
      <c r="AZ26" s="1023" t="s">
        <v>1414</v>
      </c>
      <c r="BB26" s="1023" t="s">
        <v>1549</v>
      </c>
      <c r="BC26" s="1023" t="s">
        <v>1536</v>
      </c>
      <c r="BE26" s="1023">
        <v>2024</v>
      </c>
      <c r="BH26" s="973" t="s">
        <v>1479</v>
      </c>
      <c r="BJ26" s="973" t="s">
        <v>1432</v>
      </c>
      <c r="BL26" s="973" t="s">
        <v>1432</v>
      </c>
      <c r="BQ26" s="1201">
        <v>4190071</v>
      </c>
      <c r="BR26" s="973" t="s">
        <v>1550</v>
      </c>
      <c r="BS26" s="1344"/>
      <c r="BV26" s="975"/>
      <c r="BW26" s="975"/>
    </row>
    <row r="27" spans="1:82" ht="11.25" customHeight="1">
      <c r="A27" s="979" t="s">
        <v>1551</v>
      </c>
      <c r="B27" s="980">
        <v>2025</v>
      </c>
      <c r="J27" s="97" t="s">
        <v>417</v>
      </c>
      <c r="AX27" s="1023" t="s">
        <v>1552</v>
      </c>
      <c r="BB27" s="1023" t="s">
        <v>1553</v>
      </c>
      <c r="BC27" s="1023" t="s">
        <v>1536</v>
      </c>
      <c r="BE27" s="1023">
        <v>2025</v>
      </c>
      <c r="BH27" s="975" t="s">
        <v>24</v>
      </c>
      <c r="BJ27" s="973" t="s">
        <v>1439</v>
      </c>
      <c r="BL27" s="973" t="s">
        <v>1439</v>
      </c>
      <c r="BN27" s="975" t="s">
        <v>24</v>
      </c>
      <c r="BQ27" s="1201">
        <v>4190072</v>
      </c>
      <c r="BR27" s="973" t="s">
        <v>1554</v>
      </c>
      <c r="BS27" s="1344"/>
      <c r="BV27" s="975"/>
      <c r="BW27" s="975"/>
    </row>
    <row r="28" spans="1:82" ht="11.25" customHeight="1">
      <c r="A28" s="979" t="s">
        <v>1555</v>
      </c>
      <c r="D28" s="1004"/>
      <c r="E28" s="1005"/>
      <c r="F28" s="1005"/>
      <c r="H28" s="1006" t="s">
        <v>1556</v>
      </c>
      <c r="AX28" s="1023" t="s">
        <v>1557</v>
      </c>
      <c r="AZ28" s="972" t="s">
        <v>1558</v>
      </c>
      <c r="BB28" s="1023" t="s">
        <v>1559</v>
      </c>
      <c r="BC28" s="1023" t="s">
        <v>1560</v>
      </c>
      <c r="BE28" s="1023">
        <v>2026</v>
      </c>
      <c r="BH28" s="975" t="s">
        <v>24</v>
      </c>
      <c r="BJ28" s="973" t="s">
        <v>1446</v>
      </c>
      <c r="BL28" s="973" t="s">
        <v>1446</v>
      </c>
      <c r="BN28" s="975" t="s">
        <v>24</v>
      </c>
      <c r="BQ28" s="1201">
        <v>4190073</v>
      </c>
      <c r="BR28" s="973" t="s">
        <v>1561</v>
      </c>
      <c r="BS28" s="1344"/>
      <c r="BV28" s="975"/>
      <c r="BW28" s="975"/>
    </row>
    <row r="29" spans="1:82" ht="11.25" customHeight="1">
      <c r="A29" s="979" t="s">
        <v>1562</v>
      </c>
      <c r="D29" s="1007" t="s">
        <v>1563</v>
      </c>
      <c r="E29" s="1008">
        <f>IF(TEMPLATE_GROUP="","",INDEX(StartDateList,MATCH(TEMPLATE_GROUP,CodeTemplateList,0),1))</f>
        <v>45292.463877314818</v>
      </c>
      <c r="F29" s="1008">
        <f>IF(TEMPLATE_GROUP="","",INDEX(EndDateList,MATCH(TEMPLATE_GROUP,CodeTemplateList,0),1))</f>
        <v>49856.463958333334</v>
      </c>
      <c r="H29" s="1009" t="s">
        <v>1564</v>
      </c>
      <c r="AX29" s="1023" t="s">
        <v>1565</v>
      </c>
      <c r="AZ29" s="1023" t="s">
        <v>1215</v>
      </c>
      <c r="BB29" s="1023" t="s">
        <v>1414</v>
      </c>
      <c r="BC29" s="995"/>
      <c r="BE29" s="1023">
        <v>2027</v>
      </c>
      <c r="BJ29" s="973" t="s">
        <v>1454</v>
      </c>
      <c r="BL29" s="973" t="s">
        <v>1454</v>
      </c>
    </row>
    <row r="30" spans="1:82" ht="11.25" customHeight="1">
      <c r="A30" s="979" t="s">
        <v>1566</v>
      </c>
      <c r="D30" s="1010"/>
      <c r="E30" s="1011"/>
      <c r="F30" s="1011"/>
      <c r="AX30" s="1023" t="s">
        <v>1567</v>
      </c>
      <c r="AZ30" s="1023" t="s">
        <v>1240</v>
      </c>
      <c r="BE30" s="1023">
        <v>2028</v>
      </c>
      <c r="BJ30" s="973" t="s">
        <v>1568</v>
      </c>
      <c r="BL30" s="973" t="s">
        <v>1568</v>
      </c>
    </row>
    <row r="31" spans="1:82" ht="12.75" customHeight="1">
      <c r="A31" s="979" t="s">
        <v>1569</v>
      </c>
      <c r="D31" s="1004"/>
      <c r="E31" s="1005"/>
      <c r="F31" s="1005"/>
      <c r="H31" s="1012"/>
      <c r="AX31" s="1023" t="s">
        <v>1570</v>
      </c>
      <c r="AZ31" s="1023" t="s">
        <v>1571</v>
      </c>
      <c r="BE31" s="1023">
        <v>2029</v>
      </c>
      <c r="BJ31" s="973" t="s">
        <v>1572</v>
      </c>
      <c r="BL31" s="973" t="s">
        <v>1572</v>
      </c>
    </row>
    <row r="32" spans="1:82" ht="11.25" customHeight="1">
      <c r="A32" s="979" t="s">
        <v>1573</v>
      </c>
      <c r="D32" s="1007" t="s">
        <v>1574</v>
      </c>
      <c r="E32" s="1008">
        <f>IF(TEMPLATE_GROUP="","",INDEX(StartDateList,MATCH(TEMPLATE_GROUP,CodeTemplateList,0),1))</f>
        <v>45292.463877314818</v>
      </c>
      <c r="F32" s="1008">
        <f>IF(TEMPLATE_GROUP="","",INDEX(EndDateList,MATCH(TEMPLATE_GROUP,CodeTemplateList,0),1))</f>
        <v>49856.463958333334</v>
      </c>
      <c r="H32" s="1013" t="s">
        <v>1575</v>
      </c>
      <c r="O32" s="979" t="s">
        <v>439</v>
      </c>
      <c r="AX32" s="1023" t="s">
        <v>1576</v>
      </c>
      <c r="AZ32" s="1023" t="s">
        <v>1308</v>
      </c>
      <c r="BE32" s="1023">
        <v>2030</v>
      </c>
      <c r="BJ32" s="973" t="s">
        <v>1463</v>
      </c>
      <c r="BL32" s="973" t="s">
        <v>1463</v>
      </c>
    </row>
    <row r="33" spans="1:66" ht="11.25" customHeight="1">
      <c r="A33" s="979" t="s">
        <v>1577</v>
      </c>
      <c r="O33" s="979" t="s">
        <v>1238</v>
      </c>
      <c r="AX33" s="1023" t="s">
        <v>1578</v>
      </c>
      <c r="AZ33" s="1023" t="s">
        <v>438</v>
      </c>
      <c r="BE33" s="1023">
        <v>2031</v>
      </c>
      <c r="BJ33" s="973" t="s">
        <v>1469</v>
      </c>
      <c r="BL33" s="973" t="s">
        <v>1469</v>
      </c>
    </row>
    <row r="34" spans="1:66" ht="11.25" customHeight="1">
      <c r="A34" s="979" t="s">
        <v>1579</v>
      </c>
      <c r="O34" s="979" t="s">
        <v>1273</v>
      </c>
      <c r="AX34" s="1023" t="s">
        <v>1580</v>
      </c>
      <c r="BE34" s="1023">
        <v>2032</v>
      </c>
      <c r="BJ34" s="973" t="s">
        <v>1479</v>
      </c>
      <c r="BL34" s="973" t="s">
        <v>1479</v>
      </c>
    </row>
    <row r="35" spans="1:66" ht="11.25" customHeight="1">
      <c r="A35" s="979" t="s">
        <v>1581</v>
      </c>
      <c r="O35" s="979" t="s">
        <v>1306</v>
      </c>
      <c r="AX35" s="1023" t="s">
        <v>1582</v>
      </c>
      <c r="AZ35" s="972" t="s">
        <v>1583</v>
      </c>
      <c r="BE35" s="1023">
        <v>2033</v>
      </c>
      <c r="BL35" s="973" t="s">
        <v>1584</v>
      </c>
    </row>
    <row r="36" spans="1:66" ht="11.25" customHeight="1">
      <c r="A36" s="1781" t="s">
        <v>1585</v>
      </c>
      <c r="D36" s="1014" t="s">
        <v>1586</v>
      </c>
      <c r="E36" s="1015" t="s">
        <v>705</v>
      </c>
      <c r="F36" s="1016" t="str">
        <f>INDEX(E37:E41,MATCH(TEMPLATE_SPHERE,F37:F41,0))</f>
        <v>теплоснабжения</v>
      </c>
      <c r="G36" s="1016" t="str">
        <f>INDEX(G37:G41,MATCH(TEMPLATE_SPHERE,F37:F41,0))</f>
        <v>теплоснабжение</v>
      </c>
      <c r="O36" s="979" t="s">
        <v>1331</v>
      </c>
      <c r="AX36" s="1023" t="s">
        <v>1587</v>
      </c>
      <c r="AZ36" s="1023" t="s">
        <v>438</v>
      </c>
      <c r="BE36" s="1023">
        <v>2034</v>
      </c>
      <c r="BL36" s="973" t="s">
        <v>1588</v>
      </c>
    </row>
    <row r="37" spans="1:66" ht="11.25" customHeight="1">
      <c r="A37" s="979" t="s">
        <v>1589</v>
      </c>
      <c r="E37" s="341" t="s">
        <v>1590</v>
      </c>
      <c r="F37" s="1017" t="s">
        <v>705</v>
      </c>
      <c r="G37" s="341" t="s">
        <v>1591</v>
      </c>
      <c r="O37" s="979" t="s">
        <v>1350</v>
      </c>
      <c r="AX37" s="1023" t="s">
        <v>1592</v>
      </c>
      <c r="AZ37" s="1023" t="s">
        <v>1239</v>
      </c>
      <c r="BE37" s="1023">
        <v>2035</v>
      </c>
    </row>
    <row r="38" spans="1:66" ht="11.25" customHeight="1">
      <c r="A38" s="979" t="s">
        <v>1593</v>
      </c>
      <c r="E38" s="341" t="s">
        <v>1594</v>
      </c>
      <c r="F38" s="1018" t="s">
        <v>751</v>
      </c>
      <c r="G38" s="341" t="s">
        <v>1595</v>
      </c>
      <c r="O38" s="979" t="s">
        <v>1366</v>
      </c>
      <c r="AX38" s="1023" t="s">
        <v>1596</v>
      </c>
      <c r="AZ38" s="1023" t="s">
        <v>1274</v>
      </c>
      <c r="BE38" s="1023">
        <v>2036</v>
      </c>
      <c r="BH38" s="972" t="s">
        <v>1597</v>
      </c>
      <c r="BJ38" s="972" t="s">
        <v>1598</v>
      </c>
      <c r="BL38" s="972" t="s">
        <v>1599</v>
      </c>
      <c r="BN38" s="972" t="s">
        <v>1600</v>
      </c>
    </row>
    <row r="39" spans="1:66" ht="11.25" customHeight="1">
      <c r="A39" s="979" t="s">
        <v>1601</v>
      </c>
      <c r="E39" s="341" t="s">
        <v>1602</v>
      </c>
      <c r="F39" s="1018" t="s">
        <v>803</v>
      </c>
      <c r="G39" s="341" t="s">
        <v>1603</v>
      </c>
      <c r="O39" s="979" t="s">
        <v>1382</v>
      </c>
      <c r="AX39" s="1023" t="s">
        <v>1604</v>
      </c>
      <c r="AZ39" s="1023" t="s">
        <v>1307</v>
      </c>
      <c r="BE39" s="1023">
        <v>2037</v>
      </c>
      <c r="BH39" s="973" t="s">
        <v>1605</v>
      </c>
      <c r="BJ39" s="1121" t="s">
        <v>1605</v>
      </c>
      <c r="BL39" s="1121" t="s">
        <v>1605</v>
      </c>
      <c r="BN39" s="973" t="s">
        <v>1606</v>
      </c>
    </row>
    <row r="40" spans="1:66" ht="11.25" customHeight="1">
      <c r="A40" s="979" t="s">
        <v>1607</v>
      </c>
      <c r="E40" s="341" t="s">
        <v>1608</v>
      </c>
      <c r="F40" s="1018" t="s">
        <v>789</v>
      </c>
      <c r="G40" s="341" t="s">
        <v>1609</v>
      </c>
      <c r="O40" s="979" t="s">
        <v>1398</v>
      </c>
      <c r="AX40" s="1023" t="s">
        <v>1610</v>
      </c>
      <c r="BE40" s="1023">
        <v>2038</v>
      </c>
      <c r="BH40" s="973" t="s">
        <v>1611</v>
      </c>
      <c r="BJ40" s="1121" t="s">
        <v>924</v>
      </c>
      <c r="BL40" s="1121" t="s">
        <v>924</v>
      </c>
      <c r="BN40" s="973" t="s">
        <v>958</v>
      </c>
    </row>
    <row r="41" spans="1:66" ht="11.25" customHeight="1">
      <c r="A41" s="979" t="s">
        <v>1612</v>
      </c>
      <c r="E41" s="341" t="s">
        <v>1613</v>
      </c>
      <c r="F41" s="1018" t="s">
        <v>1614</v>
      </c>
      <c r="G41" s="341" t="s">
        <v>1613</v>
      </c>
      <c r="O41" s="979" t="s">
        <v>1414</v>
      </c>
      <c r="AX41" s="1023" t="s">
        <v>1615</v>
      </c>
      <c r="AZ41" s="972" t="s">
        <v>1616</v>
      </c>
      <c r="BE41" s="1023">
        <v>2039</v>
      </c>
      <c r="BH41" s="973" t="s">
        <v>1617</v>
      </c>
      <c r="BJ41" s="1121" t="s">
        <v>920</v>
      </c>
      <c r="BL41" s="1121" t="s">
        <v>920</v>
      </c>
      <c r="BN41" s="973" t="s">
        <v>945</v>
      </c>
    </row>
    <row r="42" spans="1:66" ht="11.25" customHeight="1">
      <c r="A42" s="979" t="s">
        <v>1618</v>
      </c>
      <c r="AX42" s="1023" t="s">
        <v>1619</v>
      </c>
      <c r="AZ42" s="1023" t="s">
        <v>439</v>
      </c>
      <c r="BE42" s="1023">
        <v>2040</v>
      </c>
      <c r="BH42" s="973" t="s">
        <v>942</v>
      </c>
      <c r="BJ42" s="1121" t="s">
        <v>922</v>
      </c>
      <c r="BL42" s="1121" t="s">
        <v>922</v>
      </c>
      <c r="BN42" s="973" t="s">
        <v>1620</v>
      </c>
    </row>
    <row r="43" spans="1:66" ht="11.25" customHeight="1">
      <c r="A43" s="979" t="s">
        <v>1621</v>
      </c>
      <c r="AX43" s="1023" t="s">
        <v>1622</v>
      </c>
      <c r="AZ43" s="1023" t="s">
        <v>1238</v>
      </c>
      <c r="BE43" s="1023">
        <v>2041</v>
      </c>
      <c r="BH43" s="973" t="s">
        <v>1623</v>
      </c>
      <c r="BJ43" s="1121" t="s">
        <v>1617</v>
      </c>
      <c r="BL43" s="1121" t="s">
        <v>1617</v>
      </c>
      <c r="BN43" s="973" t="s">
        <v>1624</v>
      </c>
    </row>
    <row r="44" spans="1:66" ht="11.25" customHeight="1">
      <c r="A44" s="979" t="s">
        <v>1625</v>
      </c>
      <c r="I44" s="716" t="s">
        <v>1626</v>
      </c>
      <c r="J44" s="994" t="s">
        <v>1627</v>
      </c>
      <c r="K44" s="994" t="s">
        <v>1628</v>
      </c>
      <c r="AX44" s="1023" t="s">
        <v>1629</v>
      </c>
      <c r="AZ44" s="1023" t="s">
        <v>1273</v>
      </c>
      <c r="BE44" s="1023">
        <v>2042</v>
      </c>
      <c r="BH44" s="973" t="s">
        <v>1630</v>
      </c>
      <c r="BJ44" s="1121" t="s">
        <v>942</v>
      </c>
      <c r="BL44" s="1121" t="s">
        <v>942</v>
      </c>
      <c r="BN44" s="973" t="s">
        <v>1631</v>
      </c>
    </row>
    <row r="45" spans="1:66" ht="11.25" customHeight="1">
      <c r="A45" s="979" t="s">
        <v>1632</v>
      </c>
      <c r="D45" s="1014" t="s">
        <v>1633</v>
      </c>
      <c r="E45" s="1015" t="s">
        <v>1634</v>
      </c>
      <c r="F45" s="714" t="s">
        <v>1635</v>
      </c>
      <c r="G45" s="713" t="s">
        <v>1636</v>
      </c>
      <c r="H45" s="716" t="s">
        <v>1637</v>
      </c>
      <c r="I45" s="1651" t="b">
        <f>INDEX(PeriodIsEmptyList,MATCH(TEMPLATE_GROUP,CodeTemplateList,0),1)</f>
        <v>0</v>
      </c>
      <c r="J45" s="165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5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3" t="s">
        <v>1638</v>
      </c>
      <c r="AZ45" s="1023" t="s">
        <v>1306</v>
      </c>
      <c r="BE45" s="1023">
        <v>2043</v>
      </c>
      <c r="BH45" s="973" t="s">
        <v>1639</v>
      </c>
      <c r="BJ45" s="1121" t="s">
        <v>936</v>
      </c>
      <c r="BL45" s="1121" t="s">
        <v>936</v>
      </c>
      <c r="BN45" s="973" t="s">
        <v>1640</v>
      </c>
    </row>
    <row r="46" spans="1:66" ht="11.25" customHeight="1">
      <c r="A46" s="979" t="s">
        <v>1641</v>
      </c>
      <c r="E46" s="341" t="s">
        <v>22</v>
      </c>
      <c r="F46" s="1017" t="s">
        <v>1642</v>
      </c>
      <c r="G46" s="1019"/>
      <c r="H46" s="1019"/>
      <c r="I46" s="1652" t="b">
        <f>IF(TITLE_DATE_FIL="",TRUE,FALSE)</f>
        <v>1</v>
      </c>
      <c r="J46" s="1655" t="str">
        <f>"Общая информация о регулируемой организации ("&amp;TEMPLATE_SPHERE_RUS&amp;")"</f>
        <v>Общая информация о регулируемой организации (теплоснабжения)</v>
      </c>
      <c r="K46" s="1656"/>
      <c r="AX46" s="1023" t="s">
        <v>1643</v>
      </c>
      <c r="AZ46" s="1023" t="s">
        <v>1331</v>
      </c>
      <c r="BE46" s="1023">
        <v>2044</v>
      </c>
      <c r="BH46" s="973" t="s">
        <v>945</v>
      </c>
      <c r="BJ46" s="1121" t="s">
        <v>926</v>
      </c>
      <c r="BL46" s="1121" t="s">
        <v>926</v>
      </c>
      <c r="BN46" s="973" t="s">
        <v>1644</v>
      </c>
    </row>
    <row r="47" spans="1:66" ht="11.25" customHeight="1">
      <c r="A47" s="979" t="s">
        <v>1645</v>
      </c>
      <c r="E47" s="341" t="s">
        <v>29</v>
      </c>
      <c r="F47" s="1018" t="s">
        <v>1646</v>
      </c>
      <c r="G47" s="1020" t="str">
        <f>IF(f_year="","",IF(LEN(f_quart)=0,"",IF(f_quart="I квартал","01.01."&amp;f_year,IF(f_quart="II квартал","01.04."&amp;f_year,(IF(f_quart="III квартал","01.07."&amp;f_year,"01.10."&amp;f_year))))))</f>
        <v/>
      </c>
      <c r="H47" s="1020" t="str">
        <f>IF(f_year="","",IF(LEN(f_quart)=0,"",IF(f_quart="I квартал","31.03."&amp;f_year,IF(f_quart="II квартал","30.06."&amp;f_year,(IF(f_quart="III квартал","30.09."&amp;f_year,"31.12."&amp;f_year))))))</f>
        <v/>
      </c>
      <c r="I47" s="1653" t="b">
        <f>IF(OR(f_year="",f_quart=""),TRUE,FALSE)</f>
        <v>1</v>
      </c>
      <c r="J47" s="165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56"/>
      <c r="AX47" s="1023" t="s">
        <v>1647</v>
      </c>
      <c r="AZ47" s="1023" t="s">
        <v>1350</v>
      </c>
      <c r="BE47" s="1023">
        <v>2045</v>
      </c>
      <c r="BH47" s="973" t="s">
        <v>1620</v>
      </c>
      <c r="BJ47" s="1121" t="s">
        <v>928</v>
      </c>
      <c r="BL47" s="1121" t="s">
        <v>928</v>
      </c>
      <c r="BN47" s="973" t="s">
        <v>1648</v>
      </c>
    </row>
    <row r="48" spans="1:66" ht="11.25" customHeight="1">
      <c r="A48" s="979" t="s">
        <v>1649</v>
      </c>
      <c r="E48" s="341" t="s">
        <v>1650</v>
      </c>
      <c r="F48" s="1018" t="s">
        <v>1651</v>
      </c>
      <c r="G48" s="1020" t="str">
        <f>IF(f_year="","","01.01."&amp;f_year)</f>
        <v/>
      </c>
      <c r="H48" s="1020" t="str">
        <f>IF(f_year="","","31.12."&amp;f_year)</f>
        <v/>
      </c>
      <c r="I48" s="1652" t="b">
        <f>IF(f_year="",TRUE,FALSE)</f>
        <v>1</v>
      </c>
      <c r="J48" s="1655" t="s">
        <v>1652</v>
      </c>
      <c r="K48" s="1656"/>
      <c r="AX48" s="1023" t="s">
        <v>1653</v>
      </c>
      <c r="AZ48" s="1023" t="s">
        <v>1366</v>
      </c>
      <c r="BE48" s="1023">
        <v>2046</v>
      </c>
      <c r="BH48" s="973" t="s">
        <v>1624</v>
      </c>
      <c r="BJ48" s="1121" t="s">
        <v>930</v>
      </c>
      <c r="BL48" s="1121" t="s">
        <v>930</v>
      </c>
      <c r="BN48" s="973" t="s">
        <v>1654</v>
      </c>
    </row>
    <row r="49" spans="1:64" ht="11.25" customHeight="1">
      <c r="A49" s="979" t="s">
        <v>1655</v>
      </c>
      <c r="E49" s="341" t="s">
        <v>1656</v>
      </c>
      <c r="F49" s="1018" t="s">
        <v>1657</v>
      </c>
      <c r="G49" s="1020" t="str">
        <f>IF(f_year="","","01.01."&amp;f_year)</f>
        <v/>
      </c>
      <c r="H49" s="1020" t="str">
        <f>IF(f_year="","","31.12."&amp;f_year)</f>
        <v/>
      </c>
      <c r="I49" s="1652" t="b">
        <f>IF(f_year="",TRUE,FALSE)</f>
        <v>1</v>
      </c>
      <c r="J49" s="165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56"/>
      <c r="AX49" s="1023" t="s">
        <v>1658</v>
      </c>
      <c r="AZ49" s="1023" t="s">
        <v>1382</v>
      </c>
      <c r="BE49" s="1023">
        <v>2047</v>
      </c>
      <c r="BH49" s="973" t="s">
        <v>946</v>
      </c>
      <c r="BJ49" s="1121" t="s">
        <v>932</v>
      </c>
      <c r="BL49" s="1121" t="s">
        <v>932</v>
      </c>
    </row>
    <row r="50" spans="1:64" ht="11.25" customHeight="1">
      <c r="A50" s="979" t="s">
        <v>1659</v>
      </c>
      <c r="E50" s="341" t="s">
        <v>1660</v>
      </c>
      <c r="F50" s="1018" t="s">
        <v>916</v>
      </c>
      <c r="G50" s="1020" t="str">
        <f>IF(f_year="","","01.01."&amp;f_year)</f>
        <v/>
      </c>
      <c r="H50" s="1020" t="str">
        <f>IF(f_year="","","31.12."&amp;f_year)</f>
        <v/>
      </c>
      <c r="I50" s="1652" t="b">
        <f>IF(f_year="",TRUE,FALSE)</f>
        <v>1</v>
      </c>
      <c r="J50" s="165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56"/>
      <c r="AX50" s="1023" t="s">
        <v>1661</v>
      </c>
      <c r="AZ50" s="1023" t="s">
        <v>1398</v>
      </c>
      <c r="BE50" s="1023">
        <v>2048</v>
      </c>
      <c r="BH50" s="973" t="s">
        <v>1631</v>
      </c>
      <c r="BJ50" s="1121" t="s">
        <v>934</v>
      </c>
      <c r="BL50" s="1121" t="s">
        <v>934</v>
      </c>
    </row>
    <row r="51" spans="1:64" ht="11.25" customHeight="1">
      <c r="A51" s="979" t="s">
        <v>1662</v>
      </c>
      <c r="E51" s="341" t="s">
        <v>1663</v>
      </c>
      <c r="F51" s="1018" t="s">
        <v>1634</v>
      </c>
      <c r="G51" s="1020">
        <f>IF(TITLE_PERIOD_START="","",TITLE_PERIOD_START)</f>
        <v>45292.463877314818</v>
      </c>
      <c r="H51" s="1020">
        <f>IF(TITLE_PERIOD_END="","",TITLE_PERIOD_END)</f>
        <v>49856.463958333334</v>
      </c>
      <c r="I51" s="1653" t="b">
        <f>IF(OR(TITLE_PERIOD_START="",TITLE_PERIOD_END=""),TRUE,FALSE)</f>
        <v>0</v>
      </c>
      <c r="J51" s="165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6"/>
      <c r="AX51" s="1023" t="s">
        <v>1664</v>
      </c>
      <c r="AZ51" s="1023" t="s">
        <v>1414</v>
      </c>
      <c r="BE51" s="1023">
        <v>2049</v>
      </c>
      <c r="BH51" s="973" t="s">
        <v>1640</v>
      </c>
      <c r="BJ51" s="1121" t="s">
        <v>1665</v>
      </c>
      <c r="BL51" s="1121" t="s">
        <v>1665</v>
      </c>
    </row>
    <row r="52" spans="1:64" ht="11.25" customHeight="1">
      <c r="A52" s="979" t="s">
        <v>1666</v>
      </c>
      <c r="E52" s="341" t="s">
        <v>1667</v>
      </c>
      <c r="F52" s="1018" t="s">
        <v>1668</v>
      </c>
      <c r="G52" s="1020">
        <f>IF(TITLE_PERIOD_START="","",TITLE_PERIOD_START)</f>
        <v>45292.463877314818</v>
      </c>
      <c r="H52" s="1020">
        <f>IF(TITLE_PERIOD_END="","",TITLE_PERIOD_END)</f>
        <v>49856.463958333334</v>
      </c>
      <c r="I52" s="1653" t="b">
        <f>IF(OR(TITLE_PERIOD_START="",TITLE_PERIOD_END=""),TRUE,FALSE)</f>
        <v>0</v>
      </c>
      <c r="J52" s="1655" t="str">
        <f>"Показатели, подлежащие раскрытию в сфере "&amp;TEMPLATE_SPHERE_RUS&amp;" (цены и тарифы)"</f>
        <v>Показатели, подлежащие раскрытию в сфере теплоснабжения (цены и тарифы)</v>
      </c>
      <c r="K52" s="1656"/>
      <c r="AX52" s="1023" t="s">
        <v>1669</v>
      </c>
      <c r="AZ52" s="1023" t="s">
        <v>438</v>
      </c>
      <c r="BE52" s="1023">
        <v>2050</v>
      </c>
      <c r="BH52" s="973" t="s">
        <v>1644</v>
      </c>
      <c r="BJ52" s="1121" t="s">
        <v>945</v>
      </c>
      <c r="BL52" s="1121" t="s">
        <v>945</v>
      </c>
    </row>
    <row r="53" spans="1:64" ht="11.25" customHeight="1">
      <c r="A53" s="979" t="s">
        <v>1670</v>
      </c>
      <c r="E53" s="341" t="s">
        <v>1671</v>
      </c>
      <c r="F53" s="1018" t="s">
        <v>1671</v>
      </c>
      <c r="G53" s="1020" t="str">
        <f>IF(f_year="","","01.01."&amp;f_year)</f>
        <v/>
      </c>
      <c r="H53" s="1020" t="str">
        <f>IF(f_year="","","31.12."&amp;f_year)</f>
        <v/>
      </c>
      <c r="I53" s="1652" t="b">
        <f>IF(AND(f_year="",TITLE_DATE_FIL=""),TRUE,FALSE)</f>
        <v>1</v>
      </c>
      <c r="J53" s="1655" t="s">
        <v>1672</v>
      </c>
      <c r="K53" s="1656"/>
      <c r="AX53" s="1023" t="s">
        <v>1673</v>
      </c>
      <c r="BE53" s="1023">
        <v>2051</v>
      </c>
      <c r="BH53" s="973" t="s">
        <v>1648</v>
      </c>
      <c r="BJ53" s="1121" t="s">
        <v>1620</v>
      </c>
      <c r="BL53" s="1121" t="s">
        <v>1620</v>
      </c>
    </row>
    <row r="54" spans="1:64" ht="11.25" customHeight="1">
      <c r="A54" s="979" t="s">
        <v>1674</v>
      </c>
      <c r="AX54" s="1023" t="s">
        <v>1675</v>
      </c>
      <c r="AZ54" s="972" t="s">
        <v>1676</v>
      </c>
      <c r="BE54" s="1023">
        <v>2052</v>
      </c>
      <c r="BH54" s="973" t="s">
        <v>1654</v>
      </c>
      <c r="BJ54" s="1121" t="s">
        <v>1624</v>
      </c>
      <c r="BL54" s="1121" t="s">
        <v>1624</v>
      </c>
    </row>
    <row r="55" spans="1:64" ht="11.25" customHeight="1">
      <c r="A55" s="979" t="s">
        <v>1677</v>
      </c>
      <c r="AX55" s="1023" t="s">
        <v>1678</v>
      </c>
      <c r="AZ55" s="1023" t="s">
        <v>1216</v>
      </c>
      <c r="BE55" s="1023">
        <v>2053</v>
      </c>
      <c r="BH55" s="975" t="s">
        <v>24</v>
      </c>
      <c r="BJ55" s="1121" t="s">
        <v>946</v>
      </c>
      <c r="BL55" s="1121" t="s">
        <v>946</v>
      </c>
    </row>
    <row r="56" spans="1:64" ht="11.25" customHeight="1">
      <c r="A56" s="979" t="s">
        <v>1679</v>
      </c>
      <c r="D56" s="1022" t="s">
        <v>1680</v>
      </c>
      <c r="E56" s="999">
        <v>55</v>
      </c>
      <c r="F56" s="979" t="s">
        <v>1681</v>
      </c>
      <c r="AX56" s="1023" t="s">
        <v>1682</v>
      </c>
      <c r="AZ56" s="1023" t="s">
        <v>1241</v>
      </c>
      <c r="BE56" s="1023">
        <v>2054</v>
      </c>
      <c r="BH56" s="975" t="s">
        <v>24</v>
      </c>
      <c r="BJ56" s="1121" t="s">
        <v>1631</v>
      </c>
      <c r="BL56" s="1121" t="s">
        <v>1631</v>
      </c>
    </row>
    <row r="57" spans="1:64" ht="11.25" customHeight="1">
      <c r="A57" s="979" t="s">
        <v>1683</v>
      </c>
      <c r="D57" s="1022" t="s">
        <v>1684</v>
      </c>
      <c r="E57" s="999">
        <v>66</v>
      </c>
      <c r="F57" s="979" t="s">
        <v>1681</v>
      </c>
      <c r="AX57" s="1023" t="s">
        <v>1685</v>
      </c>
      <c r="AZ57" s="1023" t="s">
        <v>1276</v>
      </c>
      <c r="BE57" s="1023">
        <v>2055</v>
      </c>
      <c r="BJ57" s="1121" t="s">
        <v>1640</v>
      </c>
      <c r="BL57" s="1121" t="s">
        <v>1640</v>
      </c>
    </row>
    <row r="58" spans="1:64" ht="11.25" customHeight="1">
      <c r="A58" s="979" t="s">
        <v>1686</v>
      </c>
      <c r="D58" s="1022" t="s">
        <v>1687</v>
      </c>
      <c r="E58" s="999">
        <v>44</v>
      </c>
      <c r="F58" s="979" t="s">
        <v>1681</v>
      </c>
      <c r="AX58" s="1023" t="s">
        <v>1688</v>
      </c>
      <c r="BE58" s="1023">
        <v>2056</v>
      </c>
      <c r="BJ58" s="1121" t="s">
        <v>1644</v>
      </c>
      <c r="BL58" s="1121" t="s">
        <v>1644</v>
      </c>
    </row>
    <row r="59" spans="1:64" ht="11.25" customHeight="1">
      <c r="A59" s="979" t="s">
        <v>1689</v>
      </c>
      <c r="D59" s="1022" t="s">
        <v>129</v>
      </c>
      <c r="E59" s="999" t="s">
        <v>1510</v>
      </c>
      <c r="F59" s="979" t="s">
        <v>1690</v>
      </c>
      <c r="AX59" s="1023" t="s">
        <v>1691</v>
      </c>
      <c r="AZ59" s="972" t="s">
        <v>1692</v>
      </c>
      <c r="BE59" s="1023">
        <v>2057</v>
      </c>
      <c r="BJ59" s="1121" t="s">
        <v>1648</v>
      </c>
      <c r="BL59" s="1121" t="s">
        <v>1648</v>
      </c>
    </row>
    <row r="60" spans="1:64" ht="11.25" customHeight="1">
      <c r="A60" s="979" t="s">
        <v>1693</v>
      </c>
      <c r="D60" s="1022" t="s">
        <v>1694</v>
      </c>
      <c r="E60" s="999" t="s">
        <v>1510</v>
      </c>
      <c r="F60" s="979" t="s">
        <v>1690</v>
      </c>
      <c r="AX60" s="1023" t="s">
        <v>1695</v>
      </c>
      <c r="AZ60" s="1023" t="s">
        <v>1217</v>
      </c>
      <c r="BE60" s="1023">
        <v>2058</v>
      </c>
      <c r="BJ60" s="1121" t="s">
        <v>1654</v>
      </c>
      <c r="BL60" s="1121" t="s">
        <v>1654</v>
      </c>
    </row>
    <row r="61" spans="1:64" ht="11.25" customHeight="1">
      <c r="A61" s="979" t="s">
        <v>1696</v>
      </c>
      <c r="D61" s="1022" t="s">
        <v>1697</v>
      </c>
      <c r="E61" s="999">
        <v>26</v>
      </c>
      <c r="F61" s="979" t="s">
        <v>1690</v>
      </c>
      <c r="AX61" s="1023" t="s">
        <v>1698</v>
      </c>
      <c r="AZ61" s="1023" t="s">
        <v>1242</v>
      </c>
      <c r="BE61" s="1023">
        <v>2059</v>
      </c>
      <c r="BL61" s="1121" t="s">
        <v>938</v>
      </c>
    </row>
    <row r="62" spans="1:64" ht="11.25" customHeight="1">
      <c r="A62" s="979" t="s">
        <v>1699</v>
      </c>
      <c r="D62" s="1022" t="s">
        <v>128</v>
      </c>
      <c r="E62" s="999">
        <v>30</v>
      </c>
      <c r="F62" s="979" t="s">
        <v>1690</v>
      </c>
      <c r="AZ62" s="1023" t="s">
        <v>1277</v>
      </c>
      <c r="BE62" s="1023">
        <v>2060</v>
      </c>
      <c r="BL62" s="1121" t="s">
        <v>940</v>
      </c>
    </row>
    <row r="63" spans="1:64" ht="11.25" customHeight="1">
      <c r="A63" s="979" t="s">
        <v>1700</v>
      </c>
      <c r="D63" s="1022" t="s">
        <v>1701</v>
      </c>
      <c r="E63" s="999">
        <v>30</v>
      </c>
      <c r="F63" s="979" t="s">
        <v>1690</v>
      </c>
      <c r="AZ63" s="1023" t="s">
        <v>1309</v>
      </c>
      <c r="BE63" s="1023">
        <v>2061</v>
      </c>
    </row>
    <row r="64" spans="1:64" ht="11.25" customHeight="1">
      <c r="A64" s="979" t="s">
        <v>1702</v>
      </c>
      <c r="D64" s="1022" t="s">
        <v>1703</v>
      </c>
      <c r="E64" s="999">
        <v>30</v>
      </c>
      <c r="F64" s="979" t="s">
        <v>1690</v>
      </c>
      <c r="AZ64" s="1023" t="s">
        <v>1332</v>
      </c>
      <c r="BE64" s="1023">
        <v>2062</v>
      </c>
    </row>
    <row r="65" spans="1:66" ht="11.25" customHeight="1">
      <c r="A65" s="979" t="s">
        <v>1704</v>
      </c>
      <c r="D65" s="979"/>
      <c r="BE65" s="1023">
        <v>2063</v>
      </c>
    </row>
    <row r="66" spans="1:66" ht="11.25" customHeight="1">
      <c r="A66" s="979" t="s">
        <v>1705</v>
      </c>
      <c r="AZ66" s="972" t="s">
        <v>1706</v>
      </c>
      <c r="BE66" s="1023">
        <v>2064</v>
      </c>
    </row>
    <row r="67" spans="1:66" ht="11.25" customHeight="1">
      <c r="A67" s="979" t="s">
        <v>1707</v>
      </c>
      <c r="AZ67" s="1023" t="s">
        <v>1218</v>
      </c>
      <c r="BE67" s="1023">
        <v>2065</v>
      </c>
    </row>
    <row r="68" spans="1:66" ht="11.25" customHeight="1">
      <c r="A68" s="979" t="s">
        <v>1708</v>
      </c>
      <c r="AZ68" s="1023" t="s">
        <v>1243</v>
      </c>
      <c r="BE68" s="1023">
        <v>2066</v>
      </c>
      <c r="BH68" s="972" t="s">
        <v>1709</v>
      </c>
      <c r="BJ68" s="972" t="s">
        <v>1710</v>
      </c>
      <c r="BL68" s="972" t="s">
        <v>1711</v>
      </c>
      <c r="BN68" s="972" t="s">
        <v>1712</v>
      </c>
    </row>
    <row r="69" spans="1:66" ht="11.25" customHeight="1">
      <c r="A69" s="979" t="s">
        <v>1713</v>
      </c>
      <c r="AZ69" s="1023" t="s">
        <v>1278</v>
      </c>
      <c r="BE69" s="1023">
        <v>2067</v>
      </c>
      <c r="BH69" s="973" t="s">
        <v>1714</v>
      </c>
      <c r="BI69" s="1021" t="s">
        <v>107</v>
      </c>
      <c r="BJ69" s="973" t="s">
        <v>1715</v>
      </c>
      <c r="BK69" s="1021" t="s">
        <v>107</v>
      </c>
      <c r="BL69" s="973" t="s">
        <v>1716</v>
      </c>
      <c r="BN69" s="973" t="s">
        <v>1717</v>
      </c>
    </row>
    <row r="70" spans="1:66" ht="11.25" customHeight="1">
      <c r="A70" s="979" t="s">
        <v>1718</v>
      </c>
      <c r="AZ70" s="1023" t="s">
        <v>1310</v>
      </c>
      <c r="BE70" s="1023">
        <v>2068</v>
      </c>
      <c r="BH70" s="973" t="s">
        <v>1719</v>
      </c>
      <c r="BJ70" s="973" t="s">
        <v>1720</v>
      </c>
      <c r="BL70" s="973" t="s">
        <v>1721</v>
      </c>
      <c r="BN70" s="973" t="s">
        <v>1722</v>
      </c>
    </row>
    <row r="71" spans="1:66" ht="11.25" customHeight="1">
      <c r="A71" s="979" t="s">
        <v>1723</v>
      </c>
      <c r="AZ71" s="1023" t="s">
        <v>1312</v>
      </c>
      <c r="BE71" s="1023">
        <v>2069</v>
      </c>
      <c r="BH71" s="973" t="s">
        <v>1724</v>
      </c>
      <c r="BI71" s="1021" t="s">
        <v>88</v>
      </c>
      <c r="BJ71" s="973" t="s">
        <v>1725</v>
      </c>
      <c r="BK71" s="1021" t="s">
        <v>88</v>
      </c>
      <c r="BL71" s="973" t="s">
        <v>1726</v>
      </c>
      <c r="BN71" s="973" t="s">
        <v>1727</v>
      </c>
    </row>
    <row r="72" spans="1:66" ht="11.25" customHeight="1">
      <c r="A72" s="979" t="s">
        <v>14</v>
      </c>
      <c r="AZ72" s="1023" t="s">
        <v>55</v>
      </c>
      <c r="BE72" s="1023">
        <v>2070</v>
      </c>
      <c r="BH72" s="973" t="s">
        <v>1728</v>
      </c>
      <c r="BJ72" s="973" t="s">
        <v>1728</v>
      </c>
      <c r="BL72" s="973" t="s">
        <v>1728</v>
      </c>
      <c r="BN72" s="973" t="s">
        <v>1729</v>
      </c>
    </row>
    <row r="73" spans="1:66" ht="11.25" customHeight="1">
      <c r="A73" s="979" t="s">
        <v>1730</v>
      </c>
      <c r="BH73" s="973" t="s">
        <v>1731</v>
      </c>
      <c r="BI73" s="1021" t="s">
        <v>109</v>
      </c>
      <c r="BJ73" s="973" t="s">
        <v>1732</v>
      </c>
      <c r="BK73" s="1021" t="s">
        <v>109</v>
      </c>
      <c r="BL73" s="973" t="s">
        <v>1733</v>
      </c>
      <c r="BN73" s="973" t="s">
        <v>1734</v>
      </c>
    </row>
    <row r="74" spans="1:66" ht="11.25" customHeight="1">
      <c r="A74" s="979" t="s">
        <v>1735</v>
      </c>
      <c r="BH74" s="973" t="s">
        <v>1736</v>
      </c>
      <c r="BJ74" s="973" t="s">
        <v>1737</v>
      </c>
      <c r="BL74" s="973" t="s">
        <v>1738</v>
      </c>
      <c r="BN74" s="973" t="s">
        <v>1739</v>
      </c>
    </row>
    <row r="75" spans="1:66" ht="11.25" customHeight="1">
      <c r="A75" s="979" t="s">
        <v>1740</v>
      </c>
      <c r="AZ75" s="972" t="s">
        <v>1741</v>
      </c>
      <c r="BH75" s="973" t="s">
        <v>1742</v>
      </c>
      <c r="BJ75" s="973" t="s">
        <v>1742</v>
      </c>
      <c r="BL75" s="973" t="s">
        <v>1742</v>
      </c>
    </row>
    <row r="76" spans="1:66" ht="11.25" customHeight="1">
      <c r="A76" s="979" t="s">
        <v>1743</v>
      </c>
      <c r="AZ76" s="1023" t="s">
        <v>1227</v>
      </c>
      <c r="BH76" s="973" t="s">
        <v>1744</v>
      </c>
      <c r="BJ76" s="973" t="s">
        <v>1745</v>
      </c>
      <c r="BL76" s="973" t="s">
        <v>1746</v>
      </c>
    </row>
    <row r="77" spans="1:66" ht="11.25" customHeight="1">
      <c r="A77" s="979" t="s">
        <v>1747</v>
      </c>
      <c r="AZ77" s="1023" t="s">
        <v>1253</v>
      </c>
    </row>
    <row r="78" spans="1:66" ht="11.25" customHeight="1">
      <c r="A78" s="979" t="s">
        <v>1748</v>
      </c>
      <c r="AZ78" s="1023" t="s">
        <v>1285</v>
      </c>
    </row>
    <row r="79" spans="1:66" ht="11.25" customHeight="1">
      <c r="A79" s="979" t="s">
        <v>1749</v>
      </c>
      <c r="AZ79" s="1023" t="s">
        <v>1316</v>
      </c>
      <c r="BH79" s="972" t="s">
        <v>1750</v>
      </c>
      <c r="BJ79" s="972" t="s">
        <v>1751</v>
      </c>
      <c r="BL79" s="972" t="s">
        <v>1752</v>
      </c>
    </row>
    <row r="80" spans="1:66" ht="11.25" customHeight="1">
      <c r="A80" s="979" t="s">
        <v>1753</v>
      </c>
      <c r="AZ80" s="1023" t="s">
        <v>1337</v>
      </c>
      <c r="BH80" s="973" t="s">
        <v>1754</v>
      </c>
      <c r="BJ80" s="973" t="s">
        <v>1755</v>
      </c>
      <c r="BL80" s="973" t="s">
        <v>1756</v>
      </c>
    </row>
    <row r="81" spans="1:66" ht="11.25" customHeight="1">
      <c r="A81" s="979" t="s">
        <v>1757</v>
      </c>
      <c r="AZ81" s="1023" t="s">
        <v>1354</v>
      </c>
      <c r="BH81" s="973" t="s">
        <v>1758</v>
      </c>
      <c r="BJ81" s="973" t="s">
        <v>1759</v>
      </c>
      <c r="BL81" s="973" t="s">
        <v>1760</v>
      </c>
    </row>
    <row r="82" spans="1:66" ht="11.25" customHeight="1">
      <c r="A82" s="979" t="s">
        <v>1761</v>
      </c>
      <c r="AZ82" s="1023" t="s">
        <v>1368</v>
      </c>
      <c r="BH82" s="973" t="s">
        <v>1762</v>
      </c>
      <c r="BJ82" s="973" t="s">
        <v>1763</v>
      </c>
      <c r="BL82" s="973" t="s">
        <v>1764</v>
      </c>
    </row>
    <row r="83" spans="1:66" ht="11.25" customHeight="1">
      <c r="A83" s="979" t="s">
        <v>1765</v>
      </c>
      <c r="BH83" s="973" t="s">
        <v>1766</v>
      </c>
      <c r="BJ83" s="973" t="s">
        <v>1767</v>
      </c>
      <c r="BL83" s="973" t="s">
        <v>1768</v>
      </c>
    </row>
    <row r="84" spans="1:66" ht="11.25" customHeight="1">
      <c r="A84" s="979" t="s">
        <v>1769</v>
      </c>
      <c r="AZ84" s="972" t="s">
        <v>1770</v>
      </c>
    </row>
    <row r="85" spans="1:66" ht="11.25" customHeight="1">
      <c r="A85" s="1781" t="s">
        <v>1771</v>
      </c>
      <c r="AZ85" s="1023" t="s">
        <v>1772</v>
      </c>
    </row>
    <row r="86" spans="1:66" ht="11.25" customHeight="1">
      <c r="A86" s="979" t="s">
        <v>1773</v>
      </c>
      <c r="AZ86" s="1023" t="s">
        <v>1774</v>
      </c>
      <c r="BH86" s="972" t="s">
        <v>1775</v>
      </c>
      <c r="BJ86" s="972" t="s">
        <v>1776</v>
      </c>
      <c r="BL86" s="972" t="s">
        <v>1777</v>
      </c>
    </row>
    <row r="87" spans="1:66" ht="11.25" customHeight="1">
      <c r="A87" s="979" t="s">
        <v>1778</v>
      </c>
      <c r="AZ87" s="1023" t="s">
        <v>1779</v>
      </c>
      <c r="BH87" s="973" t="s">
        <v>1780</v>
      </c>
      <c r="BJ87" s="973" t="s">
        <v>1781</v>
      </c>
      <c r="BL87" s="973" t="s">
        <v>1782</v>
      </c>
    </row>
    <row r="88" spans="1:66" ht="11.25" customHeight="1">
      <c r="A88" s="979" t="s">
        <v>1783</v>
      </c>
      <c r="AZ88" s="1523"/>
      <c r="BH88" s="973" t="s">
        <v>1784</v>
      </c>
      <c r="BJ88" s="973" t="s">
        <v>1785</v>
      </c>
      <c r="BL88" s="973" t="s">
        <v>1786</v>
      </c>
    </row>
    <row r="89" spans="1:66" ht="11.25" customHeight="1">
      <c r="A89" s="979" t="s">
        <v>1787</v>
      </c>
      <c r="AZ89" s="972" t="s">
        <v>1788</v>
      </c>
    </row>
    <row r="90" spans="1:66" ht="11.25" customHeight="1">
      <c r="A90" s="979" t="s">
        <v>1789</v>
      </c>
      <c r="AZ90" s="1023" t="s">
        <v>916</v>
      </c>
    </row>
    <row r="91" spans="1:66" ht="11.25" customHeight="1">
      <c r="A91" s="979" t="s">
        <v>1790</v>
      </c>
      <c r="AZ91" s="1023" t="s">
        <v>952</v>
      </c>
      <c r="BH91" s="972" t="s">
        <v>1791</v>
      </c>
      <c r="BJ91" s="972" t="s">
        <v>1792</v>
      </c>
      <c r="BL91" s="972" t="s">
        <v>1793</v>
      </c>
    </row>
    <row r="92" spans="1:66" ht="11.25" customHeight="1">
      <c r="AZ92" s="1023" t="s">
        <v>1794</v>
      </c>
      <c r="BH92" s="973" t="s">
        <v>1795</v>
      </c>
      <c r="BJ92" s="973" t="s">
        <v>1796</v>
      </c>
      <c r="BL92" s="973" t="s">
        <v>1797</v>
      </c>
    </row>
    <row r="93" spans="1:66" ht="11.25" customHeight="1">
      <c r="AZ93" s="1023" t="s">
        <v>1798</v>
      </c>
      <c r="BH93" s="973" t="s">
        <v>1799</v>
      </c>
      <c r="BJ93" s="973" t="s">
        <v>1800</v>
      </c>
      <c r="BL93" s="973" t="s">
        <v>1801</v>
      </c>
    </row>
    <row r="94" spans="1:66" ht="11.25" customHeight="1">
      <c r="AZ94" s="1023" t="s">
        <v>1802</v>
      </c>
    </row>
    <row r="96" spans="1:66" ht="11.25" customHeight="1">
      <c r="AZ96" s="972" t="s">
        <v>1803</v>
      </c>
      <c r="BH96" s="972" t="s">
        <v>1804</v>
      </c>
      <c r="BJ96" s="972" t="s">
        <v>1805</v>
      </c>
      <c r="BL96" s="972" t="s">
        <v>1806</v>
      </c>
      <c r="BN96" s="972" t="s">
        <v>1807</v>
      </c>
    </row>
    <row r="97" spans="52:66" ht="11.25" customHeight="1">
      <c r="AZ97" s="1023" t="s">
        <v>1808</v>
      </c>
      <c r="BH97" s="973" t="s">
        <v>1809</v>
      </c>
      <c r="BJ97" s="973" t="s">
        <v>1810</v>
      </c>
      <c r="BL97" s="973" t="s">
        <v>1811</v>
      </c>
      <c r="BN97" s="973" t="s">
        <v>1812</v>
      </c>
    </row>
    <row r="98" spans="52:66" ht="11.25" customHeight="1">
      <c r="AZ98" s="1023" t="s">
        <v>1813</v>
      </c>
      <c r="BH98" s="973" t="s">
        <v>1814</v>
      </c>
      <c r="BJ98" s="973" t="s">
        <v>1815</v>
      </c>
      <c r="BL98" s="973" t="s">
        <v>1816</v>
      </c>
      <c r="BN98" s="973" t="s">
        <v>1817</v>
      </c>
    </row>
    <row r="99" spans="52:66" ht="11.25" customHeight="1">
      <c r="AZ99" s="1023" t="s">
        <v>1818</v>
      </c>
      <c r="BH99" s="973" t="s">
        <v>1819</v>
      </c>
      <c r="BJ99" s="973" t="s">
        <v>1820</v>
      </c>
      <c r="BL99" s="973" t="s">
        <v>1821</v>
      </c>
      <c r="BN99" s="973" t="s">
        <v>1822</v>
      </c>
    </row>
    <row r="100" spans="52:66" ht="11.25" customHeight="1">
      <c r="BJ100" s="973" t="s">
        <v>1414</v>
      </c>
      <c r="BL100" s="973" t="s">
        <v>1414</v>
      </c>
      <c r="BN100" s="973" t="s">
        <v>1823</v>
      </c>
    </row>
    <row r="101" spans="52:66" ht="11.25" customHeight="1">
      <c r="AZ101" s="1603" t="s">
        <v>1824</v>
      </c>
      <c r="BN101" s="973" t="s">
        <v>1825</v>
      </c>
    </row>
    <row r="102" spans="52:66" ht="11.25" customHeight="1">
      <c r="AZ102" s="1023" t="s">
        <v>1826</v>
      </c>
      <c r="BN102" s="973" t="s">
        <v>1827</v>
      </c>
    </row>
    <row r="103" spans="52:66" ht="11.25" customHeight="1">
      <c r="AZ103" s="1023" t="s">
        <v>1828</v>
      </c>
      <c r="BN103" s="973" t="s">
        <v>1829</v>
      </c>
    </row>
    <row r="104" spans="52:66" ht="11.25" customHeight="1">
      <c r="AZ104" s="1023" t="s">
        <v>554</v>
      </c>
      <c r="BN104" s="973" t="s">
        <v>1830</v>
      </c>
    </row>
    <row r="107" spans="52:66" ht="11.25" customHeight="1">
      <c r="BH107" s="972" t="s">
        <v>1831</v>
      </c>
      <c r="BJ107" s="972" t="s">
        <v>1832</v>
      </c>
      <c r="BL107" s="972" t="s">
        <v>1833</v>
      </c>
      <c r="BN107" s="972" t="s">
        <v>1834</v>
      </c>
    </row>
    <row r="108" spans="52:66" ht="11.25" customHeight="1">
      <c r="BH108" s="973" t="s">
        <v>1835</v>
      </c>
      <c r="BJ108" s="973" t="s">
        <v>1836</v>
      </c>
      <c r="BL108" s="973" t="s">
        <v>1498</v>
      </c>
      <c r="BN108" s="973" t="s">
        <v>1837</v>
      </c>
    </row>
    <row r="109" spans="52:66" ht="11.25" customHeight="1">
      <c r="BH109" s="973" t="s">
        <v>1838</v>
      </c>
    </row>
    <row r="110" spans="52:66" ht="11.25" customHeight="1">
      <c r="BH110" s="973" t="s">
        <v>1838</v>
      </c>
    </row>
    <row r="114" spans="60:60" ht="11.25" customHeight="1">
      <c r="BH114" s="972" t="s">
        <v>1839</v>
      </c>
    </row>
    <row r="115" spans="60:60" ht="11.25" customHeight="1">
      <c r="BH115" s="973" t="s">
        <v>438</v>
      </c>
    </row>
    <row r="116" spans="60:60" ht="11.25" customHeight="1">
      <c r="BH116" s="973" t="s">
        <v>1239</v>
      </c>
    </row>
    <row r="117" spans="60:60" ht="11.25" customHeight="1">
      <c r="BH117" s="973" t="s">
        <v>1274</v>
      </c>
    </row>
    <row r="118" spans="60:60" ht="11.25" customHeight="1">
      <c r="BH118" s="973" t="s">
        <v>1307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3884"/>
    <col min="2" max="2" width="43.140625" style="3884" hidden="1"/>
    <col min="3" max="3" width="43.140625" style="3884"/>
    <col min="4" max="5" width="36.42578125" style="3884" customWidth="1"/>
    <col min="6" max="8" width="36.42578125" style="3885" customWidth="1"/>
  </cols>
  <sheetData>
    <row r="1" spans="1:8" ht="9" customHeight="1">
      <c r="A1" s="760" t="s">
        <v>1840</v>
      </c>
      <c r="B1" s="760"/>
      <c r="C1" s="890" t="s">
        <v>1841</v>
      </c>
      <c r="D1" s="889" t="s">
        <v>705</v>
      </c>
      <c r="E1" s="889" t="s">
        <v>751</v>
      </c>
      <c r="F1" s="889" t="s">
        <v>803</v>
      </c>
      <c r="G1" s="889" t="s">
        <v>789</v>
      </c>
      <c r="H1" s="889" t="s">
        <v>1614</v>
      </c>
    </row>
    <row r="2" spans="1:8" ht="9" customHeight="1">
      <c r="A2" s="891" t="s">
        <v>1842</v>
      </c>
      <c r="B2" s="891"/>
      <c r="C2" s="892" t="str">
        <f>INDEX(TEMPLATE_NUMBER_FORM_LIST,MATCH(TEMPLATE_SPHERE,TEMPLATE_SPHERE_LIST,0))</f>
        <v>16</v>
      </c>
      <c r="D2" s="891" t="s">
        <v>97</v>
      </c>
      <c r="E2" s="891" t="s">
        <v>147</v>
      </c>
      <c r="F2" s="893" t="s">
        <v>147</v>
      </c>
      <c r="G2" s="891" t="s">
        <v>147</v>
      </c>
      <c r="H2" s="894"/>
    </row>
    <row r="3" spans="1:8" ht="63" customHeight="1">
      <c r="A3" s="760"/>
      <c r="B3" s="760" t="s">
        <v>107</v>
      </c>
      <c r="C3" s="89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2" t="s">
        <v>1843</v>
      </c>
      <c r="E3" s="8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3"/>
      <c r="G3" s="894"/>
      <c r="H3" s="760"/>
    </row>
    <row r="4" spans="1:8" ht="243" customHeight="1">
      <c r="A4" s="760" t="s">
        <v>1844</v>
      </c>
      <c r="B4" s="760" t="s">
        <v>108</v>
      </c>
      <c r="C4" s="89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1" t="s">
        <v>1845</v>
      </c>
      <c r="E4" s="89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1"/>
      <c r="G4" s="891"/>
      <c r="H4" s="760" t="s">
        <v>1846</v>
      </c>
    </row>
    <row r="5" spans="1:8" ht="117" customHeight="1">
      <c r="A5" s="760" t="s">
        <v>1847</v>
      </c>
      <c r="B5" s="760" t="s">
        <v>88</v>
      </c>
      <c r="C5" s="89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60" t="s">
        <v>1848</v>
      </c>
      <c r="E5" s="76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4"/>
      <c r="G5" s="894"/>
      <c r="H5" s="760" t="s">
        <v>1849</v>
      </c>
    </row>
    <row r="6" spans="1:8" ht="45" customHeight="1">
      <c r="A6" s="760" t="s">
        <v>1850</v>
      </c>
      <c r="B6" s="760" t="s">
        <v>89</v>
      </c>
      <c r="C6" s="89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60" t="s">
        <v>1851</v>
      </c>
      <c r="E6" s="76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60"/>
      <c r="G6" s="760"/>
      <c r="H6" s="894"/>
    </row>
    <row r="7" spans="1:8" ht="45" customHeight="1">
      <c r="A7" s="760" t="s">
        <v>1852</v>
      </c>
      <c r="B7" s="760" t="s">
        <v>109</v>
      </c>
      <c r="C7" s="892" t="str">
        <f>IF(TEMPLATE_SPHERE="HEAT",D7,E7)</f>
        <v>Форма 11. Информация о расходах на капитальный и текущий ремонт основных средств</v>
      </c>
      <c r="D7" s="760" t="s">
        <v>1853</v>
      </c>
      <c r="E7" s="760" t="s">
        <v>1854</v>
      </c>
      <c r="F7" s="894"/>
      <c r="G7" s="894"/>
      <c r="H7" s="894"/>
    </row>
    <row r="8" spans="1:8" ht="108" customHeight="1">
      <c r="A8" s="760" t="s">
        <v>1855</v>
      </c>
      <c r="B8" s="760" t="s">
        <v>90</v>
      </c>
      <c r="C8" s="89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60" t="s">
        <v>1856</v>
      </c>
      <c r="E8" s="760" t="s">
        <v>1857</v>
      </c>
      <c r="F8" s="894"/>
      <c r="G8" s="894"/>
      <c r="H8" s="894"/>
    </row>
    <row r="9" spans="1:8" ht="99" customHeight="1">
      <c r="A9" s="760" t="s">
        <v>1858</v>
      </c>
      <c r="B9" s="760"/>
      <c r="C9" s="760" t="s">
        <v>1859</v>
      </c>
      <c r="D9" s="760"/>
      <c r="E9" s="760"/>
      <c r="F9" s="894"/>
      <c r="G9" s="894"/>
      <c r="H9" s="894"/>
    </row>
    <row r="10" spans="1:8" ht="126" customHeight="1">
      <c r="A10" s="760" t="s">
        <v>1860</v>
      </c>
      <c r="B10" s="760"/>
      <c r="C10" s="760" t="s">
        <v>1861</v>
      </c>
      <c r="D10" s="760"/>
      <c r="E10" s="760"/>
      <c r="F10" s="894"/>
      <c r="G10" s="894"/>
      <c r="H10" s="894"/>
    </row>
    <row r="11" spans="1:8" ht="108" customHeight="1">
      <c r="A11" s="760" t="s">
        <v>1862</v>
      </c>
      <c r="B11" s="760"/>
      <c r="C11" s="760" t="s">
        <v>1863</v>
      </c>
      <c r="D11" s="760"/>
      <c r="E11" s="760"/>
      <c r="F11" s="894"/>
      <c r="G11" s="894"/>
      <c r="H11" s="894"/>
    </row>
    <row r="12" spans="1:8" ht="54" customHeight="1">
      <c r="A12" s="760" t="s">
        <v>1864</v>
      </c>
      <c r="B12" s="760"/>
      <c r="C12" s="760" t="s">
        <v>1865</v>
      </c>
      <c r="D12" s="760"/>
      <c r="E12" s="760"/>
      <c r="F12" s="894"/>
      <c r="G12" s="894"/>
      <c r="H12" s="894"/>
    </row>
    <row r="13" spans="1:8" ht="45" customHeight="1">
      <c r="A13" s="760" t="s">
        <v>1866</v>
      </c>
      <c r="B13" s="760"/>
      <c r="C13" s="760" t="s">
        <v>1867</v>
      </c>
      <c r="D13" s="760"/>
      <c r="E13" s="760"/>
      <c r="F13" s="894"/>
      <c r="G13" s="894"/>
      <c r="H13" s="894"/>
    </row>
    <row r="14" spans="1:8" ht="117" customHeight="1">
      <c r="A14" s="760" t="s">
        <v>1868</v>
      </c>
      <c r="B14" s="760"/>
      <c r="C14" s="760" t="s">
        <v>1869</v>
      </c>
      <c r="D14" s="760"/>
      <c r="E14" s="760"/>
      <c r="F14" s="894"/>
      <c r="G14" s="894"/>
      <c r="H14" s="894"/>
    </row>
    <row r="15" spans="1:8" ht="117" customHeight="1">
      <c r="A15" s="760" t="s">
        <v>1870</v>
      </c>
      <c r="B15" s="760"/>
      <c r="C15" s="760" t="s">
        <v>1871</v>
      </c>
      <c r="D15" s="760"/>
      <c r="E15" s="760"/>
      <c r="F15" s="894"/>
      <c r="G15" s="894"/>
      <c r="H15" s="894"/>
    </row>
    <row r="16" spans="1:8" ht="63" customHeight="1">
      <c r="A16" s="760" t="s">
        <v>1872</v>
      </c>
      <c r="B16" s="760"/>
      <c r="C16" s="760" t="s">
        <v>1873</v>
      </c>
      <c r="D16" s="760"/>
      <c r="E16" s="760"/>
      <c r="F16" s="894"/>
      <c r="G16" s="894"/>
      <c r="H16" s="894"/>
    </row>
    <row r="17" spans="1:8" ht="54" customHeight="1">
      <c r="A17" s="760" t="s">
        <v>1874</v>
      </c>
      <c r="B17" s="760"/>
      <c r="C17" s="892" t="s">
        <v>1875</v>
      </c>
      <c r="D17" s="760"/>
      <c r="E17" s="760"/>
      <c r="F17" s="894"/>
      <c r="G17" s="894"/>
      <c r="H17" s="894"/>
    </row>
    <row r="18" spans="1:8" ht="27" customHeight="1">
      <c r="A18" s="760" t="s">
        <v>1876</v>
      </c>
      <c r="B18" s="760"/>
      <c r="C18" s="892" t="s">
        <v>1877</v>
      </c>
      <c r="D18" s="760"/>
      <c r="E18" s="760"/>
      <c r="F18" s="894"/>
      <c r="G18" s="894"/>
      <c r="H18" s="894"/>
    </row>
    <row r="19" spans="1:8" ht="54" customHeight="1">
      <c r="A19" s="760" t="s">
        <v>1878</v>
      </c>
      <c r="B19" s="760"/>
      <c r="C19" s="892" t="s">
        <v>1879</v>
      </c>
      <c r="D19" s="760"/>
      <c r="E19" s="760"/>
      <c r="F19" s="894"/>
      <c r="G19" s="894"/>
      <c r="H19" s="894"/>
    </row>
    <row r="20" spans="1:8" ht="36" customHeight="1">
      <c r="A20" s="760" t="s">
        <v>1880</v>
      </c>
      <c r="B20" s="760"/>
      <c r="C20" s="892" t="s">
        <v>1881</v>
      </c>
      <c r="D20" s="760"/>
      <c r="E20" s="760"/>
      <c r="F20" s="894"/>
      <c r="G20" s="894"/>
      <c r="H20" s="894"/>
    </row>
    <row r="21" spans="1:8" ht="36" customHeight="1">
      <c r="A21" s="760" t="s">
        <v>1882</v>
      </c>
      <c r="B21" s="760"/>
      <c r="C21" s="892" t="s">
        <v>1883</v>
      </c>
      <c r="D21" s="760"/>
      <c r="E21" s="760"/>
      <c r="F21" s="894"/>
      <c r="G21" s="894"/>
      <c r="H21" s="894"/>
    </row>
    <row r="22" spans="1:8" ht="27" customHeight="1">
      <c r="A22" s="760" t="s">
        <v>1884</v>
      </c>
      <c r="B22" s="760"/>
      <c r="C22" s="892" t="s">
        <v>1885</v>
      </c>
      <c r="D22" s="760"/>
      <c r="E22" s="760"/>
      <c r="F22" s="894"/>
      <c r="G22" s="894"/>
      <c r="H22" s="894"/>
    </row>
    <row r="23" spans="1:8" ht="36" customHeight="1">
      <c r="A23" s="760" t="s">
        <v>1886</v>
      </c>
      <c r="B23" s="760"/>
      <c r="C23" s="892" t="s">
        <v>1887</v>
      </c>
      <c r="D23" s="760"/>
      <c r="E23" s="760"/>
      <c r="F23" s="894"/>
      <c r="G23" s="894"/>
      <c r="H23" s="894"/>
    </row>
    <row r="24" spans="1:8" ht="28.5" customHeight="1">
      <c r="A24" s="760" t="s">
        <v>1888</v>
      </c>
      <c r="B24" s="760"/>
      <c r="C24" s="892" t="s">
        <v>1889</v>
      </c>
      <c r="D24" s="760"/>
      <c r="E24" s="760"/>
      <c r="F24" s="894"/>
      <c r="G24" s="894"/>
      <c r="H24" s="894"/>
    </row>
    <row r="25" spans="1:8" ht="36" customHeight="1">
      <c r="A25" s="760" t="s">
        <v>1890</v>
      </c>
      <c r="B25" s="760"/>
      <c r="C25" s="892" t="s">
        <v>1891</v>
      </c>
      <c r="D25" s="760"/>
      <c r="E25" s="760"/>
      <c r="F25" s="894"/>
      <c r="G25" s="894"/>
      <c r="H25" s="894"/>
    </row>
    <row r="26" spans="1:8" ht="27" customHeight="1">
      <c r="A26" s="760" t="s">
        <v>1892</v>
      </c>
      <c r="B26" s="760"/>
      <c r="C26" s="892" t="s">
        <v>1893</v>
      </c>
      <c r="D26" s="760"/>
      <c r="E26" s="760"/>
      <c r="F26" s="894"/>
      <c r="G26" s="894"/>
      <c r="H26" s="894"/>
    </row>
    <row r="27" spans="1:8" ht="36" customHeight="1">
      <c r="A27" s="760" t="s">
        <v>1894</v>
      </c>
      <c r="B27" s="760"/>
      <c r="C27" s="892" t="s">
        <v>1895</v>
      </c>
      <c r="D27" s="760"/>
      <c r="E27" s="760"/>
      <c r="F27" s="894"/>
      <c r="G27" s="894"/>
      <c r="H27" s="894"/>
    </row>
    <row r="28" spans="1:8" ht="28.5" customHeight="1">
      <c r="A28" s="760" t="s">
        <v>1896</v>
      </c>
      <c r="B28" s="760"/>
      <c r="C28" s="892" t="s">
        <v>1897</v>
      </c>
      <c r="D28" s="760"/>
      <c r="E28" s="760"/>
      <c r="F28" s="894"/>
      <c r="G28" s="894"/>
      <c r="H28" s="894"/>
    </row>
    <row r="29" spans="1:8" ht="126" customHeight="1">
      <c r="A29" s="760" t="s">
        <v>1898</v>
      </c>
      <c r="B29" s="760" t="s">
        <v>1565</v>
      </c>
      <c r="C29" s="89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60" t="s">
        <v>1899</v>
      </c>
      <c r="E29" s="76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4"/>
      <c r="G29" s="894"/>
      <c r="H29" s="760" t="s">
        <v>1900</v>
      </c>
    </row>
    <row r="30" spans="1:8" ht="36" customHeight="1">
      <c r="A30" s="760" t="s">
        <v>1901</v>
      </c>
      <c r="B30" s="760"/>
      <c r="C30" s="89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60" t="s">
        <v>1902</v>
      </c>
      <c r="E30" s="76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4"/>
      <c r="G30" s="894"/>
      <c r="H30" s="894"/>
    </row>
    <row r="31" spans="1:8" ht="54" customHeight="1">
      <c r="A31" s="760" t="s">
        <v>1903</v>
      </c>
      <c r="B31" s="760"/>
      <c r="C31" s="89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60" t="s">
        <v>1904</v>
      </c>
      <c r="E31" s="76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4"/>
      <c r="G31" s="894"/>
      <c r="H31" s="894"/>
    </row>
    <row r="32" spans="1:8" ht="198" customHeight="1">
      <c r="A32" s="760" t="s">
        <v>1905</v>
      </c>
      <c r="B32" s="760"/>
      <c r="C32" s="89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60" t="s">
        <v>1906</v>
      </c>
      <c r="E32" s="76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4"/>
      <c r="G32" s="894"/>
      <c r="H32" s="760" t="s">
        <v>1907</v>
      </c>
    </row>
    <row r="33" spans="1:8" ht="9" customHeight="1">
      <c r="A33" s="760"/>
      <c r="B33" s="760"/>
      <c r="C33" s="892"/>
      <c r="D33" s="760"/>
      <c r="E33" s="760"/>
      <c r="F33" s="894"/>
      <c r="G33" s="894"/>
      <c r="H33" s="894"/>
    </row>
    <row r="34" spans="1:8" ht="9" customHeight="1">
      <c r="A34" s="760"/>
      <c r="B34" s="760" t="s">
        <v>1501</v>
      </c>
      <c r="C34" s="892">
        <f>INDEX(TEMPLATE_NAME_FORM_LIST,B34,MATCH(TEMPLATE_SPHERE,TEMPLATE_SPHERE_LIST,0))</f>
        <v>0</v>
      </c>
      <c r="D34" s="760"/>
      <c r="E34" s="760"/>
      <c r="F34" s="894"/>
      <c r="G34" s="894"/>
      <c r="H34" s="89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3884"/>
    <col min="3" max="7" width="8" style="3887" customWidth="1"/>
    <col min="8" max="12" width="8.5703125" style="3887" customWidth="1"/>
    <col min="13" max="14" width="27.7109375" style="3887" customWidth="1"/>
    <col min="15" max="19" width="5.140625" style="3887" customWidth="1"/>
    <col min="20" max="24" width="27.7109375" style="3887" customWidth="1"/>
    <col min="25" max="25" width="1.85546875" style="3888" customWidth="1"/>
    <col min="26" max="26" width="27.7109375" style="3884" customWidth="1"/>
    <col min="27" max="27" width="27.7109375" style="3889" customWidth="1"/>
    <col min="28" max="29" width="27.7109375" style="3884" customWidth="1"/>
    <col min="30" max="30" width="3.85546875" style="3884" customWidth="1"/>
    <col min="31" max="34" width="9.140625" style="3884"/>
  </cols>
  <sheetData>
    <row r="1" spans="1:34" s="3886" customFormat="1" ht="18" customHeight="1">
      <c r="A1" s="811"/>
      <c r="B1" s="811"/>
      <c r="C1" s="811" t="s">
        <v>1908</v>
      </c>
      <c r="D1" s="811"/>
      <c r="E1" s="811"/>
      <c r="F1" s="811"/>
      <c r="G1" s="811"/>
      <c r="H1" s="811" t="s">
        <v>1909</v>
      </c>
      <c r="I1" s="811"/>
      <c r="J1" s="811"/>
      <c r="K1" s="811"/>
      <c r="L1" s="811"/>
      <c r="M1" s="811" t="s">
        <v>1910</v>
      </c>
      <c r="N1" s="811" t="s">
        <v>1911</v>
      </c>
      <c r="O1" s="4317" t="s">
        <v>1912</v>
      </c>
      <c r="P1" s="4317"/>
      <c r="Q1" s="4317"/>
      <c r="R1" s="4317"/>
      <c r="S1" s="4317"/>
      <c r="T1" s="4317" t="s">
        <v>1910</v>
      </c>
      <c r="U1" s="4317"/>
      <c r="V1" s="4317"/>
      <c r="W1" s="4317"/>
      <c r="X1" s="4317"/>
      <c r="Y1" s="907"/>
      <c r="Z1" s="4317" t="s">
        <v>1913</v>
      </c>
      <c r="AA1" s="4317"/>
      <c r="AB1" s="4317"/>
      <c r="AC1" s="4317"/>
      <c r="AD1" s="4317"/>
    </row>
    <row r="2" spans="1:34" ht="18" customHeight="1">
      <c r="A2" s="760"/>
      <c r="B2" s="760"/>
      <c r="C2" s="756" t="s">
        <v>705</v>
      </c>
      <c r="D2" s="756" t="s">
        <v>751</v>
      </c>
      <c r="E2" s="756" t="s">
        <v>803</v>
      </c>
      <c r="F2" s="756" t="s">
        <v>789</v>
      </c>
      <c r="G2" s="756" t="s">
        <v>1614</v>
      </c>
      <c r="H2" s="757"/>
      <c r="I2" s="757"/>
      <c r="J2" s="757"/>
      <c r="K2" s="757"/>
      <c r="L2" s="757"/>
      <c r="M2" s="757"/>
      <c r="N2" s="757"/>
      <c r="O2" s="756" t="s">
        <v>705</v>
      </c>
      <c r="P2" s="756" t="s">
        <v>751</v>
      </c>
      <c r="Q2" s="756" t="s">
        <v>789</v>
      </c>
      <c r="R2" s="756" t="s">
        <v>803</v>
      </c>
      <c r="S2" s="756" t="s">
        <v>1614</v>
      </c>
      <c r="T2" s="756" t="s">
        <v>705</v>
      </c>
      <c r="U2" s="756" t="s">
        <v>751</v>
      </c>
      <c r="V2" s="756" t="s">
        <v>789</v>
      </c>
      <c r="W2" s="756" t="s">
        <v>803</v>
      </c>
      <c r="X2" s="756" t="s">
        <v>1614</v>
      </c>
      <c r="Y2" s="756"/>
      <c r="Z2" s="756" t="s">
        <v>705</v>
      </c>
      <c r="AA2" s="764" t="s">
        <v>751</v>
      </c>
      <c r="AB2" s="756" t="s">
        <v>789</v>
      </c>
      <c r="AC2" s="756" t="s">
        <v>803</v>
      </c>
      <c r="AD2" s="756" t="s">
        <v>1614</v>
      </c>
    </row>
    <row r="3" spans="1:34" ht="162" customHeight="1">
      <c r="A3" s="759" t="s">
        <v>22</v>
      </c>
      <c r="B3" s="759"/>
      <c r="C3" s="4321" t="s">
        <v>1914</v>
      </c>
      <c r="D3" s="4322"/>
      <c r="E3" s="4322"/>
      <c r="F3" s="4323"/>
      <c r="G3" s="757"/>
      <c r="H3" s="757"/>
      <c r="I3" s="757"/>
      <c r="J3" s="757"/>
      <c r="K3" s="757"/>
      <c r="L3" s="757"/>
      <c r="M3" s="757"/>
      <c r="N3" s="75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7"/>
      <c r="P3" s="757"/>
      <c r="Q3" s="757"/>
      <c r="R3" s="757"/>
      <c r="S3" s="757"/>
      <c r="T3" s="757"/>
      <c r="U3" s="757"/>
      <c r="V3" s="757"/>
      <c r="W3" s="757"/>
      <c r="X3" s="757"/>
      <c r="Y3" s="908"/>
      <c r="Z3" s="760" t="s">
        <v>1915</v>
      </c>
      <c r="AA3" s="757" t="s">
        <v>1916</v>
      </c>
      <c r="AB3" s="760" t="s">
        <v>1917</v>
      </c>
      <c r="AC3" s="760" t="s">
        <v>1918</v>
      </c>
      <c r="AD3" s="760"/>
      <c r="AG3" s="760"/>
      <c r="AH3" s="760"/>
    </row>
    <row r="4" spans="1:34" ht="9" customHeight="1">
      <c r="A4" s="759"/>
      <c r="B4" s="759"/>
      <c r="C4" s="757"/>
      <c r="D4" s="757"/>
      <c r="E4" s="757"/>
      <c r="F4" s="757"/>
      <c r="G4" s="757"/>
      <c r="H4" s="757"/>
      <c r="I4" s="757"/>
      <c r="J4" s="757"/>
      <c r="K4" s="757"/>
      <c r="L4" s="757"/>
      <c r="M4" s="757"/>
      <c r="N4" s="757"/>
      <c r="O4" s="757"/>
      <c r="P4" s="757"/>
      <c r="Q4" s="757"/>
      <c r="R4" s="757"/>
      <c r="S4" s="757"/>
      <c r="T4" s="757"/>
      <c r="U4" s="757"/>
      <c r="V4" s="757"/>
      <c r="W4" s="757"/>
      <c r="X4" s="757"/>
      <c r="Y4" s="908"/>
      <c r="Z4" s="760"/>
      <c r="AA4" s="763"/>
      <c r="AB4" s="760"/>
      <c r="AC4" s="760"/>
      <c r="AD4" s="760"/>
    </row>
    <row r="5" spans="1:34" ht="9" customHeight="1">
      <c r="A5" s="759"/>
      <c r="B5" s="759"/>
      <c r="C5" s="757"/>
      <c r="D5" s="757"/>
      <c r="E5" s="757"/>
      <c r="F5" s="757"/>
      <c r="G5" s="757"/>
      <c r="H5" s="757"/>
      <c r="I5" s="757"/>
      <c r="J5" s="757"/>
      <c r="K5" s="757"/>
      <c r="L5" s="757"/>
      <c r="M5" s="757"/>
      <c r="N5" s="757"/>
      <c r="O5" s="757"/>
      <c r="P5" s="757"/>
      <c r="Q5" s="757"/>
      <c r="R5" s="757"/>
      <c r="S5" s="757"/>
      <c r="T5" s="757"/>
      <c r="U5" s="757"/>
      <c r="V5" s="757"/>
      <c r="W5" s="757"/>
      <c r="X5" s="757"/>
      <c r="Y5" s="908"/>
      <c r="Z5" s="760"/>
      <c r="AA5" s="763"/>
      <c r="AB5" s="760"/>
      <c r="AC5" s="760"/>
      <c r="AD5" s="760"/>
    </row>
    <row r="6" spans="1:34" ht="9" customHeight="1">
      <c r="A6" s="759"/>
      <c r="B6" s="759"/>
      <c r="C6" s="757"/>
      <c r="D6" s="757"/>
      <c r="E6" s="757"/>
      <c r="F6" s="757"/>
      <c r="G6" s="757"/>
      <c r="H6" s="757"/>
      <c r="I6" s="757"/>
      <c r="J6" s="757"/>
      <c r="K6" s="757"/>
      <c r="L6" s="757"/>
      <c r="M6" s="757"/>
      <c r="N6" s="757"/>
      <c r="O6" s="757"/>
      <c r="P6" s="757"/>
      <c r="Q6" s="757"/>
      <c r="R6" s="757"/>
      <c r="S6" s="757"/>
      <c r="T6" s="757"/>
      <c r="U6" s="757"/>
      <c r="V6" s="757"/>
      <c r="W6" s="757"/>
      <c r="X6" s="757"/>
      <c r="Y6" s="908"/>
      <c r="Z6" s="760"/>
      <c r="AA6" s="763"/>
      <c r="AB6" s="760"/>
      <c r="AC6" s="760"/>
      <c r="AD6" s="760"/>
    </row>
    <row r="7" spans="1:34" ht="9" customHeight="1">
      <c r="A7" s="759"/>
      <c r="B7" s="759"/>
      <c r="C7" s="757"/>
      <c r="D7" s="757"/>
      <c r="E7" s="757"/>
      <c r="F7" s="757"/>
      <c r="G7" s="757"/>
      <c r="H7" s="757"/>
      <c r="I7" s="757"/>
      <c r="J7" s="757"/>
      <c r="K7" s="757"/>
      <c r="L7" s="757"/>
      <c r="M7" s="757"/>
      <c r="N7" s="757"/>
      <c r="O7" s="757"/>
      <c r="P7" s="757"/>
      <c r="Q7" s="757"/>
      <c r="R7" s="757"/>
      <c r="S7" s="757"/>
      <c r="T7" s="757"/>
      <c r="U7" s="757"/>
      <c r="V7" s="757"/>
      <c r="W7" s="757"/>
      <c r="X7" s="757"/>
      <c r="Y7" s="908"/>
      <c r="Z7" s="760"/>
      <c r="AA7" s="763"/>
      <c r="AB7" s="760"/>
      <c r="AC7" s="760"/>
      <c r="AD7" s="760"/>
    </row>
    <row r="8" spans="1:34" ht="9" customHeight="1">
      <c r="A8" s="759"/>
      <c r="B8" s="759"/>
      <c r="C8" s="757"/>
      <c r="D8" s="757"/>
      <c r="E8" s="757"/>
      <c r="F8" s="757"/>
      <c r="G8" s="757"/>
      <c r="H8" s="757"/>
      <c r="I8" s="757"/>
      <c r="J8" s="757"/>
      <c r="K8" s="757"/>
      <c r="L8" s="757"/>
      <c r="M8" s="757"/>
      <c r="N8" s="757"/>
      <c r="O8" s="757"/>
      <c r="P8" s="757"/>
      <c r="Q8" s="757"/>
      <c r="R8" s="757"/>
      <c r="S8" s="757"/>
      <c r="T8" s="757"/>
      <c r="U8" s="757"/>
      <c r="V8" s="757"/>
      <c r="W8" s="757"/>
      <c r="X8" s="757"/>
      <c r="Y8" s="908"/>
      <c r="Z8" s="760"/>
      <c r="AA8" s="763"/>
      <c r="AB8" s="760"/>
      <c r="AC8" s="760"/>
      <c r="AD8" s="760"/>
    </row>
    <row r="9" spans="1:34" ht="9" customHeight="1">
      <c r="A9" s="759"/>
      <c r="B9" s="759"/>
      <c r="C9" s="757"/>
      <c r="D9" s="757"/>
      <c r="E9" s="757"/>
      <c r="F9" s="757"/>
      <c r="G9" s="757"/>
      <c r="H9" s="757"/>
      <c r="I9" s="757"/>
      <c r="J9" s="757"/>
      <c r="K9" s="757"/>
      <c r="L9" s="757"/>
      <c r="M9" s="757"/>
      <c r="N9" s="757"/>
      <c r="O9" s="757"/>
      <c r="P9" s="757"/>
      <c r="Q9" s="757"/>
      <c r="R9" s="757"/>
      <c r="S9" s="757"/>
      <c r="T9" s="757"/>
      <c r="U9" s="757"/>
      <c r="V9" s="757"/>
      <c r="W9" s="757"/>
      <c r="X9" s="757"/>
      <c r="Y9" s="908"/>
      <c r="Z9" s="760"/>
      <c r="AA9" s="763"/>
      <c r="AB9" s="760"/>
      <c r="AC9" s="760"/>
      <c r="AD9" s="760"/>
    </row>
    <row r="10" spans="1:34" ht="9" customHeight="1">
      <c r="A10" s="812"/>
      <c r="B10" s="812"/>
      <c r="C10" s="812"/>
      <c r="D10" s="812"/>
      <c r="E10" s="812"/>
      <c r="F10" s="812"/>
      <c r="G10" s="812"/>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row>
    <row r="11" spans="1:34" ht="45" customHeight="1">
      <c r="A11" s="4318" t="s">
        <v>29</v>
      </c>
      <c r="B11" s="812">
        <v>1</v>
      </c>
      <c r="C11" s="4324" t="s">
        <v>1552</v>
      </c>
      <c r="D11" s="4324" t="s">
        <v>1548</v>
      </c>
      <c r="E11" s="4324" t="s">
        <v>1647</v>
      </c>
      <c r="F11" s="4324" t="s">
        <v>1919</v>
      </c>
      <c r="G11" s="4324"/>
      <c r="H11" s="811" t="s">
        <v>1920</v>
      </c>
      <c r="I11" s="811"/>
      <c r="J11" s="811"/>
      <c r="K11" s="811"/>
      <c r="L11" s="811"/>
      <c r="M11" s="758" t="str">
        <f>IF(TEMPLATE_SPHERE="HEAT",T11,U11)</f>
        <v>Количество поданных заявок</v>
      </c>
      <c r="N11" s="758"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7"/>
      <c r="P11" s="757"/>
      <c r="Q11" s="757"/>
      <c r="R11" s="757"/>
      <c r="S11" s="757"/>
      <c r="T11" s="757" t="s">
        <v>1921</v>
      </c>
      <c r="U11" s="757" t="s">
        <v>1922</v>
      </c>
      <c r="V11" s="757"/>
      <c r="W11" s="757"/>
      <c r="X11" s="757"/>
      <c r="Y11" s="908"/>
      <c r="Z11" s="760" t="s">
        <v>1923</v>
      </c>
      <c r="AA11" s="76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60"/>
      <c r="AC11" s="760"/>
      <c r="AD11" s="760"/>
    </row>
    <row r="12" spans="1:34" ht="45" customHeight="1">
      <c r="A12" s="4318"/>
      <c r="B12" s="812">
        <v>2</v>
      </c>
      <c r="C12" s="4325"/>
      <c r="D12" s="4325"/>
      <c r="E12" s="4325"/>
      <c r="F12" s="4325"/>
      <c r="G12" s="4325"/>
      <c r="H12" s="811" t="s">
        <v>1924</v>
      </c>
      <c r="I12" s="811"/>
      <c r="J12" s="811"/>
      <c r="K12" s="811"/>
      <c r="L12" s="811"/>
      <c r="M12" s="758" t="str">
        <f>IF(TEMPLATE_SPHERE="HEAT",T12,U12)</f>
        <v>Количество рассмотренных заявок</v>
      </c>
      <c r="N12" s="758"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7"/>
      <c r="P12" s="757"/>
      <c r="Q12" s="757"/>
      <c r="R12" s="757"/>
      <c r="S12" s="757"/>
      <c r="T12" s="757" t="s">
        <v>1925</v>
      </c>
      <c r="U12" s="757" t="s">
        <v>1926</v>
      </c>
      <c r="V12" s="757"/>
      <c r="W12" s="757"/>
      <c r="X12" s="757"/>
      <c r="Y12" s="908"/>
      <c r="Z12" s="760" t="s">
        <v>1927</v>
      </c>
      <c r="AA12" s="76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60"/>
      <c r="AC12" s="760"/>
      <c r="AD12" s="760"/>
    </row>
    <row r="13" spans="1:34" ht="72" customHeight="1">
      <c r="A13" s="4318"/>
      <c r="B13" s="812">
        <v>3</v>
      </c>
      <c r="C13" s="4325"/>
      <c r="D13" s="4325"/>
      <c r="E13" s="4325"/>
      <c r="F13" s="4325"/>
      <c r="G13" s="4325"/>
      <c r="H13" s="4317" t="s">
        <v>1928</v>
      </c>
      <c r="I13" s="811"/>
      <c r="J13" s="811"/>
      <c r="K13" s="811"/>
      <c r="L13" s="811"/>
      <c r="M13" s="75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8" t="str">
        <f t="shared" si="0"/>
        <v>Указывается количество заявок с решением об отказе в течение отчетного квартала.</v>
      </c>
      <c r="O13" s="757"/>
      <c r="P13" s="758"/>
      <c r="Q13" s="758"/>
      <c r="R13" s="758"/>
      <c r="S13" s="757"/>
      <c r="T13" s="757" t="s">
        <v>1929</v>
      </c>
      <c r="U13" s="758" t="s">
        <v>1930</v>
      </c>
      <c r="V13" s="758"/>
      <c r="W13" s="758"/>
      <c r="X13" s="757"/>
      <c r="Y13" s="908"/>
      <c r="Z13" s="760" t="s">
        <v>1931</v>
      </c>
      <c r="AA13" s="76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60"/>
      <c r="AC13" s="760"/>
      <c r="AD13" s="760"/>
    </row>
    <row r="14" spans="1:34" ht="45" customHeight="1">
      <c r="A14" s="4318"/>
      <c r="B14" s="812">
        <v>4</v>
      </c>
      <c r="C14" s="4325"/>
      <c r="D14" s="4325"/>
      <c r="E14" s="4325"/>
      <c r="F14" s="4325"/>
      <c r="G14" s="4325"/>
      <c r="H14" s="4317"/>
      <c r="I14" s="814"/>
      <c r="J14" s="814"/>
      <c r="K14" s="814"/>
      <c r="L14" s="814"/>
      <c r="M14" s="761" t="str">
        <f>IF(TEMPLATE_SPHERE="HEAT",T14,U14)</f>
        <v>Причины отказа в заключении договора о подключении (технологическом присоединении) к системе теплоснабжения</v>
      </c>
      <c r="N14" s="75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7"/>
      <c r="P14" s="758"/>
      <c r="Q14" s="758"/>
      <c r="R14" s="758"/>
      <c r="S14" s="757"/>
      <c r="T14" s="757" t="s">
        <v>1932</v>
      </c>
      <c r="U14" s="75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8"/>
      <c r="W14" s="758"/>
      <c r="X14" s="757"/>
      <c r="Y14" s="908"/>
      <c r="Z14" s="760" t="s">
        <v>1933</v>
      </c>
      <c r="AA14" s="763" t="s">
        <v>1933</v>
      </c>
      <c r="AB14" s="760"/>
      <c r="AC14" s="760"/>
      <c r="AD14" s="760"/>
    </row>
    <row r="15" spans="1:34" ht="108" customHeight="1">
      <c r="A15" s="4318"/>
      <c r="B15" s="812">
        <v>5</v>
      </c>
      <c r="C15" s="4325"/>
      <c r="D15" s="4325"/>
      <c r="E15" s="4325"/>
      <c r="F15" s="4325"/>
      <c r="G15" s="4325"/>
      <c r="H15" s="4319" t="s">
        <v>1934</v>
      </c>
      <c r="I15" s="813"/>
      <c r="J15" s="813"/>
      <c r="K15" s="813"/>
      <c r="L15" s="813"/>
      <c r="M15" s="763" t="str">
        <f>IF(TEMPLATE_SPHERE="HEAT",T15,U15)</f>
        <v>Резерв мощности источников тепловой энергии, входящих в систему теплоснабжения, в течение одного квартала, в том числе:</v>
      </c>
      <c r="N15"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7"/>
      <c r="P15" s="758"/>
      <c r="Q15" s="758"/>
      <c r="R15" s="758"/>
      <c r="S15" s="757"/>
      <c r="T15" s="757" t="s">
        <v>1935</v>
      </c>
      <c r="U15" s="75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8"/>
      <c r="W15" s="758"/>
      <c r="X15" s="757"/>
      <c r="Y15" s="908"/>
      <c r="Z15" s="760" t="s">
        <v>1936</v>
      </c>
      <c r="AA15" s="76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60"/>
      <c r="AC15" s="760"/>
      <c r="AD15" s="760"/>
    </row>
    <row r="16" spans="1:34" ht="108" customHeight="1">
      <c r="A16" s="812"/>
      <c r="B16" s="812">
        <v>6</v>
      </c>
      <c r="C16" s="4326"/>
      <c r="D16" s="4326"/>
      <c r="E16" s="4326"/>
      <c r="F16" s="4326"/>
      <c r="G16" s="4326"/>
      <c r="H16" s="4320"/>
      <c r="I16" s="871"/>
      <c r="J16" s="871"/>
      <c r="K16" s="871"/>
      <c r="L16" s="871"/>
      <c r="M16" s="805"/>
      <c r="N16"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7"/>
      <c r="P16" s="758"/>
      <c r="Q16" s="758"/>
      <c r="R16" s="758"/>
      <c r="S16" s="757"/>
      <c r="T16" s="757"/>
      <c r="U16" s="758"/>
      <c r="V16" s="758"/>
      <c r="W16" s="758"/>
      <c r="X16" s="757"/>
      <c r="Y16" s="908"/>
      <c r="Z16" s="760" t="s">
        <v>1936</v>
      </c>
      <c r="AA16" s="76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60"/>
      <c r="AC16" s="760"/>
      <c r="AD16" s="760"/>
    </row>
    <row r="17" spans="1:30" ht="9" customHeight="1">
      <c r="A17" s="812"/>
      <c r="B17" s="812"/>
      <c r="C17" s="812">
        <v>22</v>
      </c>
      <c r="D17" s="812">
        <v>21</v>
      </c>
      <c r="E17" s="812">
        <v>42</v>
      </c>
      <c r="F17" s="812">
        <v>63</v>
      </c>
      <c r="G17" s="812"/>
      <c r="H17" s="812"/>
      <c r="I17" s="812"/>
      <c r="J17" s="812"/>
      <c r="K17" s="812"/>
      <c r="L17" s="812"/>
      <c r="M17" s="812"/>
      <c r="N17" s="812"/>
      <c r="O17" s="812"/>
      <c r="P17" s="812"/>
      <c r="Q17" s="812"/>
      <c r="R17" s="812"/>
      <c r="S17" s="812"/>
      <c r="T17" s="812"/>
      <c r="U17" s="812"/>
      <c r="V17" s="812"/>
      <c r="W17" s="812"/>
      <c r="X17" s="812"/>
      <c r="Y17" s="812"/>
      <c r="Z17" s="812"/>
      <c r="AA17" s="812"/>
      <c r="AB17" s="812"/>
      <c r="AC17" s="812"/>
      <c r="AD17" s="812"/>
    </row>
    <row r="18" spans="1:30" ht="27" customHeight="1">
      <c r="A18" s="759" t="s">
        <v>1650</v>
      </c>
      <c r="B18" s="812">
        <v>1</v>
      </c>
      <c r="C18" s="757" t="s">
        <v>1920</v>
      </c>
      <c r="D18" s="876" t="s">
        <v>1920</v>
      </c>
      <c r="E18" s="757" t="s">
        <v>1920</v>
      </c>
      <c r="F18" s="757" t="s">
        <v>1920</v>
      </c>
      <c r="G18" s="757"/>
      <c r="H18" s="909"/>
      <c r="I18" s="912">
        <f t="shared" ref="I18:I49" si="1">INDEX(TEMPLATE_NUMBER_POINT_FHD,B18,MATCH(TEMPLATE_SPHERE,TEMPLATE_SPHERE_LIST_FOR_NOTE,0))</f>
        <v>1</v>
      </c>
      <c r="J18" s="912"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2"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8">
        <f t="shared" ref="L18:L49" si="4">IF(I18=0,"",I18)</f>
        <v>1</v>
      </c>
      <c r="M18" s="758" t="str">
        <f t="shared" ref="M18:M49" si="5">IF(J18=0,"",J18)</f>
        <v>Выручка от регулируемого вида деятельности с распределением по видам деятельности</v>
      </c>
      <c r="N18" s="758" t="str">
        <f t="shared" ref="N18:N49" si="6">IF(K18=0,"",K18)</f>
        <v>Указывается выручка от регулируемого вида деятельности с распределением по видам деятельности.</v>
      </c>
      <c r="O18" s="866">
        <v>1</v>
      </c>
      <c r="P18" s="866">
        <v>1</v>
      </c>
      <c r="Q18" s="866">
        <v>1</v>
      </c>
      <c r="R18" s="866">
        <v>1</v>
      </c>
      <c r="S18" s="866"/>
      <c r="T18" s="873" t="s">
        <v>1937</v>
      </c>
      <c r="U18" s="760" t="s">
        <v>1938</v>
      </c>
      <c r="V18" s="760" t="s">
        <v>1939</v>
      </c>
      <c r="W18" s="760" t="s">
        <v>1940</v>
      </c>
      <c r="X18" s="757"/>
      <c r="Y18" s="908"/>
      <c r="Z18" s="760" t="s">
        <v>1941</v>
      </c>
      <c r="AA18" s="763" t="s">
        <v>1942</v>
      </c>
      <c r="AB18" s="763" t="s">
        <v>1942</v>
      </c>
      <c r="AC18" s="763" t="s">
        <v>1942</v>
      </c>
      <c r="AD18" s="760"/>
    </row>
    <row r="19" spans="1:30" ht="36" customHeight="1">
      <c r="A19" s="759"/>
      <c r="B19" s="812">
        <v>2</v>
      </c>
      <c r="C19" s="757" t="s">
        <v>1924</v>
      </c>
      <c r="D19" s="876" t="s">
        <v>1924</v>
      </c>
      <c r="E19" s="757" t="s">
        <v>1924</v>
      </c>
      <c r="F19" s="757" t="s">
        <v>1924</v>
      </c>
      <c r="G19" s="757"/>
      <c r="H19" s="909"/>
      <c r="I19" s="912">
        <f t="shared" si="1"/>
        <v>2</v>
      </c>
      <c r="J19" s="912" t="str">
        <f t="shared" si="2"/>
        <v>Себестоимость производимых товаров (оказываемых услуг) по регулируемому виду деятельности, включая:</v>
      </c>
      <c r="K19" s="912" t="str">
        <f t="shared" si="3"/>
        <v>Указывается суммарная себестоимость производимых товаров.</v>
      </c>
      <c r="L19" s="758">
        <f t="shared" si="4"/>
        <v>2</v>
      </c>
      <c r="M19" s="758" t="str">
        <f t="shared" si="5"/>
        <v>Себестоимость производимых товаров (оказываемых услуг) по регулируемому виду деятельности, включая:</v>
      </c>
      <c r="N19" s="758" t="str">
        <f t="shared" si="6"/>
        <v>Указывается суммарная себестоимость производимых товаров.</v>
      </c>
      <c r="O19" s="866">
        <v>2</v>
      </c>
      <c r="P19" s="866">
        <v>2</v>
      </c>
      <c r="Q19" s="866">
        <v>2</v>
      </c>
      <c r="R19" s="866">
        <v>2</v>
      </c>
      <c r="S19" s="866"/>
      <c r="T19" s="873" t="s">
        <v>1943</v>
      </c>
      <c r="U19" s="760" t="s">
        <v>1944</v>
      </c>
      <c r="V19" s="760" t="s">
        <v>1945</v>
      </c>
      <c r="W19" s="760" t="s">
        <v>1946</v>
      </c>
      <c r="X19" s="757"/>
      <c r="Y19" s="908"/>
      <c r="Z19" s="760" t="s">
        <v>1947</v>
      </c>
      <c r="AA19" s="763" t="s">
        <v>1947</v>
      </c>
      <c r="AB19" s="763" t="s">
        <v>1947</v>
      </c>
      <c r="AC19" s="763" t="s">
        <v>1947</v>
      </c>
      <c r="AD19" s="760"/>
    </row>
    <row r="20" spans="1:30" ht="27" customHeight="1">
      <c r="A20" s="759"/>
      <c r="B20" s="812">
        <v>3</v>
      </c>
      <c r="C20" s="757">
        <v>1</v>
      </c>
      <c r="D20" s="876"/>
      <c r="E20" s="757"/>
      <c r="F20" s="757"/>
      <c r="G20" s="757"/>
      <c r="H20" s="909"/>
      <c r="I20" s="912" t="str">
        <f t="shared" si="1"/>
        <v>2.1</v>
      </c>
      <c r="J20" s="912" t="str">
        <f t="shared" si="2"/>
        <v>Расходы на приобретаемую тепловую энергию (мощность), теплоноситель</v>
      </c>
      <c r="K20" s="912">
        <f t="shared" si="3"/>
        <v>0</v>
      </c>
      <c r="L20" s="758" t="str">
        <f t="shared" si="4"/>
        <v>2.1</v>
      </c>
      <c r="M20" s="758" t="str">
        <f t="shared" si="5"/>
        <v>Расходы на приобретаемую тепловую энергию (мощность), теплоноситель</v>
      </c>
      <c r="N20" s="758" t="str">
        <f t="shared" si="6"/>
        <v/>
      </c>
      <c r="O20" s="866" t="s">
        <v>605</v>
      </c>
      <c r="P20" s="866" t="s">
        <v>605</v>
      </c>
      <c r="Q20" s="866" t="s">
        <v>605</v>
      </c>
      <c r="R20" s="866" t="s">
        <v>605</v>
      </c>
      <c r="S20" s="866"/>
      <c r="T20" s="873" t="s">
        <v>1948</v>
      </c>
      <c r="U20" s="760" t="s">
        <v>1949</v>
      </c>
      <c r="V20" s="760" t="s">
        <v>1950</v>
      </c>
      <c r="W20" s="760" t="s">
        <v>1951</v>
      </c>
      <c r="X20" s="757"/>
      <c r="Y20" s="908"/>
      <c r="Z20" s="760"/>
      <c r="AA20" s="763"/>
      <c r="AB20" s="760"/>
      <c r="AC20" s="760"/>
      <c r="AD20" s="760"/>
    </row>
    <row r="21" spans="1:30" ht="36" customHeight="1">
      <c r="A21" s="759"/>
      <c r="B21" s="812">
        <v>4</v>
      </c>
      <c r="C21" s="757">
        <v>2</v>
      </c>
      <c r="D21" s="876"/>
      <c r="E21" s="757"/>
      <c r="F21" s="757"/>
      <c r="G21" s="757"/>
      <c r="H21" s="909"/>
      <c r="I21" s="912" t="str">
        <f t="shared" si="1"/>
        <v>2.2</v>
      </c>
      <c r="J21" s="912"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2" t="str">
        <f t="shared" si="3"/>
        <v>Указываются суммарные расходы на приобретение топлива всех видов.</v>
      </c>
      <c r="L21" s="758" t="str">
        <f t="shared" si="4"/>
        <v>2.2</v>
      </c>
      <c r="M21" s="758"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8" t="str">
        <f t="shared" si="6"/>
        <v>Указываются суммарные расходы на приобретение топлива всех видов.</v>
      </c>
      <c r="O21" s="866" t="s">
        <v>297</v>
      </c>
      <c r="P21" s="866"/>
      <c r="Q21" s="866"/>
      <c r="R21" s="866"/>
      <c r="S21" s="866"/>
      <c r="T21" s="873" t="s">
        <v>1952</v>
      </c>
      <c r="U21" s="760"/>
      <c r="V21" s="760"/>
      <c r="W21" s="760"/>
      <c r="X21" s="757"/>
      <c r="Y21" s="908"/>
      <c r="Z21" s="760" t="s">
        <v>1953</v>
      </c>
      <c r="AA21" s="763"/>
      <c r="AB21" s="760"/>
      <c r="AC21" s="760"/>
      <c r="AD21" s="760"/>
    </row>
    <row r="22" spans="1:30" ht="36" customHeight="1">
      <c r="A22" s="759"/>
      <c r="B22" s="812">
        <v>5</v>
      </c>
      <c r="C22" s="757">
        <v>3</v>
      </c>
      <c r="D22" s="876"/>
      <c r="E22" s="757"/>
      <c r="F22" s="757"/>
      <c r="G22" s="804"/>
      <c r="H22" s="867"/>
      <c r="I22" s="912">
        <f t="shared" si="1"/>
        <v>0</v>
      </c>
      <c r="J22" s="912">
        <f t="shared" si="2"/>
        <v>0</v>
      </c>
      <c r="K22" s="912">
        <f t="shared" si="3"/>
        <v>0</v>
      </c>
      <c r="L22" s="758" t="str">
        <f t="shared" si="4"/>
        <v/>
      </c>
      <c r="M22" s="758" t="str">
        <f t="shared" si="5"/>
        <v/>
      </c>
      <c r="N22" s="758" t="str">
        <f t="shared" si="6"/>
        <v/>
      </c>
      <c r="O22" s="866"/>
      <c r="P22" s="866"/>
      <c r="Q22" s="866" t="s">
        <v>297</v>
      </c>
      <c r="R22" s="866"/>
      <c r="S22" s="866"/>
      <c r="T22" s="873"/>
      <c r="U22" s="760"/>
      <c r="V22" s="760" t="s">
        <v>1954</v>
      </c>
      <c r="W22" s="760"/>
      <c r="X22" s="757"/>
      <c r="Y22" s="908"/>
      <c r="Z22" s="760"/>
      <c r="AA22" s="763"/>
      <c r="AB22" s="760"/>
      <c r="AC22" s="760"/>
      <c r="AD22" s="760"/>
    </row>
    <row r="23" spans="1:30" ht="27" customHeight="1">
      <c r="A23" s="759"/>
      <c r="B23" s="812">
        <v>6</v>
      </c>
      <c r="C23" s="757">
        <v>4</v>
      </c>
      <c r="D23" s="876"/>
      <c r="E23" s="757"/>
      <c r="F23" s="757"/>
      <c r="G23" s="804"/>
      <c r="H23" s="867"/>
      <c r="I23" s="912">
        <f t="shared" si="1"/>
        <v>0</v>
      </c>
      <c r="J23" s="912">
        <f t="shared" si="2"/>
        <v>0</v>
      </c>
      <c r="K23" s="912">
        <f t="shared" si="3"/>
        <v>0</v>
      </c>
      <c r="L23" s="758" t="str">
        <f t="shared" si="4"/>
        <v/>
      </c>
      <c r="M23" s="758" t="str">
        <f t="shared" si="5"/>
        <v/>
      </c>
      <c r="N23" s="758" t="str">
        <f t="shared" si="6"/>
        <v/>
      </c>
      <c r="O23" s="866"/>
      <c r="P23" s="866"/>
      <c r="Q23" s="866" t="s">
        <v>300</v>
      </c>
      <c r="R23" s="866"/>
      <c r="S23" s="866"/>
      <c r="T23" s="873"/>
      <c r="U23" s="760"/>
      <c r="V23" s="760" t="s">
        <v>1955</v>
      </c>
      <c r="W23" s="760"/>
      <c r="X23" s="757"/>
      <c r="Y23" s="908"/>
      <c r="Z23" s="760"/>
      <c r="AA23" s="763"/>
      <c r="AB23" s="760"/>
      <c r="AC23" s="760"/>
      <c r="AD23" s="760"/>
    </row>
    <row r="24" spans="1:30" ht="36" customHeight="1">
      <c r="A24" s="759"/>
      <c r="B24" s="812">
        <v>7</v>
      </c>
      <c r="C24" s="757">
        <v>5</v>
      </c>
      <c r="D24" s="876"/>
      <c r="E24" s="757"/>
      <c r="F24" s="757"/>
      <c r="G24" s="804"/>
      <c r="H24" s="867"/>
      <c r="I24" s="912">
        <f t="shared" si="1"/>
        <v>0</v>
      </c>
      <c r="J24" s="912">
        <f t="shared" si="2"/>
        <v>0</v>
      </c>
      <c r="K24" s="912">
        <f t="shared" si="3"/>
        <v>0</v>
      </c>
      <c r="L24" s="758" t="str">
        <f t="shared" si="4"/>
        <v/>
      </c>
      <c r="M24" s="758" t="str">
        <f t="shared" si="5"/>
        <v/>
      </c>
      <c r="N24" s="758" t="str">
        <f t="shared" si="6"/>
        <v/>
      </c>
      <c r="O24" s="866"/>
      <c r="P24" s="866"/>
      <c r="Q24" s="866" t="s">
        <v>625</v>
      </c>
      <c r="R24" s="866"/>
      <c r="S24" s="866"/>
      <c r="T24" s="873"/>
      <c r="U24" s="760"/>
      <c r="V24" s="760" t="s">
        <v>1956</v>
      </c>
      <c r="W24" s="760"/>
      <c r="X24" s="757"/>
      <c r="Y24" s="908"/>
      <c r="Z24" s="760"/>
      <c r="AA24" s="763"/>
      <c r="AB24" s="760"/>
      <c r="AC24" s="760"/>
      <c r="AD24" s="760"/>
    </row>
    <row r="25" spans="1:30" ht="36" customHeight="1">
      <c r="A25" s="759"/>
      <c r="B25" s="812">
        <v>8</v>
      </c>
      <c r="C25" s="757">
        <v>6</v>
      </c>
      <c r="D25" s="876"/>
      <c r="E25" s="757"/>
      <c r="F25" s="757"/>
      <c r="G25" s="804"/>
      <c r="H25" s="867"/>
      <c r="I25" s="912" t="str">
        <f t="shared" si="1"/>
        <v>2.3</v>
      </c>
      <c r="J25" s="912" t="str">
        <f t="shared" si="2"/>
        <v>Расходы на приобретаемую электрическую энергию (мощность), используемую в технологическом процессе</v>
      </c>
      <c r="K25" s="912">
        <f t="shared" si="3"/>
        <v>0</v>
      </c>
      <c r="L25" s="758" t="str">
        <f t="shared" si="4"/>
        <v>2.3</v>
      </c>
      <c r="M25" s="758" t="str">
        <f t="shared" si="5"/>
        <v>Расходы на приобретаемую электрическую энергию (мощность), используемую в технологическом процессе</v>
      </c>
      <c r="N25" s="758" t="str">
        <f t="shared" si="6"/>
        <v/>
      </c>
      <c r="O25" s="866" t="s">
        <v>300</v>
      </c>
      <c r="P25" s="866" t="s">
        <v>297</v>
      </c>
      <c r="Q25" s="866" t="s">
        <v>632</v>
      </c>
      <c r="R25" s="866" t="s">
        <v>297</v>
      </c>
      <c r="S25" s="866"/>
      <c r="T25" s="873" t="s">
        <v>1957</v>
      </c>
      <c r="U25" s="760" t="s">
        <v>1957</v>
      </c>
      <c r="V25" s="760" t="s">
        <v>1957</v>
      </c>
      <c r="W25" s="760" t="s">
        <v>1957</v>
      </c>
      <c r="X25" s="757"/>
      <c r="Y25" s="908"/>
      <c r="Z25" s="760"/>
      <c r="AA25" s="763"/>
      <c r="AB25" s="760"/>
      <c r="AC25" s="760"/>
      <c r="AD25" s="760"/>
    </row>
    <row r="26" spans="1:30" ht="18" customHeight="1">
      <c r="A26" s="759"/>
      <c r="B26" s="812">
        <v>9</v>
      </c>
      <c r="C26" s="757" t="s">
        <v>801</v>
      </c>
      <c r="D26" s="876"/>
      <c r="E26" s="757"/>
      <c r="F26" s="757"/>
      <c r="G26" s="804"/>
      <c r="H26" s="867"/>
      <c r="I26" s="912" t="str">
        <f t="shared" si="1"/>
        <v>2.3.1</v>
      </c>
      <c r="J26" s="912" t="str">
        <f t="shared" si="2"/>
        <v>Средневзвешенная стоимость 1 кВт.ч (с учетом мощности)</v>
      </c>
      <c r="K26" s="912">
        <f t="shared" si="3"/>
        <v>0</v>
      </c>
      <c r="L26" s="758" t="str">
        <f t="shared" si="4"/>
        <v>2.3.1</v>
      </c>
      <c r="M26" s="758" t="str">
        <f t="shared" si="5"/>
        <v>Средневзвешенная стоимость 1 кВт.ч (с учетом мощности)</v>
      </c>
      <c r="N26" s="758" t="str">
        <f t="shared" si="6"/>
        <v/>
      </c>
      <c r="O26" s="866" t="s">
        <v>621</v>
      </c>
      <c r="P26" s="866" t="s">
        <v>615</v>
      </c>
      <c r="Q26" s="866" t="s">
        <v>1958</v>
      </c>
      <c r="R26" s="866" t="s">
        <v>615</v>
      </c>
      <c r="S26" s="866"/>
      <c r="T26" s="873" t="s">
        <v>1959</v>
      </c>
      <c r="U26" s="873" t="s">
        <v>1959</v>
      </c>
      <c r="V26" s="873" t="s">
        <v>1959</v>
      </c>
      <c r="W26" s="873" t="s">
        <v>1959</v>
      </c>
      <c r="X26" s="757"/>
      <c r="Y26" s="908"/>
      <c r="Z26" s="760"/>
      <c r="AA26" s="763"/>
      <c r="AB26" s="760"/>
      <c r="AC26" s="760"/>
      <c r="AD26" s="760"/>
    </row>
    <row r="27" spans="1:30" ht="18" customHeight="1">
      <c r="A27" s="759"/>
      <c r="B27" s="812">
        <v>10</v>
      </c>
      <c r="C27" s="757" t="s">
        <v>1960</v>
      </c>
      <c r="D27" s="876"/>
      <c r="E27" s="757"/>
      <c r="F27" s="757"/>
      <c r="G27" s="804"/>
      <c r="H27" s="867"/>
      <c r="I27" s="912" t="str">
        <f t="shared" si="1"/>
        <v>2.3.2</v>
      </c>
      <c r="J27" s="912" t="str">
        <f t="shared" si="2"/>
        <v>Объём приобретения электрической энергии</v>
      </c>
      <c r="K27" s="912">
        <f t="shared" si="3"/>
        <v>0</v>
      </c>
      <c r="L27" s="758" t="str">
        <f t="shared" si="4"/>
        <v>2.3.2</v>
      </c>
      <c r="M27" s="758" t="str">
        <f t="shared" si="5"/>
        <v>Объём приобретения электрической энергии</v>
      </c>
      <c r="N27" s="758" t="str">
        <f t="shared" si="6"/>
        <v/>
      </c>
      <c r="O27" s="866" t="s">
        <v>623</v>
      </c>
      <c r="P27" s="866" t="s">
        <v>617</v>
      </c>
      <c r="Q27" s="866" t="s">
        <v>1961</v>
      </c>
      <c r="R27" s="866" t="s">
        <v>617</v>
      </c>
      <c r="S27" s="866"/>
      <c r="T27" s="873" t="s">
        <v>1962</v>
      </c>
      <c r="U27" s="873" t="s">
        <v>1962</v>
      </c>
      <c r="V27" s="873" t="s">
        <v>1962</v>
      </c>
      <c r="W27" s="873" t="s">
        <v>1962</v>
      </c>
      <c r="X27" s="757"/>
      <c r="Y27" s="908"/>
      <c r="Z27" s="760"/>
      <c r="AA27" s="763"/>
      <c r="AB27" s="760"/>
      <c r="AC27" s="760"/>
      <c r="AD27" s="760"/>
    </row>
    <row r="28" spans="1:30" ht="27" customHeight="1">
      <c r="A28" s="759"/>
      <c r="B28" s="812">
        <v>11</v>
      </c>
      <c r="C28" s="757">
        <v>7</v>
      </c>
      <c r="D28" s="876"/>
      <c r="E28" s="757"/>
      <c r="F28" s="757"/>
      <c r="G28" s="804"/>
      <c r="H28" s="867"/>
      <c r="I28" s="912" t="str">
        <f t="shared" si="1"/>
        <v>2.4</v>
      </c>
      <c r="J28" s="912" t="str">
        <f t="shared" si="2"/>
        <v>Расходы на приобретение холодной воды, используемой в технологическом процессе</v>
      </c>
      <c r="K28" s="912">
        <f t="shared" si="3"/>
        <v>0</v>
      </c>
      <c r="L28" s="758" t="str">
        <f t="shared" si="4"/>
        <v>2.4</v>
      </c>
      <c r="M28" s="758" t="str">
        <f t="shared" si="5"/>
        <v>Расходы на приобретение холодной воды, используемой в технологическом процессе</v>
      </c>
      <c r="N28" s="758" t="str">
        <f t="shared" si="6"/>
        <v/>
      </c>
      <c r="O28" s="866" t="s">
        <v>625</v>
      </c>
      <c r="P28" s="866"/>
      <c r="Q28" s="866"/>
      <c r="R28" s="866"/>
      <c r="S28" s="866"/>
      <c r="T28" s="873" t="s">
        <v>1963</v>
      </c>
      <c r="U28" s="760"/>
      <c r="V28" s="760"/>
      <c r="W28" s="760"/>
      <c r="X28" s="757"/>
      <c r="Y28" s="908"/>
      <c r="Z28" s="760"/>
      <c r="AA28" s="763"/>
      <c r="AB28" s="760"/>
      <c r="AC28" s="760"/>
      <c r="AD28" s="760"/>
    </row>
    <row r="29" spans="1:30" ht="27" customHeight="1">
      <c r="A29" s="759"/>
      <c r="B29" s="812">
        <v>12</v>
      </c>
      <c r="C29" s="757">
        <v>8</v>
      </c>
      <c r="D29" s="876"/>
      <c r="E29" s="757"/>
      <c r="F29" s="757"/>
      <c r="G29" s="804"/>
      <c r="H29" s="867"/>
      <c r="I29" s="912" t="str">
        <f t="shared" si="1"/>
        <v>2.5</v>
      </c>
      <c r="J29" s="912" t="str">
        <f t="shared" si="2"/>
        <v>Расходы на химические реагенты, используемые в технологическом процессе</v>
      </c>
      <c r="K29" s="912">
        <f t="shared" si="3"/>
        <v>0</v>
      </c>
      <c r="L29" s="758" t="str">
        <f t="shared" si="4"/>
        <v>2.5</v>
      </c>
      <c r="M29" s="758" t="str">
        <f t="shared" si="5"/>
        <v>Расходы на химические реагенты, используемые в технологическом процессе</v>
      </c>
      <c r="N29" s="758" t="str">
        <f t="shared" si="6"/>
        <v/>
      </c>
      <c r="O29" s="866" t="s">
        <v>632</v>
      </c>
      <c r="P29" s="866" t="s">
        <v>300</v>
      </c>
      <c r="Q29" s="866"/>
      <c r="R29" s="866" t="s">
        <v>300</v>
      </c>
      <c r="S29" s="866"/>
      <c r="T29" s="873" t="s">
        <v>1964</v>
      </c>
      <c r="U29" s="760" t="s">
        <v>1964</v>
      </c>
      <c r="V29" s="760"/>
      <c r="W29" s="760" t="s">
        <v>1964</v>
      </c>
      <c r="X29" s="757"/>
      <c r="Y29" s="908"/>
      <c r="Z29" s="760"/>
      <c r="AA29" s="763"/>
      <c r="AB29" s="760"/>
      <c r="AC29" s="760"/>
      <c r="AD29" s="760"/>
    </row>
    <row r="30" spans="1:30" ht="54" customHeight="1">
      <c r="A30" s="759"/>
      <c r="B30" s="812">
        <v>13</v>
      </c>
      <c r="C30" s="757">
        <v>9</v>
      </c>
      <c r="D30" s="876"/>
      <c r="E30" s="757"/>
      <c r="F30" s="757"/>
      <c r="G30" s="804"/>
      <c r="H30" s="867"/>
      <c r="I30" s="912" t="str">
        <f t="shared" si="1"/>
        <v>2.6</v>
      </c>
      <c r="J30" s="912"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2">
        <f t="shared" si="3"/>
        <v>0</v>
      </c>
      <c r="L30" s="758" t="str">
        <f t="shared" si="4"/>
        <v>2.6</v>
      </c>
      <c r="M30" s="75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8" t="str">
        <f t="shared" si="6"/>
        <v/>
      </c>
      <c r="O30" s="866" t="s">
        <v>634</v>
      </c>
      <c r="P30" s="866" t="s">
        <v>625</v>
      </c>
      <c r="Q30" s="866" t="s">
        <v>634</v>
      </c>
      <c r="R30" s="866" t="s">
        <v>625</v>
      </c>
      <c r="S30" s="866"/>
      <c r="T30" s="873" t="s">
        <v>1965</v>
      </c>
      <c r="U30" s="760" t="s">
        <v>1965</v>
      </c>
      <c r="V30" s="760" t="s">
        <v>1965</v>
      </c>
      <c r="W30" s="760" t="s">
        <v>1965</v>
      </c>
      <c r="X30" s="757"/>
      <c r="Y30" s="908"/>
      <c r="Z30" s="760"/>
      <c r="AA30" s="763" t="s">
        <v>1966</v>
      </c>
      <c r="AB30" s="763" t="s">
        <v>1966</v>
      </c>
      <c r="AC30" s="763" t="s">
        <v>1966</v>
      </c>
      <c r="AD30" s="760"/>
    </row>
    <row r="31" spans="1:30" ht="18" customHeight="1">
      <c r="A31" s="759"/>
      <c r="B31" s="812">
        <v>14</v>
      </c>
      <c r="C31" s="757" t="s">
        <v>1967</v>
      </c>
      <c r="D31" s="876"/>
      <c r="E31" s="757"/>
      <c r="F31" s="757"/>
      <c r="G31" s="804"/>
      <c r="H31" s="867"/>
      <c r="I31" s="912" t="str">
        <f t="shared" si="1"/>
        <v>2.6.1</v>
      </c>
      <c r="J31" s="912" t="str">
        <f t="shared" si="2"/>
        <v>Расходы на оплату труда основного производственного персонала</v>
      </c>
      <c r="K31" s="912">
        <f t="shared" si="3"/>
        <v>0</v>
      </c>
      <c r="L31" s="758" t="str">
        <f t="shared" si="4"/>
        <v>2.6.1</v>
      </c>
      <c r="M31" s="758" t="str">
        <f t="shared" si="5"/>
        <v>Расходы на оплату труда основного производственного персонала</v>
      </c>
      <c r="N31" s="758" t="str">
        <f t="shared" si="6"/>
        <v/>
      </c>
      <c r="O31" s="866" t="s">
        <v>1968</v>
      </c>
      <c r="P31" s="866" t="s">
        <v>628</v>
      </c>
      <c r="Q31" s="866" t="s">
        <v>1968</v>
      </c>
      <c r="R31" s="866" t="s">
        <v>628</v>
      </c>
      <c r="S31" s="866"/>
      <c r="T31" s="874" t="s">
        <v>1969</v>
      </c>
      <c r="U31" s="760" t="s">
        <v>1969</v>
      </c>
      <c r="V31" s="760" t="s">
        <v>1969</v>
      </c>
      <c r="W31" s="760" t="s">
        <v>1969</v>
      </c>
      <c r="X31" s="757"/>
      <c r="Y31" s="908"/>
      <c r="Z31" s="760"/>
      <c r="AA31" s="763"/>
      <c r="AB31" s="763"/>
      <c r="AC31" s="763"/>
      <c r="AD31" s="760"/>
    </row>
    <row r="32" spans="1:30" ht="36" customHeight="1">
      <c r="A32" s="759"/>
      <c r="B32" s="812">
        <v>15</v>
      </c>
      <c r="C32" s="757" t="s">
        <v>1970</v>
      </c>
      <c r="D32" s="876"/>
      <c r="E32" s="757"/>
      <c r="F32" s="757"/>
      <c r="G32" s="804"/>
      <c r="H32" s="867"/>
      <c r="I32" s="912" t="str">
        <f t="shared" si="1"/>
        <v>2.6.2</v>
      </c>
      <c r="J32" s="912"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2">
        <f t="shared" si="3"/>
        <v>0</v>
      </c>
      <c r="L32" s="758" t="str">
        <f t="shared" si="4"/>
        <v>2.6.2</v>
      </c>
      <c r="M32" s="75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8" t="str">
        <f t="shared" si="6"/>
        <v/>
      </c>
      <c r="O32" s="866" t="s">
        <v>1971</v>
      </c>
      <c r="P32" s="866" t="s">
        <v>630</v>
      </c>
      <c r="Q32" s="866" t="s">
        <v>1971</v>
      </c>
      <c r="R32" s="866" t="s">
        <v>630</v>
      </c>
      <c r="S32" s="866"/>
      <c r="T32" s="875" t="s">
        <v>1972</v>
      </c>
      <c r="U32" s="760" t="s">
        <v>1972</v>
      </c>
      <c r="V32" s="760" t="s">
        <v>1972</v>
      </c>
      <c r="W32" s="760" t="s">
        <v>1972</v>
      </c>
      <c r="X32" s="757"/>
      <c r="Y32" s="908"/>
      <c r="Z32" s="760"/>
      <c r="AA32" s="763"/>
      <c r="AB32" s="763"/>
      <c r="AC32" s="763"/>
      <c r="AD32" s="760"/>
    </row>
    <row r="33" spans="1:30" ht="45" customHeight="1">
      <c r="A33" s="759"/>
      <c r="B33" s="812">
        <v>16</v>
      </c>
      <c r="C33" s="757">
        <v>10</v>
      </c>
      <c r="D33" s="876"/>
      <c r="E33" s="757"/>
      <c r="F33" s="757"/>
      <c r="G33" s="804"/>
      <c r="H33" s="867"/>
      <c r="I33" s="912" t="str">
        <f t="shared" si="1"/>
        <v>2.7</v>
      </c>
      <c r="J33" s="912"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2">
        <f t="shared" si="3"/>
        <v>0</v>
      </c>
      <c r="L33" s="758" t="str">
        <f t="shared" si="4"/>
        <v>2.7</v>
      </c>
      <c r="M33" s="75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8" t="str">
        <f t="shared" si="6"/>
        <v/>
      </c>
      <c r="O33" s="866" t="s">
        <v>636</v>
      </c>
      <c r="P33" s="866" t="s">
        <v>632</v>
      </c>
      <c r="Q33" s="866" t="s">
        <v>636</v>
      </c>
      <c r="R33" s="866" t="s">
        <v>632</v>
      </c>
      <c r="S33" s="866"/>
      <c r="T33" s="874" t="s">
        <v>1973</v>
      </c>
      <c r="U33" s="760" t="s">
        <v>1973</v>
      </c>
      <c r="V33" s="760" t="s">
        <v>1973</v>
      </c>
      <c r="W33" s="760" t="s">
        <v>1974</v>
      </c>
      <c r="X33" s="757"/>
      <c r="Y33" s="908"/>
      <c r="Z33" s="760"/>
      <c r="AA33" s="763" t="s">
        <v>1975</v>
      </c>
      <c r="AB33" s="763" t="s">
        <v>1975</v>
      </c>
      <c r="AC33" s="763" t="s">
        <v>1975</v>
      </c>
      <c r="AD33" s="760"/>
    </row>
    <row r="34" spans="1:30" ht="27" customHeight="1">
      <c r="A34" s="759"/>
      <c r="B34" s="812">
        <v>17</v>
      </c>
      <c r="C34" s="757" t="s">
        <v>1976</v>
      </c>
      <c r="D34" s="876"/>
      <c r="E34" s="757"/>
      <c r="F34" s="757"/>
      <c r="G34" s="804"/>
      <c r="H34" s="867"/>
      <c r="I34" s="912" t="str">
        <f t="shared" si="1"/>
        <v>2.7.1</v>
      </c>
      <c r="J34" s="912" t="str">
        <f t="shared" si="2"/>
        <v>Расходы на оплату труда административно-управленческого персонала</v>
      </c>
      <c r="K34" s="912">
        <f t="shared" si="3"/>
        <v>0</v>
      </c>
      <c r="L34" s="758" t="str">
        <f t="shared" si="4"/>
        <v>2.7.1</v>
      </c>
      <c r="M34" s="758" t="str">
        <f t="shared" si="5"/>
        <v>Расходы на оплату труда административно-управленческого персонала</v>
      </c>
      <c r="N34" s="758" t="str">
        <f t="shared" si="6"/>
        <v/>
      </c>
      <c r="O34" s="866" t="s">
        <v>1977</v>
      </c>
      <c r="P34" s="866" t="s">
        <v>1958</v>
      </c>
      <c r="Q34" s="866" t="s">
        <v>1977</v>
      </c>
      <c r="R34" s="866" t="s">
        <v>1958</v>
      </c>
      <c r="S34" s="866"/>
      <c r="T34" s="875" t="s">
        <v>1978</v>
      </c>
      <c r="U34" s="760" t="s">
        <v>1978</v>
      </c>
      <c r="V34" s="760" t="s">
        <v>1978</v>
      </c>
      <c r="W34" s="760" t="s">
        <v>1979</v>
      </c>
      <c r="X34" s="757"/>
      <c r="Y34" s="908"/>
      <c r="Z34" s="760"/>
      <c r="AA34" s="763"/>
      <c r="AB34" s="760"/>
      <c r="AC34" s="760"/>
      <c r="AD34" s="760"/>
    </row>
    <row r="35" spans="1:30" ht="45" customHeight="1">
      <c r="A35" s="759"/>
      <c r="B35" s="812">
        <v>18</v>
      </c>
      <c r="C35" s="757" t="s">
        <v>1980</v>
      </c>
      <c r="D35" s="876"/>
      <c r="E35" s="757"/>
      <c r="F35" s="757"/>
      <c r="G35" s="804"/>
      <c r="H35" s="867"/>
      <c r="I35" s="912" t="str">
        <f t="shared" si="1"/>
        <v>2.7.2</v>
      </c>
      <c r="J35" s="912"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2">
        <f t="shared" si="3"/>
        <v>0</v>
      </c>
      <c r="L35" s="758" t="str">
        <f t="shared" si="4"/>
        <v>2.7.2</v>
      </c>
      <c r="M35" s="75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8" t="str">
        <f t="shared" si="6"/>
        <v/>
      </c>
      <c r="O35" s="866" t="s">
        <v>1981</v>
      </c>
      <c r="P35" s="866" t="s">
        <v>1961</v>
      </c>
      <c r="Q35" s="866" t="s">
        <v>1981</v>
      </c>
      <c r="R35" s="866" t="s">
        <v>1961</v>
      </c>
      <c r="S35" s="866"/>
      <c r="T35" s="873" t="s">
        <v>1982</v>
      </c>
      <c r="U35" s="760" t="s">
        <v>1982</v>
      </c>
      <c r="V35" s="760" t="s">
        <v>1982</v>
      </c>
      <c r="W35" s="760" t="s">
        <v>1982</v>
      </c>
      <c r="X35" s="757"/>
      <c r="Y35" s="908"/>
      <c r="Z35" s="760"/>
      <c r="AA35" s="763"/>
      <c r="AB35" s="760"/>
      <c r="AC35" s="760"/>
      <c r="AD35" s="760"/>
    </row>
    <row r="36" spans="1:30" ht="18" customHeight="1">
      <c r="A36" s="759"/>
      <c r="B36" s="812">
        <v>19</v>
      </c>
      <c r="C36" s="757">
        <v>11</v>
      </c>
      <c r="D36" s="876"/>
      <c r="E36" s="757"/>
      <c r="F36" s="757"/>
      <c r="G36" s="804"/>
      <c r="H36" s="867"/>
      <c r="I36" s="912" t="str">
        <f t="shared" si="1"/>
        <v>2.8</v>
      </c>
      <c r="J36" s="912" t="str">
        <f t="shared" si="2"/>
        <v>Расходы на амортизацию основных средств и нематериальных активов</v>
      </c>
      <c r="K36" s="912">
        <f t="shared" si="3"/>
        <v>0</v>
      </c>
      <c r="L36" s="758" t="str">
        <f t="shared" si="4"/>
        <v>2.8</v>
      </c>
      <c r="M36" s="758" t="str">
        <f t="shared" si="5"/>
        <v>Расходы на амортизацию основных средств и нематериальных активов</v>
      </c>
      <c r="N36" s="758" t="str">
        <f t="shared" si="6"/>
        <v/>
      </c>
      <c r="O36" s="866" t="s">
        <v>638</v>
      </c>
      <c r="P36" s="866" t="s">
        <v>634</v>
      </c>
      <c r="Q36" s="866" t="s">
        <v>638</v>
      </c>
      <c r="R36" s="866" t="s">
        <v>634</v>
      </c>
      <c r="S36" s="866"/>
      <c r="T36" s="873" t="s">
        <v>1983</v>
      </c>
      <c r="U36" s="760" t="s">
        <v>1983</v>
      </c>
      <c r="V36" s="760" t="s">
        <v>1983</v>
      </c>
      <c r="W36" s="760" t="s">
        <v>1983</v>
      </c>
      <c r="X36" s="757"/>
      <c r="Y36" s="908"/>
      <c r="Z36" s="760"/>
      <c r="AA36" s="763"/>
      <c r="AB36" s="760"/>
      <c r="AC36" s="760"/>
      <c r="AD36" s="760"/>
    </row>
    <row r="37" spans="1:30" ht="18" customHeight="1">
      <c r="A37" s="759"/>
      <c r="B37" s="812">
        <v>20</v>
      </c>
      <c r="C37" s="757" t="s">
        <v>1984</v>
      </c>
      <c r="D37" s="876"/>
      <c r="E37" s="757"/>
      <c r="F37" s="757"/>
      <c r="G37" s="804"/>
      <c r="H37" s="867"/>
      <c r="I37" s="912" t="str">
        <f t="shared" si="1"/>
        <v>2.8.1</v>
      </c>
      <c r="J37" s="912" t="str">
        <f t="shared" si="2"/>
        <v>Расходы на амортизацию основных средств</v>
      </c>
      <c r="K37" s="912">
        <f t="shared" si="3"/>
        <v>0</v>
      </c>
      <c r="L37" s="758" t="str">
        <f t="shared" si="4"/>
        <v>2.8.1</v>
      </c>
      <c r="M37" s="758" t="str">
        <f t="shared" si="5"/>
        <v>Расходы на амортизацию основных средств</v>
      </c>
      <c r="N37" s="758" t="str">
        <f t="shared" si="6"/>
        <v/>
      </c>
      <c r="O37" s="866" t="s">
        <v>1985</v>
      </c>
      <c r="P37" s="866" t="s">
        <v>1968</v>
      </c>
      <c r="Q37" s="866" t="s">
        <v>1985</v>
      </c>
      <c r="R37" s="866" t="s">
        <v>1968</v>
      </c>
      <c r="S37" s="866"/>
      <c r="T37" s="873" t="s">
        <v>1986</v>
      </c>
      <c r="U37" s="760" t="s">
        <v>1986</v>
      </c>
      <c r="V37" s="760" t="s">
        <v>1986</v>
      </c>
      <c r="W37" s="760" t="s">
        <v>1986</v>
      </c>
      <c r="X37" s="757"/>
      <c r="Y37" s="908"/>
      <c r="Z37" s="760"/>
      <c r="AA37" s="763"/>
      <c r="AB37" s="760"/>
      <c r="AC37" s="760"/>
      <c r="AD37" s="760"/>
    </row>
    <row r="38" spans="1:30" ht="18" customHeight="1">
      <c r="A38" s="759"/>
      <c r="B38" s="812">
        <v>21</v>
      </c>
      <c r="C38" s="757" t="s">
        <v>1987</v>
      </c>
      <c r="D38" s="876"/>
      <c r="E38" s="757"/>
      <c r="F38" s="757"/>
      <c r="G38" s="804"/>
      <c r="H38" s="867"/>
      <c r="I38" s="912" t="str">
        <f t="shared" si="1"/>
        <v>2.8.2</v>
      </c>
      <c r="J38" s="912" t="str">
        <f t="shared" si="2"/>
        <v>Расходы на амортизацию нематериальных активов</v>
      </c>
      <c r="K38" s="912">
        <f t="shared" si="3"/>
        <v>0</v>
      </c>
      <c r="L38" s="758" t="str">
        <f t="shared" si="4"/>
        <v>2.8.2</v>
      </c>
      <c r="M38" s="758" t="str">
        <f t="shared" si="5"/>
        <v>Расходы на амортизацию нематериальных активов</v>
      </c>
      <c r="N38" s="758" t="str">
        <f t="shared" si="6"/>
        <v/>
      </c>
      <c r="O38" s="866" t="s">
        <v>1988</v>
      </c>
      <c r="P38" s="866" t="s">
        <v>1971</v>
      </c>
      <c r="Q38" s="866" t="s">
        <v>1988</v>
      </c>
      <c r="R38" s="866" t="s">
        <v>1971</v>
      </c>
      <c r="S38" s="866"/>
      <c r="T38" s="873" t="s">
        <v>1989</v>
      </c>
      <c r="U38" s="760" t="s">
        <v>1989</v>
      </c>
      <c r="V38" s="760" t="s">
        <v>1989</v>
      </c>
      <c r="W38" s="760" t="s">
        <v>1989</v>
      </c>
      <c r="X38" s="757"/>
      <c r="Y38" s="908"/>
      <c r="Z38" s="760"/>
      <c r="AA38" s="763"/>
      <c r="AB38" s="760"/>
      <c r="AC38" s="760"/>
      <c r="AD38" s="760"/>
    </row>
    <row r="39" spans="1:30" ht="36" customHeight="1">
      <c r="A39" s="759"/>
      <c r="B39" s="812">
        <v>22</v>
      </c>
      <c r="C39" s="757">
        <v>12</v>
      </c>
      <c r="D39" s="876"/>
      <c r="E39" s="757"/>
      <c r="F39" s="757"/>
      <c r="G39" s="804"/>
      <c r="H39" s="867"/>
      <c r="I39" s="912" t="str">
        <f t="shared" si="1"/>
        <v>2.9</v>
      </c>
      <c r="J39" s="912" t="str">
        <f t="shared" si="2"/>
        <v>Расходы на аренду имущества, используемого для осуществления регулируемого вида деятельности</v>
      </c>
      <c r="K39" s="912">
        <f t="shared" si="3"/>
        <v>0</v>
      </c>
      <c r="L39" s="758" t="str">
        <f t="shared" si="4"/>
        <v>2.9</v>
      </c>
      <c r="M39" s="758" t="str">
        <f t="shared" si="5"/>
        <v>Расходы на аренду имущества, используемого для осуществления регулируемого вида деятельности</v>
      </c>
      <c r="N39" s="758" t="str">
        <f t="shared" si="6"/>
        <v/>
      </c>
      <c r="O39" s="866" t="s">
        <v>642</v>
      </c>
      <c r="P39" s="866" t="s">
        <v>636</v>
      </c>
      <c r="Q39" s="866" t="s">
        <v>642</v>
      </c>
      <c r="R39" s="866" t="s">
        <v>636</v>
      </c>
      <c r="S39" s="866"/>
      <c r="T39" s="873" t="s">
        <v>1990</v>
      </c>
      <c r="U39" s="760" t="s">
        <v>1991</v>
      </c>
      <c r="V39" s="760" t="s">
        <v>1992</v>
      </c>
      <c r="W39" s="760" t="s">
        <v>1993</v>
      </c>
      <c r="X39" s="757"/>
      <c r="Y39" s="908"/>
      <c r="Z39" s="760"/>
      <c r="AA39" s="763"/>
      <c r="AB39" s="760"/>
      <c r="AC39" s="760"/>
      <c r="AD39" s="760"/>
    </row>
    <row r="40" spans="1:30" ht="18" customHeight="1">
      <c r="A40" s="759"/>
      <c r="B40" s="812">
        <v>23</v>
      </c>
      <c r="C40" s="757">
        <v>13</v>
      </c>
      <c r="D40" s="876"/>
      <c r="E40" s="757"/>
      <c r="F40" s="757"/>
      <c r="G40" s="757"/>
      <c r="H40" s="807"/>
      <c r="I40" s="912" t="str">
        <f t="shared" si="1"/>
        <v>2.10</v>
      </c>
      <c r="J40" s="912" t="str">
        <f t="shared" si="2"/>
        <v>Общепроизводственные расходы, в том числе:</v>
      </c>
      <c r="K40" s="912" t="str">
        <f t="shared" si="3"/>
        <v>Указывается общая сумма общепроизводственных расходов.</v>
      </c>
      <c r="L40" s="758" t="str">
        <f t="shared" si="4"/>
        <v>2.10</v>
      </c>
      <c r="M40" s="758" t="str">
        <f t="shared" si="5"/>
        <v>Общепроизводственные расходы, в том числе:</v>
      </c>
      <c r="N40" s="758" t="str">
        <f t="shared" si="6"/>
        <v>Указывается общая сумма общепроизводственных расходов.</v>
      </c>
      <c r="O40" s="866" t="s">
        <v>1994</v>
      </c>
      <c r="P40" s="866" t="s">
        <v>638</v>
      </c>
      <c r="Q40" s="866" t="s">
        <v>1994</v>
      </c>
      <c r="R40" s="866" t="s">
        <v>638</v>
      </c>
      <c r="S40" s="866"/>
      <c r="T40" s="757" t="s">
        <v>1995</v>
      </c>
      <c r="U40" s="757" t="s">
        <v>1995</v>
      </c>
      <c r="V40" s="757" t="s">
        <v>1995</v>
      </c>
      <c r="W40" s="757" t="s">
        <v>1995</v>
      </c>
      <c r="X40" s="757"/>
      <c r="Y40" s="908"/>
      <c r="Z40" s="760" t="s">
        <v>1996</v>
      </c>
      <c r="AA40" s="763" t="s">
        <v>1996</v>
      </c>
      <c r="AB40" s="763" t="s">
        <v>1996</v>
      </c>
      <c r="AC40" s="763" t="s">
        <v>1996</v>
      </c>
      <c r="AD40" s="760"/>
    </row>
    <row r="41" spans="1:30" ht="27" customHeight="1">
      <c r="A41" s="759"/>
      <c r="B41" s="812">
        <v>24</v>
      </c>
      <c r="C41" s="757" t="s">
        <v>1997</v>
      </c>
      <c r="D41" s="876"/>
      <c r="E41" s="757"/>
      <c r="F41" s="757"/>
      <c r="G41" s="757"/>
      <c r="H41" s="804"/>
      <c r="I41" s="912" t="str">
        <f t="shared" si="1"/>
        <v>2.10.1</v>
      </c>
      <c r="J41" s="912" t="str">
        <f t="shared" si="2"/>
        <v>Расходы на текущий ремонт</v>
      </c>
      <c r="K41" s="912" t="str">
        <f t="shared" si="3"/>
        <v>Указываются расходы на текущий ремонт, отнесенные к общепроизводственным расходам.</v>
      </c>
      <c r="L41" s="758" t="str">
        <f t="shared" si="4"/>
        <v>2.10.1</v>
      </c>
      <c r="M41" s="758" t="str">
        <f t="shared" si="5"/>
        <v>Расходы на текущий ремонт</v>
      </c>
      <c r="N41" s="758" t="str">
        <f t="shared" si="6"/>
        <v>Указываются расходы на текущий ремонт, отнесенные к общепроизводственным расходам.</v>
      </c>
      <c r="O41" s="866" t="s">
        <v>1998</v>
      </c>
      <c r="P41" s="866" t="s">
        <v>1985</v>
      </c>
      <c r="Q41" s="866" t="s">
        <v>1998</v>
      </c>
      <c r="R41" s="866" t="s">
        <v>1985</v>
      </c>
      <c r="S41" s="866"/>
      <c r="T41" s="757" t="s">
        <v>1999</v>
      </c>
      <c r="U41" s="757" t="s">
        <v>1999</v>
      </c>
      <c r="V41" s="757" t="s">
        <v>1999</v>
      </c>
      <c r="W41" s="757" t="s">
        <v>1999</v>
      </c>
      <c r="X41" s="757"/>
      <c r="Y41" s="908"/>
      <c r="Z41" s="760" t="s">
        <v>2000</v>
      </c>
      <c r="AA41" s="760" t="s">
        <v>2000</v>
      </c>
      <c r="AB41" s="760" t="s">
        <v>2000</v>
      </c>
      <c r="AC41" s="760" t="s">
        <v>2000</v>
      </c>
      <c r="AD41" s="760"/>
    </row>
    <row r="42" spans="1:30" ht="27" customHeight="1">
      <c r="A42" s="759"/>
      <c r="B42" s="812">
        <v>25</v>
      </c>
      <c r="C42" s="757" t="s">
        <v>2001</v>
      </c>
      <c r="D42" s="876"/>
      <c r="E42" s="757"/>
      <c r="F42" s="757"/>
      <c r="G42" s="757"/>
      <c r="H42" s="804"/>
      <c r="I42" s="912" t="str">
        <f t="shared" si="1"/>
        <v>2.10.2</v>
      </c>
      <c r="J42" s="912" t="str">
        <f t="shared" si="2"/>
        <v>Расходы на капитальный ремонт</v>
      </c>
      <c r="K42" s="912" t="str">
        <f t="shared" si="3"/>
        <v>Указываются расходы на капитальный ремонт, отнесенные к общепроизводственным расходам.</v>
      </c>
      <c r="L42" s="758" t="str">
        <f t="shared" si="4"/>
        <v>2.10.2</v>
      </c>
      <c r="M42" s="758" t="str">
        <f t="shared" si="5"/>
        <v>Расходы на капитальный ремонт</v>
      </c>
      <c r="N42" s="758" t="str">
        <f t="shared" si="6"/>
        <v>Указываются расходы на капитальный ремонт, отнесенные к общепроизводственным расходам.</v>
      </c>
      <c r="O42" s="866" t="s">
        <v>2002</v>
      </c>
      <c r="P42" s="866" t="s">
        <v>1988</v>
      </c>
      <c r="Q42" s="866" t="s">
        <v>2002</v>
      </c>
      <c r="R42" s="866" t="s">
        <v>1988</v>
      </c>
      <c r="S42" s="866"/>
      <c r="T42" s="757" t="s">
        <v>2003</v>
      </c>
      <c r="U42" s="757" t="s">
        <v>2003</v>
      </c>
      <c r="V42" s="757" t="s">
        <v>2003</v>
      </c>
      <c r="W42" s="757" t="s">
        <v>2003</v>
      </c>
      <c r="X42" s="757"/>
      <c r="Y42" s="908"/>
      <c r="Z42" s="760" t="s">
        <v>2004</v>
      </c>
      <c r="AA42" s="760" t="s">
        <v>2004</v>
      </c>
      <c r="AB42" s="760" t="s">
        <v>2004</v>
      </c>
      <c r="AC42" s="760" t="s">
        <v>2004</v>
      </c>
      <c r="AD42" s="760"/>
    </row>
    <row r="43" spans="1:30" ht="18" customHeight="1">
      <c r="A43" s="759"/>
      <c r="B43" s="812">
        <v>26</v>
      </c>
      <c r="C43" s="757">
        <v>14</v>
      </c>
      <c r="D43" s="876"/>
      <c r="E43" s="757"/>
      <c r="F43" s="757"/>
      <c r="G43" s="757"/>
      <c r="H43" s="804"/>
      <c r="I43" s="912" t="str">
        <f t="shared" si="1"/>
        <v>2.11</v>
      </c>
      <c r="J43" s="912" t="str">
        <f t="shared" si="2"/>
        <v>Общехозяйственные расходы, в том числе:</v>
      </c>
      <c r="K43" s="912" t="str">
        <f t="shared" si="3"/>
        <v>Указывается общая сумма общехозяйственных расходов.</v>
      </c>
      <c r="L43" s="758" t="str">
        <f t="shared" si="4"/>
        <v>2.11</v>
      </c>
      <c r="M43" s="758" t="str">
        <f t="shared" si="5"/>
        <v>Общехозяйственные расходы, в том числе:</v>
      </c>
      <c r="N43" s="758" t="str">
        <f t="shared" si="6"/>
        <v>Указывается общая сумма общехозяйственных расходов.</v>
      </c>
      <c r="O43" s="866" t="s">
        <v>2005</v>
      </c>
      <c r="P43" s="866" t="s">
        <v>642</v>
      </c>
      <c r="Q43" s="866" t="s">
        <v>2005</v>
      </c>
      <c r="R43" s="866" t="s">
        <v>642</v>
      </c>
      <c r="S43" s="866"/>
      <c r="T43" s="757" t="s">
        <v>2006</v>
      </c>
      <c r="U43" s="757" t="s">
        <v>2006</v>
      </c>
      <c r="V43" s="757" t="s">
        <v>2006</v>
      </c>
      <c r="W43" s="757" t="s">
        <v>2006</v>
      </c>
      <c r="X43" s="757"/>
      <c r="Y43" s="908"/>
      <c r="Z43" s="760" t="s">
        <v>2007</v>
      </c>
      <c r="AA43" s="760" t="s">
        <v>2007</v>
      </c>
      <c r="AB43" s="760" t="s">
        <v>2007</v>
      </c>
      <c r="AC43" s="760" t="s">
        <v>2007</v>
      </c>
      <c r="AD43" s="760"/>
    </row>
    <row r="44" spans="1:30" ht="27" customHeight="1">
      <c r="A44" s="759"/>
      <c r="B44" s="812">
        <v>27</v>
      </c>
      <c r="C44" s="757" t="s">
        <v>2008</v>
      </c>
      <c r="D44" s="876"/>
      <c r="E44" s="757"/>
      <c r="F44" s="757"/>
      <c r="G44" s="757"/>
      <c r="H44" s="804"/>
      <c r="I44" s="912" t="str">
        <f t="shared" si="1"/>
        <v>2.11.1</v>
      </c>
      <c r="J44" s="912" t="str">
        <f t="shared" si="2"/>
        <v>Расходы на текущий ремонт</v>
      </c>
      <c r="K44" s="912" t="str">
        <f t="shared" si="3"/>
        <v>Указываются расходы на текущий ремонт, отнесенные к общехозяйственным расходам.</v>
      </c>
      <c r="L44" s="758" t="str">
        <f t="shared" si="4"/>
        <v>2.11.1</v>
      </c>
      <c r="M44" s="758" t="str">
        <f t="shared" si="5"/>
        <v>Расходы на текущий ремонт</v>
      </c>
      <c r="N44" s="758" t="str">
        <f t="shared" si="6"/>
        <v>Указываются расходы на текущий ремонт, отнесенные к общехозяйственным расходам.</v>
      </c>
      <c r="O44" s="866" t="s">
        <v>2009</v>
      </c>
      <c r="P44" s="866" t="s">
        <v>2010</v>
      </c>
      <c r="Q44" s="866" t="s">
        <v>2009</v>
      </c>
      <c r="R44" s="866" t="s">
        <v>2010</v>
      </c>
      <c r="S44" s="866"/>
      <c r="T44" s="757" t="s">
        <v>1999</v>
      </c>
      <c r="U44" s="757" t="s">
        <v>1999</v>
      </c>
      <c r="V44" s="757" t="s">
        <v>1999</v>
      </c>
      <c r="W44" s="757" t="s">
        <v>1999</v>
      </c>
      <c r="X44" s="757"/>
      <c r="Y44" s="908"/>
      <c r="Z44" s="760" t="s">
        <v>2011</v>
      </c>
      <c r="AA44" s="760" t="s">
        <v>2011</v>
      </c>
      <c r="AB44" s="760" t="s">
        <v>2011</v>
      </c>
      <c r="AC44" s="760" t="s">
        <v>2011</v>
      </c>
      <c r="AD44" s="760"/>
    </row>
    <row r="45" spans="1:30" ht="27" customHeight="1">
      <c r="A45" s="759"/>
      <c r="B45" s="812">
        <v>28</v>
      </c>
      <c r="C45" s="757" t="s">
        <v>2012</v>
      </c>
      <c r="D45" s="876"/>
      <c r="E45" s="757"/>
      <c r="F45" s="757"/>
      <c r="G45" s="757"/>
      <c r="H45" s="804"/>
      <c r="I45" s="912" t="str">
        <f t="shared" si="1"/>
        <v>2.11.2</v>
      </c>
      <c r="J45" s="912" t="str">
        <f t="shared" si="2"/>
        <v>Расходы на капитальный ремонт</v>
      </c>
      <c r="K45" s="912" t="str">
        <f t="shared" si="3"/>
        <v>Указываются расходы на капитальный ремонт, отнесенные к общехозяйственным расходам.</v>
      </c>
      <c r="L45" s="758" t="str">
        <f t="shared" si="4"/>
        <v>2.11.2</v>
      </c>
      <c r="M45" s="758" t="str">
        <f t="shared" si="5"/>
        <v>Расходы на капитальный ремонт</v>
      </c>
      <c r="N45" s="758" t="str">
        <f t="shared" si="6"/>
        <v>Указываются расходы на капитальный ремонт, отнесенные к общехозяйственным расходам.</v>
      </c>
      <c r="O45" s="866" t="s">
        <v>2013</v>
      </c>
      <c r="P45" s="866" t="s">
        <v>2014</v>
      </c>
      <c r="Q45" s="866" t="s">
        <v>2013</v>
      </c>
      <c r="R45" s="866" t="s">
        <v>2014</v>
      </c>
      <c r="S45" s="866"/>
      <c r="T45" s="757" t="s">
        <v>2003</v>
      </c>
      <c r="U45" s="757" t="s">
        <v>2003</v>
      </c>
      <c r="V45" s="757" t="s">
        <v>2003</v>
      </c>
      <c r="W45" s="757" t="s">
        <v>2003</v>
      </c>
      <c r="X45" s="757"/>
      <c r="Y45" s="908"/>
      <c r="Z45" s="760" t="s">
        <v>2015</v>
      </c>
      <c r="AA45" s="760" t="s">
        <v>2015</v>
      </c>
      <c r="AB45" s="760" t="s">
        <v>2015</v>
      </c>
      <c r="AC45" s="760" t="s">
        <v>2015</v>
      </c>
      <c r="AD45" s="760"/>
    </row>
    <row r="46" spans="1:30" ht="54" customHeight="1">
      <c r="A46" s="759"/>
      <c r="B46" s="812">
        <v>29</v>
      </c>
      <c r="C46" s="757">
        <v>15</v>
      </c>
      <c r="D46" s="876"/>
      <c r="E46" s="757"/>
      <c r="F46" s="757"/>
      <c r="G46" s="757"/>
      <c r="H46" s="804"/>
      <c r="I46" s="912" t="str">
        <f t="shared" si="1"/>
        <v>2.12</v>
      </c>
      <c r="J46" s="912" t="str">
        <f t="shared" si="2"/>
        <v>Расходы на капитальный и текущий ремонт основных средств</v>
      </c>
      <c r="K46" s="912"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8" t="str">
        <f t="shared" si="4"/>
        <v>2.12</v>
      </c>
      <c r="M46" s="758" t="str">
        <f t="shared" si="5"/>
        <v>Расходы на капитальный и текущий ремонт основных средств</v>
      </c>
      <c r="N46" s="758"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6" t="s">
        <v>2016</v>
      </c>
      <c r="P46" s="866" t="s">
        <v>1994</v>
      </c>
      <c r="Q46" s="866" t="s">
        <v>2016</v>
      </c>
      <c r="R46" s="866" t="s">
        <v>1994</v>
      </c>
      <c r="S46" s="866"/>
      <c r="T46" s="757" t="s">
        <v>2017</v>
      </c>
      <c r="U46" s="757" t="s">
        <v>2017</v>
      </c>
      <c r="V46" s="757" t="s">
        <v>2017</v>
      </c>
      <c r="W46" s="757" t="s">
        <v>2017</v>
      </c>
      <c r="X46" s="757"/>
      <c r="Y46" s="908"/>
      <c r="Z46" s="760" t="s">
        <v>2018</v>
      </c>
      <c r="AA46" s="760" t="s">
        <v>2019</v>
      </c>
      <c r="AB46" s="760" t="s">
        <v>2019</v>
      </c>
      <c r="AC46" s="760" t="s">
        <v>2019</v>
      </c>
      <c r="AD46" s="760"/>
    </row>
    <row r="47" spans="1:30" ht="54" customHeight="1">
      <c r="A47" s="759"/>
      <c r="B47" s="812">
        <v>30</v>
      </c>
      <c r="C47" s="757" t="s">
        <v>2020</v>
      </c>
      <c r="D47" s="876"/>
      <c r="E47" s="757"/>
      <c r="F47" s="757"/>
      <c r="G47" s="757"/>
      <c r="H47" s="804"/>
      <c r="I47" s="912" t="str">
        <f t="shared" si="1"/>
        <v>2.12.1</v>
      </c>
      <c r="J47" s="91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2">
        <f t="shared" si="3"/>
        <v>0</v>
      </c>
      <c r="L47" s="758" t="str">
        <f t="shared" si="4"/>
        <v>2.12.1</v>
      </c>
      <c r="M47"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8" t="str">
        <f t="shared" si="6"/>
        <v/>
      </c>
      <c r="O47" s="866" t="s">
        <v>2021</v>
      </c>
      <c r="P47" s="866" t="s">
        <v>1998</v>
      </c>
      <c r="Q47" s="866" t="s">
        <v>2021</v>
      </c>
      <c r="R47" s="866" t="s">
        <v>1998</v>
      </c>
      <c r="S47" s="866"/>
      <c r="T47" s="757" t="s">
        <v>2022</v>
      </c>
      <c r="U47" s="757" t="s">
        <v>2022</v>
      </c>
      <c r="V47" s="757" t="s">
        <v>2022</v>
      </c>
      <c r="W47" s="757" t="s">
        <v>2022</v>
      </c>
      <c r="X47" s="757"/>
      <c r="Y47" s="908"/>
      <c r="Z47" s="760"/>
      <c r="AA47" s="763"/>
      <c r="AB47" s="763"/>
      <c r="AC47" s="763"/>
      <c r="AD47" s="760"/>
    </row>
    <row r="48" spans="1:30" ht="54" customHeight="1">
      <c r="A48" s="759"/>
      <c r="B48" s="812">
        <v>31</v>
      </c>
      <c r="C48" s="757">
        <v>16</v>
      </c>
      <c r="D48" s="876"/>
      <c r="E48" s="757"/>
      <c r="F48" s="757"/>
      <c r="G48" s="757"/>
      <c r="H48" s="804"/>
      <c r="I48" s="912">
        <f t="shared" si="1"/>
        <v>0</v>
      </c>
      <c r="J48" s="912">
        <f t="shared" si="2"/>
        <v>0</v>
      </c>
      <c r="K48" s="912">
        <f t="shared" si="3"/>
        <v>0</v>
      </c>
      <c r="L48" s="758" t="str">
        <f t="shared" si="4"/>
        <v/>
      </c>
      <c r="M48" s="758" t="str">
        <f t="shared" si="5"/>
        <v/>
      </c>
      <c r="N48" s="758" t="str">
        <f t="shared" si="6"/>
        <v/>
      </c>
      <c r="O48" s="866"/>
      <c r="P48" s="866" t="s">
        <v>2005</v>
      </c>
      <c r="Q48" s="866" t="s">
        <v>2023</v>
      </c>
      <c r="R48" s="866" t="s">
        <v>2005</v>
      </c>
      <c r="S48" s="866"/>
      <c r="T48" s="757"/>
      <c r="U48" s="757" t="s">
        <v>2024</v>
      </c>
      <c r="V48" s="757" t="s">
        <v>2025</v>
      </c>
      <c r="W48" s="757" t="s">
        <v>2025</v>
      </c>
      <c r="X48" s="757"/>
      <c r="Y48" s="908"/>
      <c r="Z48" s="760"/>
      <c r="AA48" s="763" t="s">
        <v>2019</v>
      </c>
      <c r="AB48" s="763" t="s">
        <v>2019</v>
      </c>
      <c r="AC48" s="763" t="s">
        <v>2019</v>
      </c>
      <c r="AD48" s="760"/>
    </row>
    <row r="49" spans="1:30" ht="54" customHeight="1">
      <c r="A49" s="759"/>
      <c r="B49" s="812">
        <v>32</v>
      </c>
      <c r="C49" s="757" t="s">
        <v>2026</v>
      </c>
      <c r="D49" s="876"/>
      <c r="E49" s="757"/>
      <c r="F49" s="757"/>
      <c r="G49" s="757"/>
      <c r="H49" s="804"/>
      <c r="I49" s="912">
        <f t="shared" si="1"/>
        <v>0</v>
      </c>
      <c r="J49" s="912">
        <f t="shared" si="2"/>
        <v>0</v>
      </c>
      <c r="K49" s="912">
        <f t="shared" si="3"/>
        <v>0</v>
      </c>
      <c r="L49" s="758" t="str">
        <f t="shared" si="4"/>
        <v/>
      </c>
      <c r="M49" s="758" t="str">
        <f t="shared" si="5"/>
        <v/>
      </c>
      <c r="N49" s="758" t="str">
        <f t="shared" si="6"/>
        <v/>
      </c>
      <c r="O49" s="866"/>
      <c r="P49" s="866" t="s">
        <v>2009</v>
      </c>
      <c r="Q49" s="866" t="s">
        <v>2027</v>
      </c>
      <c r="R49" s="866" t="s">
        <v>2009</v>
      </c>
      <c r="S49" s="866"/>
      <c r="T49" s="757"/>
      <c r="U49" s="757" t="s">
        <v>2022</v>
      </c>
      <c r="V49" s="757" t="s">
        <v>2022</v>
      </c>
      <c r="W49" s="757" t="s">
        <v>2022</v>
      </c>
      <c r="X49" s="757"/>
      <c r="Y49" s="908"/>
      <c r="Z49" s="760"/>
      <c r="AA49" s="763"/>
      <c r="AB49" s="763"/>
      <c r="AC49" s="763"/>
      <c r="AD49" s="760"/>
    </row>
    <row r="50" spans="1:30" ht="126" customHeight="1">
      <c r="A50" s="759"/>
      <c r="B50" s="812">
        <v>33</v>
      </c>
      <c r="C50" s="757">
        <v>17</v>
      </c>
      <c r="D50" s="876"/>
      <c r="E50" s="757"/>
      <c r="F50" s="757"/>
      <c r="G50" s="757"/>
      <c r="H50" s="804"/>
      <c r="I50" s="912" t="str">
        <f t="shared" ref="I50:I81" si="7">INDEX(TEMPLATE_NUMBER_POINT_FHD,B50,MATCH(TEMPLATE_SPHERE,TEMPLATE_SPHERE_LIST_FOR_NOTE,0))</f>
        <v>2.13</v>
      </c>
      <c r="J50" s="912"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2"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8" t="str">
        <f t="shared" ref="L50:L81" si="10">IF(I50=0,"",I50)</f>
        <v>2.13</v>
      </c>
      <c r="M50" s="758"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8"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6" t="s">
        <v>2023</v>
      </c>
      <c r="P50" s="866" t="s">
        <v>2016</v>
      </c>
      <c r="Q50" s="866" t="s">
        <v>2028</v>
      </c>
      <c r="R50" s="866" t="s">
        <v>2016</v>
      </c>
      <c r="S50" s="866"/>
      <c r="T50" s="757" t="s">
        <v>2029</v>
      </c>
      <c r="U50" s="757" t="s">
        <v>2030</v>
      </c>
      <c r="V50" s="757" t="s">
        <v>2031</v>
      </c>
      <c r="W50" s="757" t="s">
        <v>2032</v>
      </c>
      <c r="X50" s="757"/>
      <c r="Y50" s="908"/>
      <c r="Z50" s="760" t="s">
        <v>2033</v>
      </c>
      <c r="AA50" s="763" t="s">
        <v>2034</v>
      </c>
      <c r="AB50" s="763" t="s">
        <v>2034</v>
      </c>
      <c r="AC50" s="763" t="s">
        <v>2034</v>
      </c>
      <c r="AD50" s="760"/>
    </row>
    <row r="51" spans="1:30" ht="27" customHeight="1">
      <c r="A51" s="759"/>
      <c r="B51" s="812">
        <v>34</v>
      </c>
      <c r="C51" s="757" t="s">
        <v>2035</v>
      </c>
      <c r="D51" s="876"/>
      <c r="E51" s="757"/>
      <c r="F51" s="757"/>
      <c r="G51" s="757"/>
      <c r="H51" s="804"/>
      <c r="I51" s="912" t="str">
        <f t="shared" si="7"/>
        <v>3</v>
      </c>
      <c r="J51" s="912" t="str">
        <f t="shared" si="8"/>
        <v>Валовая прибыль (убытки) от реализации товаров и оказания услуг по регулируемому виду деятельности</v>
      </c>
      <c r="K51" s="912">
        <f t="shared" si="9"/>
        <v>0</v>
      </c>
      <c r="L51" s="758" t="str">
        <f t="shared" si="10"/>
        <v>3</v>
      </c>
      <c r="M51" s="758" t="str">
        <f t="shared" si="11"/>
        <v>Валовая прибыль (убытки) от реализации товаров и оказания услуг по регулируемому виду деятельности</v>
      </c>
      <c r="N51" s="758" t="str">
        <f t="shared" si="12"/>
        <v/>
      </c>
      <c r="O51" s="866" t="s">
        <v>88</v>
      </c>
      <c r="P51" s="866"/>
      <c r="Q51" s="866"/>
      <c r="R51" s="866"/>
      <c r="S51" s="866"/>
      <c r="T51" s="757" t="s">
        <v>2036</v>
      </c>
      <c r="U51" s="757"/>
      <c r="V51" s="757"/>
      <c r="W51" s="757"/>
      <c r="X51" s="757"/>
      <c r="Y51" s="908"/>
      <c r="Z51" s="760"/>
      <c r="AA51" s="763"/>
      <c r="AB51" s="763"/>
      <c r="AC51" s="763"/>
      <c r="AD51" s="760"/>
    </row>
    <row r="52" spans="1:30" ht="36" customHeight="1">
      <c r="A52" s="759"/>
      <c r="B52" s="812">
        <v>35</v>
      </c>
      <c r="C52" s="757" t="s">
        <v>1928</v>
      </c>
      <c r="D52" s="876" t="s">
        <v>1928</v>
      </c>
      <c r="E52" s="757" t="s">
        <v>1928</v>
      </c>
      <c r="F52" s="757" t="s">
        <v>1928</v>
      </c>
      <c r="G52" s="757"/>
      <c r="H52" s="804"/>
      <c r="I52" s="912" t="str">
        <f t="shared" si="7"/>
        <v>4</v>
      </c>
      <c r="J52" s="912" t="str">
        <f t="shared" si="8"/>
        <v>Чистая прибыль, полученная от регулируемого вида деятельности, в том числе:</v>
      </c>
      <c r="K52" s="912" t="str">
        <f t="shared" si="9"/>
        <v>Указывается общая сумма чистой прибыли, полученной от регулируемого вида деятельности.</v>
      </c>
      <c r="L52" s="758" t="str">
        <f t="shared" si="10"/>
        <v>4</v>
      </c>
      <c r="M52" s="758" t="str">
        <f t="shared" si="11"/>
        <v>Чистая прибыль, полученная от регулируемого вида деятельности, в том числе:</v>
      </c>
      <c r="N52" s="758" t="str">
        <f t="shared" si="12"/>
        <v>Указывается общая сумма чистой прибыли, полученной от регулируемого вида деятельности.</v>
      </c>
      <c r="O52" s="866" t="s">
        <v>89</v>
      </c>
      <c r="P52" s="866" t="s">
        <v>88</v>
      </c>
      <c r="Q52" s="866" t="s">
        <v>88</v>
      </c>
      <c r="R52" s="866" t="s">
        <v>88</v>
      </c>
      <c r="S52" s="866"/>
      <c r="T52" s="757" t="s">
        <v>2037</v>
      </c>
      <c r="U52" s="757" t="s">
        <v>2038</v>
      </c>
      <c r="V52" s="757" t="s">
        <v>2039</v>
      </c>
      <c r="W52" s="757" t="s">
        <v>2040</v>
      </c>
      <c r="X52" s="757"/>
      <c r="Y52" s="908"/>
      <c r="Z52" s="760" t="s">
        <v>646</v>
      </c>
      <c r="AA52" s="763" t="s">
        <v>646</v>
      </c>
      <c r="AB52" s="763" t="s">
        <v>646</v>
      </c>
      <c r="AC52" s="763" t="s">
        <v>646</v>
      </c>
      <c r="AD52" s="760"/>
    </row>
    <row r="53" spans="1:30" ht="36" customHeight="1">
      <c r="A53" s="759"/>
      <c r="B53" s="812">
        <v>36</v>
      </c>
      <c r="C53" s="757">
        <v>1</v>
      </c>
      <c r="D53" s="876"/>
      <c r="E53" s="757"/>
      <c r="F53" s="757"/>
      <c r="G53" s="757"/>
      <c r="H53" s="804"/>
      <c r="I53" s="912" t="str">
        <f t="shared" si="7"/>
        <v>4.1</v>
      </c>
      <c r="J53" s="912"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2">
        <f t="shared" si="9"/>
        <v>0</v>
      </c>
      <c r="L53" s="758" t="str">
        <f t="shared" si="10"/>
        <v>4.1</v>
      </c>
      <c r="M53" s="75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8" t="str">
        <f t="shared" si="12"/>
        <v/>
      </c>
      <c r="O53" s="866" t="s">
        <v>650</v>
      </c>
      <c r="P53" s="866" t="s">
        <v>316</v>
      </c>
      <c r="Q53" s="866" t="s">
        <v>316</v>
      </c>
      <c r="R53" s="866" t="s">
        <v>316</v>
      </c>
      <c r="S53" s="866"/>
      <c r="T53" s="757" t="s">
        <v>2041</v>
      </c>
      <c r="U53" s="757" t="s">
        <v>2041</v>
      </c>
      <c r="V53" s="757" t="s">
        <v>2041</v>
      </c>
      <c r="W53" s="757" t="s">
        <v>2041</v>
      </c>
      <c r="X53" s="757"/>
      <c r="Y53" s="908"/>
      <c r="Z53" s="760"/>
      <c r="AA53" s="763"/>
      <c r="AB53" s="760"/>
      <c r="AC53" s="760"/>
      <c r="AD53" s="760"/>
    </row>
    <row r="54" spans="1:30" ht="18" customHeight="1">
      <c r="A54" s="759"/>
      <c r="B54" s="812">
        <v>37</v>
      </c>
      <c r="C54" s="757" t="s">
        <v>1934</v>
      </c>
      <c r="D54" s="876" t="s">
        <v>1934</v>
      </c>
      <c r="E54" s="757" t="s">
        <v>1934</v>
      </c>
      <c r="F54" s="757" t="s">
        <v>1934</v>
      </c>
      <c r="G54" s="757"/>
      <c r="H54" s="804"/>
      <c r="I54" s="912" t="str">
        <f t="shared" si="7"/>
        <v>5</v>
      </c>
      <c r="J54" s="912" t="str">
        <f t="shared" si="8"/>
        <v>Изменение стоимости основных фондов, в том числе:</v>
      </c>
      <c r="K54" s="912" t="str">
        <f t="shared" si="9"/>
        <v>Указывается общее изменение стоимости основных фондов.</v>
      </c>
      <c r="L54" s="758" t="str">
        <f t="shared" si="10"/>
        <v>5</v>
      </c>
      <c r="M54" s="758" t="str">
        <f t="shared" si="11"/>
        <v>Изменение стоимости основных фондов, в том числе:</v>
      </c>
      <c r="N54" s="758" t="str">
        <f t="shared" si="12"/>
        <v>Указывается общее изменение стоимости основных фондов.</v>
      </c>
      <c r="O54" s="866" t="s">
        <v>109</v>
      </c>
      <c r="P54" s="866" t="s">
        <v>89</v>
      </c>
      <c r="Q54" s="866" t="s">
        <v>89</v>
      </c>
      <c r="R54" s="866" t="s">
        <v>89</v>
      </c>
      <c r="S54" s="866"/>
      <c r="T54" s="757" t="s">
        <v>648</v>
      </c>
      <c r="U54" s="757" t="s">
        <v>648</v>
      </c>
      <c r="V54" s="757" t="s">
        <v>648</v>
      </c>
      <c r="W54" s="757" t="s">
        <v>648</v>
      </c>
      <c r="X54" s="757"/>
      <c r="Y54" s="908"/>
      <c r="Z54" s="760" t="s">
        <v>649</v>
      </c>
      <c r="AA54" s="760" t="s">
        <v>649</v>
      </c>
      <c r="AB54" s="760" t="s">
        <v>649</v>
      </c>
      <c r="AC54" s="760" t="s">
        <v>649</v>
      </c>
      <c r="AD54" s="760"/>
    </row>
    <row r="55" spans="1:30" ht="36" customHeight="1">
      <c r="A55" s="759"/>
      <c r="B55" s="812">
        <v>38</v>
      </c>
      <c r="C55" s="757">
        <v>1</v>
      </c>
      <c r="D55" s="876"/>
      <c r="E55" s="757"/>
      <c r="F55" s="757"/>
      <c r="G55" s="757"/>
      <c r="H55" s="804"/>
      <c r="I55" s="912" t="str">
        <f t="shared" si="7"/>
        <v>5.1</v>
      </c>
      <c r="J55" s="912" t="str">
        <f t="shared" si="8"/>
        <v>Изменение стоимости основных фондов за счет:</v>
      </c>
      <c r="K55" s="912" t="str">
        <f t="shared" si="9"/>
        <v>Указываются общее изменение стоимости основных фондов за счет их ввода в эксплуатацию и вывода из эксплуатации.</v>
      </c>
      <c r="L55" s="758" t="str">
        <f t="shared" si="10"/>
        <v>5.1</v>
      </c>
      <c r="M55" s="758" t="str">
        <f t="shared" si="11"/>
        <v>Изменение стоимости основных фондов за счет:</v>
      </c>
      <c r="N55" s="758" t="str">
        <f t="shared" si="12"/>
        <v>Указываются общее изменение стоимости основных фондов за счет их ввода в эксплуатацию и вывода из эксплуатации.</v>
      </c>
      <c r="O55" s="866" t="s">
        <v>305</v>
      </c>
      <c r="P55" s="866" t="s">
        <v>650</v>
      </c>
      <c r="Q55" s="866" t="s">
        <v>650</v>
      </c>
      <c r="R55" s="866" t="s">
        <v>650</v>
      </c>
      <c r="S55" s="866"/>
      <c r="T55" s="757" t="s">
        <v>2042</v>
      </c>
      <c r="U55" s="757" t="s">
        <v>2043</v>
      </c>
      <c r="V55" s="757" t="s">
        <v>2043</v>
      </c>
      <c r="W55" s="757" t="s">
        <v>2043</v>
      </c>
      <c r="X55" s="757"/>
      <c r="Y55" s="908"/>
      <c r="Z55" s="760" t="s">
        <v>2044</v>
      </c>
      <c r="AA55" s="760" t="s">
        <v>2044</v>
      </c>
      <c r="AB55" s="760" t="s">
        <v>2044</v>
      </c>
      <c r="AC55" s="760" t="s">
        <v>2044</v>
      </c>
      <c r="AD55" s="760"/>
    </row>
    <row r="56" spans="1:30" ht="27" customHeight="1">
      <c r="A56" s="759"/>
      <c r="B56" s="812">
        <v>39</v>
      </c>
      <c r="C56" s="757" t="s">
        <v>919</v>
      </c>
      <c r="D56" s="876"/>
      <c r="E56" s="757"/>
      <c r="F56" s="757"/>
      <c r="G56" s="757"/>
      <c r="H56" s="804"/>
      <c r="I56" s="912" t="str">
        <f t="shared" si="7"/>
        <v>5.1.1</v>
      </c>
      <c r="J56" s="912" t="str">
        <f t="shared" si="8"/>
        <v>Изменения стоимости основных фондов за счет их ввода в эксплуатацию</v>
      </c>
      <c r="K56" s="912" t="str">
        <f t="shared" si="9"/>
        <v>Указываются изменение стоимости основных фондов за счет их ввода в эксплуатацию.</v>
      </c>
      <c r="L56" s="758" t="str">
        <f t="shared" si="10"/>
        <v>5.1.1</v>
      </c>
      <c r="M56" s="758" t="str">
        <f t="shared" si="11"/>
        <v>Изменения стоимости основных фондов за счет их ввода в эксплуатацию</v>
      </c>
      <c r="N56" s="758" t="str">
        <f t="shared" si="12"/>
        <v>Указываются изменение стоимости основных фондов за счет их ввода в эксплуатацию.</v>
      </c>
      <c r="O56" s="866" t="s">
        <v>1037</v>
      </c>
      <c r="P56" s="866" t="s">
        <v>653</v>
      </c>
      <c r="Q56" s="866" t="s">
        <v>653</v>
      </c>
      <c r="R56" s="866" t="s">
        <v>653</v>
      </c>
      <c r="S56" s="866"/>
      <c r="T56" s="757" t="s">
        <v>2045</v>
      </c>
      <c r="U56" s="757" t="s">
        <v>2046</v>
      </c>
      <c r="V56" s="757" t="s">
        <v>2046</v>
      </c>
      <c r="W56" s="757" t="s">
        <v>2046</v>
      </c>
      <c r="X56" s="757"/>
      <c r="Y56" s="908"/>
      <c r="Z56" s="760" t="s">
        <v>655</v>
      </c>
      <c r="AA56" s="760" t="s">
        <v>655</v>
      </c>
      <c r="AB56" s="760" t="s">
        <v>655</v>
      </c>
      <c r="AC56" s="760" t="s">
        <v>655</v>
      </c>
      <c r="AD56" s="760"/>
    </row>
    <row r="57" spans="1:30" ht="27" customHeight="1">
      <c r="A57" s="759"/>
      <c r="B57" s="812">
        <v>40</v>
      </c>
      <c r="C57" s="757" t="s">
        <v>921</v>
      </c>
      <c r="D57" s="876"/>
      <c r="E57" s="757"/>
      <c r="F57" s="757"/>
      <c r="G57" s="757"/>
      <c r="H57" s="804"/>
      <c r="I57" s="912" t="str">
        <f t="shared" si="7"/>
        <v>5.1.2</v>
      </c>
      <c r="J57" s="912" t="str">
        <f t="shared" si="8"/>
        <v>Изменения стоимости основных фондов за счет их вывода в эксплуатацию</v>
      </c>
      <c r="K57" s="912" t="str">
        <f t="shared" si="9"/>
        <v>Указываются изменение стоимости основных фондов за счет их вывода из эксплуатации.</v>
      </c>
      <c r="L57" s="758" t="str">
        <f t="shared" si="10"/>
        <v>5.1.2</v>
      </c>
      <c r="M57" s="758" t="str">
        <f t="shared" si="11"/>
        <v>Изменения стоимости основных фондов за счет их вывода в эксплуатацию</v>
      </c>
      <c r="N57" s="758" t="str">
        <f t="shared" si="12"/>
        <v>Указываются изменение стоимости основных фондов за счет их вывода из эксплуатации.</v>
      </c>
      <c r="O57" s="866" t="s">
        <v>2047</v>
      </c>
      <c r="P57" s="866" t="s">
        <v>656</v>
      </c>
      <c r="Q57" s="866" t="s">
        <v>656</v>
      </c>
      <c r="R57" s="866" t="s">
        <v>656</v>
      </c>
      <c r="S57" s="866"/>
      <c r="T57" s="757" t="s">
        <v>2048</v>
      </c>
      <c r="U57" s="757" t="s">
        <v>2049</v>
      </c>
      <c r="V57" s="757" t="s">
        <v>2049</v>
      </c>
      <c r="W57" s="757" t="s">
        <v>2049</v>
      </c>
      <c r="X57" s="757"/>
      <c r="Y57" s="908"/>
      <c r="Z57" s="760" t="s">
        <v>658</v>
      </c>
      <c r="AA57" s="760" t="s">
        <v>658</v>
      </c>
      <c r="AB57" s="760" t="s">
        <v>658</v>
      </c>
      <c r="AC57" s="760" t="s">
        <v>658</v>
      </c>
      <c r="AD57" s="760"/>
    </row>
    <row r="58" spans="1:30" ht="18" customHeight="1">
      <c r="A58" s="759"/>
      <c r="B58" s="812">
        <v>41</v>
      </c>
      <c r="C58" s="757">
        <v>2</v>
      </c>
      <c r="D58" s="876"/>
      <c r="E58" s="757"/>
      <c r="F58" s="757"/>
      <c r="G58" s="757"/>
      <c r="H58" s="804"/>
      <c r="I58" s="912" t="str">
        <f t="shared" si="7"/>
        <v>5.2</v>
      </c>
      <c r="J58" s="912" t="str">
        <f t="shared" si="8"/>
        <v>Изменение стоимости основных фондов за счет их переоценки</v>
      </c>
      <c r="K58" s="912">
        <f t="shared" si="9"/>
        <v>0</v>
      </c>
      <c r="L58" s="758" t="str">
        <f t="shared" si="10"/>
        <v>5.2</v>
      </c>
      <c r="M58" s="758" t="str">
        <f t="shared" si="11"/>
        <v>Изменение стоимости основных фондов за счет их переоценки</v>
      </c>
      <c r="N58" s="758" t="str">
        <f t="shared" si="12"/>
        <v/>
      </c>
      <c r="O58" s="866" t="s">
        <v>307</v>
      </c>
      <c r="P58" s="866" t="s">
        <v>693</v>
      </c>
      <c r="Q58" s="866" t="s">
        <v>693</v>
      </c>
      <c r="R58" s="866" t="s">
        <v>693</v>
      </c>
      <c r="S58" s="866"/>
      <c r="T58" s="757" t="s">
        <v>2050</v>
      </c>
      <c r="U58" s="757" t="s">
        <v>2050</v>
      </c>
      <c r="V58" s="757" t="s">
        <v>2050</v>
      </c>
      <c r="W58" s="757" t="s">
        <v>2050</v>
      </c>
      <c r="X58" s="757"/>
      <c r="Y58" s="908"/>
      <c r="Z58" s="760"/>
      <c r="AA58" s="763"/>
      <c r="AB58" s="760"/>
      <c r="AC58" s="760"/>
      <c r="AD58" s="760"/>
    </row>
    <row r="59" spans="1:30" ht="36" customHeight="1">
      <c r="A59" s="759"/>
      <c r="B59" s="812">
        <v>42</v>
      </c>
      <c r="C59" s="757">
        <v>3</v>
      </c>
      <c r="D59" s="876" t="s">
        <v>2035</v>
      </c>
      <c r="E59" s="757" t="s">
        <v>2035</v>
      </c>
      <c r="F59" s="757" t="s">
        <v>2035</v>
      </c>
      <c r="G59" s="757"/>
      <c r="H59" s="804"/>
      <c r="I59" s="912">
        <f t="shared" si="7"/>
        <v>0</v>
      </c>
      <c r="J59" s="912">
        <f t="shared" si="8"/>
        <v>0</v>
      </c>
      <c r="K59" s="912">
        <f t="shared" si="9"/>
        <v>0</v>
      </c>
      <c r="L59" s="758" t="str">
        <f t="shared" si="10"/>
        <v/>
      </c>
      <c r="M59" s="758" t="str">
        <f t="shared" si="11"/>
        <v/>
      </c>
      <c r="N59" s="758" t="str">
        <f t="shared" si="12"/>
        <v/>
      </c>
      <c r="O59" s="866"/>
      <c r="P59" s="866" t="s">
        <v>109</v>
      </c>
      <c r="Q59" s="866" t="s">
        <v>109</v>
      </c>
      <c r="R59" s="866" t="s">
        <v>109</v>
      </c>
      <c r="S59" s="866"/>
      <c r="T59" s="757"/>
      <c r="U59" s="757" t="s">
        <v>2051</v>
      </c>
      <c r="V59" s="757" t="s">
        <v>2052</v>
      </c>
      <c r="W59" s="757" t="s">
        <v>2053</v>
      </c>
      <c r="X59" s="757"/>
      <c r="Y59" s="908"/>
      <c r="Z59" s="760"/>
      <c r="AA59" s="763"/>
      <c r="AB59" s="760"/>
      <c r="AC59" s="760"/>
      <c r="AD59" s="760"/>
    </row>
    <row r="60" spans="1:30" ht="81" customHeight="1">
      <c r="A60" s="759"/>
      <c r="B60" s="812">
        <v>43</v>
      </c>
      <c r="C60" s="757" t="s">
        <v>2054</v>
      </c>
      <c r="D60" s="876" t="s">
        <v>2054</v>
      </c>
      <c r="E60" s="757" t="s">
        <v>2054</v>
      </c>
      <c r="F60" s="757" t="s">
        <v>2054</v>
      </c>
      <c r="G60" s="757"/>
      <c r="H60" s="804"/>
      <c r="I60" s="912" t="str">
        <f t="shared" si="7"/>
        <v>6</v>
      </c>
      <c r="J60" s="912" t="str">
        <f t="shared" si="8"/>
        <v>Годовая бухгалтерская (финансовая) отчетность, включая бухгалтерский баланс и приложения к нему</v>
      </c>
      <c r="K60" s="912"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8" t="str">
        <f t="shared" si="10"/>
        <v>6</v>
      </c>
      <c r="M60" s="758" t="str">
        <f t="shared" si="11"/>
        <v>Годовая бухгалтерская (финансовая) отчетность, включая бухгалтерский баланс и приложения к нему</v>
      </c>
      <c r="N60" s="758"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6" t="s">
        <v>90</v>
      </c>
      <c r="P60" s="866" t="s">
        <v>90</v>
      </c>
      <c r="Q60" s="866" t="s">
        <v>90</v>
      </c>
      <c r="R60" s="866" t="s">
        <v>90</v>
      </c>
      <c r="S60" s="866"/>
      <c r="T60" s="757" t="s">
        <v>662</v>
      </c>
      <c r="U60" s="757" t="s">
        <v>662</v>
      </c>
      <c r="V60" s="757" t="s">
        <v>662</v>
      </c>
      <c r="W60" s="757" t="s">
        <v>662</v>
      </c>
      <c r="X60" s="757"/>
      <c r="Y60" s="908"/>
      <c r="Z60" s="760" t="s">
        <v>2055</v>
      </c>
      <c r="AA60" s="763" t="s">
        <v>2056</v>
      </c>
      <c r="AB60" s="760" t="s">
        <v>2057</v>
      </c>
      <c r="AC60" s="760" t="s">
        <v>2056</v>
      </c>
      <c r="AD60" s="760"/>
    </row>
    <row r="61" spans="1:30" ht="9" customHeight="1">
      <c r="A61" s="759"/>
      <c r="B61" s="812">
        <v>44</v>
      </c>
      <c r="C61" s="757"/>
      <c r="D61" s="876" t="s">
        <v>2058</v>
      </c>
      <c r="E61" s="757"/>
      <c r="F61" s="757"/>
      <c r="G61" s="757"/>
      <c r="H61" s="804"/>
      <c r="I61" s="912">
        <f t="shared" si="7"/>
        <v>0</v>
      </c>
      <c r="J61" s="912">
        <f t="shared" si="8"/>
        <v>0</v>
      </c>
      <c r="K61" s="912">
        <f t="shared" si="9"/>
        <v>0</v>
      </c>
      <c r="L61" s="758" t="str">
        <f t="shared" si="10"/>
        <v/>
      </c>
      <c r="M61" s="758" t="str">
        <f t="shared" si="11"/>
        <v/>
      </c>
      <c r="N61" s="758" t="str">
        <f t="shared" si="12"/>
        <v/>
      </c>
      <c r="O61" s="866"/>
      <c r="P61" s="866" t="s">
        <v>91</v>
      </c>
      <c r="Q61" s="866"/>
      <c r="R61" s="866"/>
      <c r="S61" s="866"/>
      <c r="T61" s="757"/>
      <c r="U61" s="757" t="s">
        <v>2059</v>
      </c>
      <c r="V61" s="757"/>
      <c r="W61" s="757"/>
      <c r="X61" s="757"/>
      <c r="Y61" s="908"/>
      <c r="Z61" s="760"/>
      <c r="AA61" s="763"/>
      <c r="AB61" s="760"/>
      <c r="AC61" s="760"/>
      <c r="AD61" s="760"/>
    </row>
    <row r="62" spans="1:30" ht="9" customHeight="1">
      <c r="A62" s="759"/>
      <c r="B62" s="812">
        <v>45</v>
      </c>
      <c r="C62" s="757"/>
      <c r="D62" s="876" t="s">
        <v>2060</v>
      </c>
      <c r="E62" s="757"/>
      <c r="F62" s="757"/>
      <c r="G62" s="757"/>
      <c r="H62" s="804"/>
      <c r="I62" s="912">
        <f t="shared" si="7"/>
        <v>0</v>
      </c>
      <c r="J62" s="912">
        <f t="shared" si="8"/>
        <v>0</v>
      </c>
      <c r="K62" s="912">
        <f t="shared" si="9"/>
        <v>0</v>
      </c>
      <c r="L62" s="758" t="str">
        <f t="shared" si="10"/>
        <v/>
      </c>
      <c r="M62" s="758" t="str">
        <f t="shared" si="11"/>
        <v/>
      </c>
      <c r="N62" s="758" t="str">
        <f t="shared" si="12"/>
        <v/>
      </c>
      <c r="O62" s="866"/>
      <c r="P62" s="866" t="s">
        <v>110</v>
      </c>
      <c r="Q62" s="866"/>
      <c r="R62" s="866"/>
      <c r="S62" s="866"/>
      <c r="T62" s="757"/>
      <c r="U62" s="757" t="s">
        <v>2061</v>
      </c>
      <c r="V62" s="757"/>
      <c r="W62" s="757"/>
      <c r="X62" s="757"/>
      <c r="Y62" s="908"/>
      <c r="Z62" s="760"/>
      <c r="AA62" s="763"/>
      <c r="AB62" s="760"/>
      <c r="AC62" s="760"/>
      <c r="AD62" s="760"/>
    </row>
    <row r="63" spans="1:30" ht="18" customHeight="1">
      <c r="A63" s="759"/>
      <c r="B63" s="812">
        <v>46</v>
      </c>
      <c r="C63" s="757"/>
      <c r="D63" s="876" t="s">
        <v>2062</v>
      </c>
      <c r="E63" s="757"/>
      <c r="F63" s="757"/>
      <c r="G63" s="757"/>
      <c r="H63" s="804"/>
      <c r="I63" s="912">
        <f t="shared" si="7"/>
        <v>0</v>
      </c>
      <c r="J63" s="912">
        <f t="shared" si="8"/>
        <v>0</v>
      </c>
      <c r="K63" s="912">
        <f t="shared" si="9"/>
        <v>0</v>
      </c>
      <c r="L63" s="758" t="str">
        <f t="shared" si="10"/>
        <v/>
      </c>
      <c r="M63" s="758" t="str">
        <f t="shared" si="11"/>
        <v/>
      </c>
      <c r="N63" s="758" t="str">
        <f t="shared" si="12"/>
        <v/>
      </c>
      <c r="O63" s="866"/>
      <c r="P63" s="866" t="s">
        <v>146</v>
      </c>
      <c r="Q63" s="866"/>
      <c r="R63" s="866"/>
      <c r="S63" s="866"/>
      <c r="T63" s="757"/>
      <c r="U63" s="757" t="s">
        <v>2063</v>
      </c>
      <c r="V63" s="757"/>
      <c r="W63" s="757"/>
      <c r="X63" s="757"/>
      <c r="Y63" s="908"/>
      <c r="Z63" s="760"/>
      <c r="AA63" s="763"/>
      <c r="AB63" s="760"/>
      <c r="AC63" s="760"/>
      <c r="AD63" s="760"/>
    </row>
    <row r="64" spans="1:30" ht="18" customHeight="1">
      <c r="A64" s="759"/>
      <c r="B64" s="812">
        <v>47</v>
      </c>
      <c r="C64" s="757"/>
      <c r="D64" s="876" t="s">
        <v>2064</v>
      </c>
      <c r="E64" s="757"/>
      <c r="F64" s="757"/>
      <c r="G64" s="757"/>
      <c r="H64" s="804"/>
      <c r="I64" s="912">
        <f t="shared" si="7"/>
        <v>0</v>
      </c>
      <c r="J64" s="912">
        <f t="shared" si="8"/>
        <v>0</v>
      </c>
      <c r="K64" s="912">
        <f t="shared" si="9"/>
        <v>0</v>
      </c>
      <c r="L64" s="758" t="str">
        <f t="shared" si="10"/>
        <v/>
      </c>
      <c r="M64" s="758" t="str">
        <f t="shared" si="11"/>
        <v/>
      </c>
      <c r="N64" s="758" t="str">
        <f t="shared" si="12"/>
        <v/>
      </c>
      <c r="O64" s="866"/>
      <c r="P64" s="866" t="s">
        <v>147</v>
      </c>
      <c r="Q64" s="866"/>
      <c r="R64" s="866"/>
      <c r="S64" s="866"/>
      <c r="T64" s="757"/>
      <c r="U64" s="757" t="s">
        <v>2065</v>
      </c>
      <c r="V64" s="757"/>
      <c r="W64" s="757"/>
      <c r="X64" s="757"/>
      <c r="Y64" s="908"/>
      <c r="Z64" s="760"/>
      <c r="AA64" s="763" t="s">
        <v>2066</v>
      </c>
      <c r="AB64" s="760"/>
      <c r="AC64" s="760"/>
      <c r="AD64" s="760"/>
    </row>
    <row r="65" spans="1:30" ht="18" customHeight="1">
      <c r="A65" s="759"/>
      <c r="B65" s="812">
        <v>48</v>
      </c>
      <c r="C65" s="757"/>
      <c r="D65" s="876"/>
      <c r="E65" s="757"/>
      <c r="F65" s="757"/>
      <c r="G65" s="757"/>
      <c r="H65" s="804"/>
      <c r="I65" s="912">
        <f t="shared" si="7"/>
        <v>0</v>
      </c>
      <c r="J65" s="912">
        <f t="shared" si="8"/>
        <v>0</v>
      </c>
      <c r="K65" s="912">
        <f t="shared" si="9"/>
        <v>0</v>
      </c>
      <c r="L65" s="758" t="str">
        <f t="shared" si="10"/>
        <v/>
      </c>
      <c r="M65" s="758" t="str">
        <f t="shared" si="11"/>
        <v/>
      </c>
      <c r="N65" s="758" t="str">
        <f t="shared" si="12"/>
        <v/>
      </c>
      <c r="O65" s="866"/>
      <c r="P65" s="866" t="s">
        <v>1976</v>
      </c>
      <c r="Q65" s="866"/>
      <c r="R65" s="866"/>
      <c r="S65" s="866"/>
      <c r="T65" s="757"/>
      <c r="U65" s="757" t="s">
        <v>2067</v>
      </c>
      <c r="V65" s="757"/>
      <c r="W65" s="757"/>
      <c r="X65" s="757"/>
      <c r="Y65" s="908"/>
      <c r="Z65" s="760"/>
      <c r="AA65" s="763"/>
      <c r="AB65" s="760"/>
      <c r="AC65" s="760"/>
      <c r="AD65" s="760"/>
    </row>
    <row r="66" spans="1:30" ht="18" customHeight="1">
      <c r="A66" s="759"/>
      <c r="B66" s="812">
        <v>49</v>
      </c>
      <c r="C66" s="757"/>
      <c r="D66" s="876"/>
      <c r="E66" s="757"/>
      <c r="F66" s="757"/>
      <c r="G66" s="757"/>
      <c r="H66" s="804"/>
      <c r="I66" s="912">
        <f t="shared" si="7"/>
        <v>0</v>
      </c>
      <c r="J66" s="912">
        <f t="shared" si="8"/>
        <v>0</v>
      </c>
      <c r="K66" s="912">
        <f t="shared" si="9"/>
        <v>0</v>
      </c>
      <c r="L66" s="758" t="str">
        <f t="shared" si="10"/>
        <v/>
      </c>
      <c r="M66" s="758" t="str">
        <f t="shared" si="11"/>
        <v/>
      </c>
      <c r="N66" s="758" t="str">
        <f t="shared" si="12"/>
        <v/>
      </c>
      <c r="O66" s="866"/>
      <c r="P66" s="866" t="s">
        <v>1980</v>
      </c>
      <c r="Q66" s="866"/>
      <c r="R66" s="866"/>
      <c r="S66" s="866"/>
      <c r="T66" s="757"/>
      <c r="U66" s="757" t="s">
        <v>2068</v>
      </c>
      <c r="V66" s="757"/>
      <c r="W66" s="757"/>
      <c r="X66" s="757"/>
      <c r="Y66" s="908"/>
      <c r="Z66" s="760"/>
      <c r="AA66" s="763"/>
      <c r="AB66" s="760"/>
      <c r="AC66" s="760"/>
      <c r="AD66" s="760"/>
    </row>
    <row r="67" spans="1:30" ht="27" customHeight="1">
      <c r="A67" s="759"/>
      <c r="B67" s="812">
        <v>50</v>
      </c>
      <c r="C67" s="757"/>
      <c r="D67" s="876"/>
      <c r="E67" s="757"/>
      <c r="F67" s="757"/>
      <c r="G67" s="757"/>
      <c r="H67" s="804"/>
      <c r="I67" s="912">
        <f t="shared" si="7"/>
        <v>0</v>
      </c>
      <c r="J67" s="912">
        <f t="shared" si="8"/>
        <v>0</v>
      </c>
      <c r="K67" s="912">
        <f t="shared" si="9"/>
        <v>0</v>
      </c>
      <c r="L67" s="758" t="str">
        <f t="shared" si="10"/>
        <v/>
      </c>
      <c r="M67" s="758" t="str">
        <f t="shared" si="11"/>
        <v/>
      </c>
      <c r="N67" s="758" t="str">
        <f t="shared" si="12"/>
        <v/>
      </c>
      <c r="O67" s="866"/>
      <c r="P67" s="866" t="s">
        <v>2069</v>
      </c>
      <c r="Q67" s="866"/>
      <c r="R67" s="866"/>
      <c r="S67" s="866"/>
      <c r="T67" s="757"/>
      <c r="U67" s="757" t="s">
        <v>2070</v>
      </c>
      <c r="V67" s="757"/>
      <c r="W67" s="757"/>
      <c r="X67" s="757"/>
      <c r="Y67" s="908"/>
      <c r="Z67" s="760"/>
      <c r="AA67" s="763"/>
      <c r="AB67" s="760"/>
      <c r="AC67" s="760"/>
      <c r="AD67" s="760"/>
    </row>
    <row r="68" spans="1:30" ht="27" customHeight="1">
      <c r="A68" s="759"/>
      <c r="B68" s="812">
        <v>51</v>
      </c>
      <c r="C68" s="757"/>
      <c r="D68" s="876"/>
      <c r="E68" s="757"/>
      <c r="F68" s="757"/>
      <c r="G68" s="757"/>
      <c r="H68" s="804"/>
      <c r="I68" s="912">
        <f t="shared" si="7"/>
        <v>0</v>
      </c>
      <c r="J68" s="912">
        <f t="shared" si="8"/>
        <v>0</v>
      </c>
      <c r="K68" s="912">
        <f t="shared" si="9"/>
        <v>0</v>
      </c>
      <c r="L68" s="758" t="str">
        <f t="shared" si="10"/>
        <v/>
      </c>
      <c r="M68" s="758" t="str">
        <f t="shared" si="11"/>
        <v/>
      </c>
      <c r="N68" s="758" t="str">
        <f t="shared" si="12"/>
        <v/>
      </c>
      <c r="O68" s="866"/>
      <c r="P68" s="866" t="s">
        <v>2071</v>
      </c>
      <c r="Q68" s="866"/>
      <c r="R68" s="866"/>
      <c r="S68" s="866"/>
      <c r="T68" s="757"/>
      <c r="U68" s="757" t="s">
        <v>2072</v>
      </c>
      <c r="V68" s="757"/>
      <c r="W68" s="757"/>
      <c r="X68" s="757"/>
      <c r="Y68" s="908"/>
      <c r="Z68" s="760"/>
      <c r="AA68" s="763"/>
      <c r="AB68" s="760"/>
      <c r="AC68" s="760"/>
      <c r="AD68" s="760"/>
    </row>
    <row r="69" spans="1:30" ht="9" customHeight="1">
      <c r="A69" s="759"/>
      <c r="B69" s="812">
        <v>52</v>
      </c>
      <c r="C69" s="757"/>
      <c r="D69" s="876" t="s">
        <v>2073</v>
      </c>
      <c r="E69" s="757"/>
      <c r="F69" s="757"/>
      <c r="G69" s="757"/>
      <c r="H69" s="804"/>
      <c r="I69" s="912">
        <f t="shared" si="7"/>
        <v>0</v>
      </c>
      <c r="J69" s="912">
        <f t="shared" si="8"/>
        <v>0</v>
      </c>
      <c r="K69" s="912">
        <f t="shared" si="9"/>
        <v>0</v>
      </c>
      <c r="L69" s="758" t="str">
        <f t="shared" si="10"/>
        <v/>
      </c>
      <c r="M69" s="758" t="str">
        <f t="shared" si="11"/>
        <v/>
      </c>
      <c r="N69" s="758" t="str">
        <f t="shared" si="12"/>
        <v/>
      </c>
      <c r="O69" s="866"/>
      <c r="P69" s="866" t="s">
        <v>148</v>
      </c>
      <c r="Q69" s="866"/>
      <c r="R69" s="866"/>
      <c r="S69" s="866"/>
      <c r="T69" s="757"/>
      <c r="U69" s="757" t="s">
        <v>2074</v>
      </c>
      <c r="V69" s="757"/>
      <c r="W69" s="757"/>
      <c r="X69" s="757"/>
      <c r="Y69" s="908"/>
      <c r="Z69" s="760"/>
      <c r="AA69" s="763"/>
      <c r="AB69" s="760"/>
      <c r="AC69" s="760"/>
      <c r="AD69" s="760"/>
    </row>
    <row r="70" spans="1:30" ht="27" customHeight="1">
      <c r="A70" s="759"/>
      <c r="B70" s="812">
        <v>53</v>
      </c>
      <c r="C70" s="757"/>
      <c r="D70" s="876"/>
      <c r="E70" s="757" t="s">
        <v>2058</v>
      </c>
      <c r="F70" s="757"/>
      <c r="G70" s="757"/>
      <c r="H70" s="804"/>
      <c r="I70" s="912">
        <f t="shared" si="7"/>
        <v>0</v>
      </c>
      <c r="J70" s="912">
        <f t="shared" si="8"/>
        <v>0</v>
      </c>
      <c r="K70" s="912">
        <f t="shared" si="9"/>
        <v>0</v>
      </c>
      <c r="L70" s="758" t="str">
        <f t="shared" si="10"/>
        <v/>
      </c>
      <c r="M70" s="758" t="str">
        <f t="shared" si="11"/>
        <v/>
      </c>
      <c r="N70" s="758" t="str">
        <f t="shared" si="12"/>
        <v/>
      </c>
      <c r="O70" s="866"/>
      <c r="P70" s="866"/>
      <c r="Q70" s="866" t="s">
        <v>91</v>
      </c>
      <c r="R70" s="866"/>
      <c r="S70" s="866"/>
      <c r="T70" s="757"/>
      <c r="U70" s="757"/>
      <c r="V70" s="757" t="s">
        <v>2075</v>
      </c>
      <c r="W70" s="757"/>
      <c r="X70" s="757"/>
      <c r="Y70" s="908"/>
      <c r="Z70" s="760"/>
      <c r="AA70" s="763"/>
      <c r="AB70" s="760"/>
      <c r="AC70" s="760"/>
      <c r="AD70" s="760"/>
    </row>
    <row r="71" spans="1:30" ht="36" customHeight="1">
      <c r="A71" s="759"/>
      <c r="B71" s="812">
        <v>54</v>
      </c>
      <c r="C71" s="757"/>
      <c r="D71" s="876"/>
      <c r="E71" s="757" t="s">
        <v>2060</v>
      </c>
      <c r="F71" s="757"/>
      <c r="G71" s="757"/>
      <c r="H71" s="804"/>
      <c r="I71" s="912">
        <f t="shared" si="7"/>
        <v>0</v>
      </c>
      <c r="J71" s="912">
        <f t="shared" si="8"/>
        <v>0</v>
      </c>
      <c r="K71" s="912">
        <f t="shared" si="9"/>
        <v>0</v>
      </c>
      <c r="L71" s="758" t="str">
        <f t="shared" si="10"/>
        <v/>
      </c>
      <c r="M71" s="758" t="str">
        <f t="shared" si="11"/>
        <v/>
      </c>
      <c r="N71" s="758" t="str">
        <f t="shared" si="12"/>
        <v/>
      </c>
      <c r="O71" s="866"/>
      <c r="P71" s="866"/>
      <c r="Q71" s="866" t="s">
        <v>110</v>
      </c>
      <c r="R71" s="866"/>
      <c r="S71" s="866"/>
      <c r="T71" s="757"/>
      <c r="U71" s="757"/>
      <c r="V71" s="757" t="s">
        <v>2076</v>
      </c>
      <c r="W71" s="757"/>
      <c r="X71" s="757"/>
      <c r="Y71" s="908"/>
      <c r="Z71" s="760"/>
      <c r="AA71" s="763"/>
      <c r="AB71" s="760"/>
      <c r="AC71" s="760"/>
      <c r="AD71" s="760"/>
    </row>
    <row r="72" spans="1:30" ht="27" customHeight="1">
      <c r="A72" s="759"/>
      <c r="B72" s="812">
        <v>55</v>
      </c>
      <c r="C72" s="757"/>
      <c r="D72" s="876"/>
      <c r="E72" s="757" t="s">
        <v>2062</v>
      </c>
      <c r="F72" s="757"/>
      <c r="G72" s="757"/>
      <c r="H72" s="804"/>
      <c r="I72" s="912">
        <f t="shared" si="7"/>
        <v>0</v>
      </c>
      <c r="J72" s="912">
        <f t="shared" si="8"/>
        <v>0</v>
      </c>
      <c r="K72" s="912">
        <f t="shared" si="9"/>
        <v>0</v>
      </c>
      <c r="L72" s="758" t="str">
        <f t="shared" si="10"/>
        <v/>
      </c>
      <c r="M72" s="758" t="str">
        <f t="shared" si="11"/>
        <v/>
      </c>
      <c r="N72" s="758" t="str">
        <f t="shared" si="12"/>
        <v/>
      </c>
      <c r="O72" s="866"/>
      <c r="P72" s="866"/>
      <c r="Q72" s="866" t="s">
        <v>146</v>
      </c>
      <c r="R72" s="866"/>
      <c r="S72" s="866"/>
      <c r="T72" s="757"/>
      <c r="U72" s="757"/>
      <c r="V72" s="757" t="s">
        <v>2077</v>
      </c>
      <c r="W72" s="757"/>
      <c r="X72" s="757"/>
      <c r="Y72" s="908"/>
      <c r="Z72" s="760"/>
      <c r="AA72" s="763"/>
      <c r="AB72" s="760"/>
      <c r="AC72" s="760"/>
      <c r="AD72" s="760"/>
    </row>
    <row r="73" spans="1:30" ht="36" customHeight="1">
      <c r="A73" s="759"/>
      <c r="B73" s="812">
        <v>56</v>
      </c>
      <c r="C73" s="757"/>
      <c r="D73" s="876"/>
      <c r="E73" s="757" t="s">
        <v>2064</v>
      </c>
      <c r="F73" s="757"/>
      <c r="G73" s="757"/>
      <c r="H73" s="804"/>
      <c r="I73" s="912">
        <f t="shared" si="7"/>
        <v>0</v>
      </c>
      <c r="J73" s="912">
        <f t="shared" si="8"/>
        <v>0</v>
      </c>
      <c r="K73" s="912">
        <f t="shared" si="9"/>
        <v>0</v>
      </c>
      <c r="L73" s="758" t="str">
        <f t="shared" si="10"/>
        <v/>
      </c>
      <c r="M73" s="758" t="str">
        <f t="shared" si="11"/>
        <v/>
      </c>
      <c r="N73" s="758" t="str">
        <f t="shared" si="12"/>
        <v/>
      </c>
      <c r="O73" s="866"/>
      <c r="P73" s="866"/>
      <c r="Q73" s="866" t="s">
        <v>147</v>
      </c>
      <c r="R73" s="866"/>
      <c r="S73" s="866"/>
      <c r="T73" s="757"/>
      <c r="U73" s="757"/>
      <c r="V73" s="757" t="s">
        <v>2078</v>
      </c>
      <c r="W73" s="757"/>
      <c r="X73" s="757"/>
      <c r="Y73" s="908"/>
      <c r="Z73" s="760"/>
      <c r="AA73" s="763"/>
      <c r="AB73" s="760"/>
      <c r="AC73" s="760"/>
      <c r="AD73" s="760"/>
    </row>
    <row r="74" spans="1:30" ht="18" customHeight="1">
      <c r="A74" s="759"/>
      <c r="B74" s="812">
        <v>57</v>
      </c>
      <c r="C74" s="757"/>
      <c r="D74" s="876"/>
      <c r="E74" s="757" t="s">
        <v>2073</v>
      </c>
      <c r="F74" s="757"/>
      <c r="G74" s="757"/>
      <c r="H74" s="804"/>
      <c r="I74" s="912">
        <f t="shared" si="7"/>
        <v>0</v>
      </c>
      <c r="J74" s="912">
        <f t="shared" si="8"/>
        <v>0</v>
      </c>
      <c r="K74" s="912">
        <f t="shared" si="9"/>
        <v>0</v>
      </c>
      <c r="L74" s="758" t="str">
        <f t="shared" si="10"/>
        <v/>
      </c>
      <c r="M74" s="758" t="str">
        <f t="shared" si="11"/>
        <v/>
      </c>
      <c r="N74" s="758" t="str">
        <f t="shared" si="12"/>
        <v/>
      </c>
      <c r="O74" s="866"/>
      <c r="P74" s="866"/>
      <c r="Q74" s="866" t="s">
        <v>148</v>
      </c>
      <c r="R74" s="866"/>
      <c r="S74" s="866"/>
      <c r="T74" s="757"/>
      <c r="U74" s="757"/>
      <c r="V74" s="757" t="s">
        <v>2079</v>
      </c>
      <c r="W74" s="757"/>
      <c r="X74" s="757"/>
      <c r="Y74" s="908"/>
      <c r="Z74" s="760"/>
      <c r="AA74" s="763"/>
      <c r="AB74" s="760"/>
      <c r="AC74" s="760"/>
      <c r="AD74" s="760"/>
    </row>
    <row r="75" spans="1:30" ht="18" customHeight="1">
      <c r="A75" s="759"/>
      <c r="B75" s="812">
        <v>58</v>
      </c>
      <c r="C75" s="757"/>
      <c r="D75" s="876"/>
      <c r="E75" s="757"/>
      <c r="F75" s="757" t="s">
        <v>2058</v>
      </c>
      <c r="G75" s="757"/>
      <c r="H75" s="804"/>
      <c r="I75" s="912">
        <f t="shared" si="7"/>
        <v>0</v>
      </c>
      <c r="J75" s="912">
        <f t="shared" si="8"/>
        <v>0</v>
      </c>
      <c r="K75" s="912">
        <f t="shared" si="9"/>
        <v>0</v>
      </c>
      <c r="L75" s="758" t="str">
        <f t="shared" si="10"/>
        <v/>
      </c>
      <c r="M75" s="758" t="str">
        <f t="shared" si="11"/>
        <v/>
      </c>
      <c r="N75" s="758" t="str">
        <f t="shared" si="12"/>
        <v/>
      </c>
      <c r="O75" s="866"/>
      <c r="P75" s="866"/>
      <c r="Q75" s="866"/>
      <c r="R75" s="866" t="s">
        <v>91</v>
      </c>
      <c r="S75" s="866"/>
      <c r="T75" s="757"/>
      <c r="U75" s="757"/>
      <c r="V75" s="757"/>
      <c r="W75" s="757" t="s">
        <v>2080</v>
      </c>
      <c r="X75" s="757"/>
      <c r="Y75" s="908"/>
      <c r="Z75" s="760"/>
      <c r="AA75" s="763"/>
      <c r="AB75" s="760"/>
      <c r="AC75" s="760"/>
      <c r="AD75" s="760"/>
    </row>
    <row r="76" spans="1:30" ht="36" customHeight="1">
      <c r="A76" s="759"/>
      <c r="B76" s="812">
        <v>59</v>
      </c>
      <c r="C76" s="757"/>
      <c r="D76" s="876"/>
      <c r="E76" s="757"/>
      <c r="F76" s="757" t="s">
        <v>2060</v>
      </c>
      <c r="G76" s="757"/>
      <c r="H76" s="804"/>
      <c r="I76" s="912">
        <f t="shared" si="7"/>
        <v>0</v>
      </c>
      <c r="J76" s="912">
        <f t="shared" si="8"/>
        <v>0</v>
      </c>
      <c r="K76" s="912">
        <f t="shared" si="9"/>
        <v>0</v>
      </c>
      <c r="L76" s="758" t="str">
        <f t="shared" si="10"/>
        <v/>
      </c>
      <c r="M76" s="758" t="str">
        <f t="shared" si="11"/>
        <v/>
      </c>
      <c r="N76" s="758" t="str">
        <f t="shared" si="12"/>
        <v/>
      </c>
      <c r="O76" s="866"/>
      <c r="P76" s="866"/>
      <c r="Q76" s="866"/>
      <c r="R76" s="866" t="s">
        <v>110</v>
      </c>
      <c r="S76" s="866"/>
      <c r="T76" s="757"/>
      <c r="U76" s="757"/>
      <c r="V76" s="757"/>
      <c r="W76" s="757" t="s">
        <v>2081</v>
      </c>
      <c r="X76" s="757"/>
      <c r="Y76" s="908"/>
      <c r="Z76" s="760"/>
      <c r="AA76" s="763"/>
      <c r="AB76" s="760"/>
      <c r="AC76" s="760"/>
      <c r="AD76" s="760"/>
    </row>
    <row r="77" spans="1:30" ht="18" customHeight="1">
      <c r="A77" s="759"/>
      <c r="B77" s="812">
        <v>60</v>
      </c>
      <c r="C77" s="757"/>
      <c r="D77" s="876"/>
      <c r="E77" s="757"/>
      <c r="F77" s="757" t="s">
        <v>2062</v>
      </c>
      <c r="G77" s="757"/>
      <c r="H77" s="804"/>
      <c r="I77" s="912">
        <f t="shared" si="7"/>
        <v>0</v>
      </c>
      <c r="J77" s="912">
        <f t="shared" si="8"/>
        <v>0</v>
      </c>
      <c r="K77" s="912">
        <f t="shared" si="9"/>
        <v>0</v>
      </c>
      <c r="L77" s="758" t="str">
        <f t="shared" si="10"/>
        <v/>
      </c>
      <c r="M77" s="758" t="str">
        <f t="shared" si="11"/>
        <v/>
      </c>
      <c r="N77" s="758" t="str">
        <f t="shared" si="12"/>
        <v/>
      </c>
      <c r="O77" s="866"/>
      <c r="P77" s="866"/>
      <c r="Q77" s="866"/>
      <c r="R77" s="866" t="s">
        <v>146</v>
      </c>
      <c r="S77" s="866"/>
      <c r="T77" s="757"/>
      <c r="U77" s="757"/>
      <c r="V77" s="757"/>
      <c r="W77" s="757" t="s">
        <v>2082</v>
      </c>
      <c r="X77" s="757"/>
      <c r="Y77" s="908"/>
      <c r="Z77" s="760"/>
      <c r="AA77" s="763"/>
      <c r="AB77" s="760"/>
      <c r="AC77" s="760"/>
      <c r="AD77" s="760"/>
    </row>
    <row r="78" spans="1:30" ht="72" customHeight="1">
      <c r="A78" s="759"/>
      <c r="B78" s="812">
        <v>61</v>
      </c>
      <c r="C78" s="757" t="s">
        <v>2058</v>
      </c>
      <c r="D78" s="876"/>
      <c r="E78" s="757"/>
      <c r="F78" s="757"/>
      <c r="G78" s="757"/>
      <c r="H78" s="804"/>
      <c r="I78" s="912" t="str">
        <f t="shared" si="7"/>
        <v>7</v>
      </c>
      <c r="J78" s="912"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2"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8" t="str">
        <f t="shared" si="10"/>
        <v>7</v>
      </c>
      <c r="M78" s="758"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8"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6" t="s">
        <v>91</v>
      </c>
      <c r="P78" s="866"/>
      <c r="Q78" s="866"/>
      <c r="R78" s="866"/>
      <c r="S78" s="866"/>
      <c r="T78" s="757" t="s">
        <v>2083</v>
      </c>
      <c r="U78" s="757"/>
      <c r="V78" s="757"/>
      <c r="W78" s="757"/>
      <c r="X78" s="757"/>
      <c r="Y78" s="908"/>
      <c r="Z78" s="760" t="s">
        <v>2084</v>
      </c>
      <c r="AA78" s="763"/>
      <c r="AB78" s="760"/>
      <c r="AC78" s="760"/>
      <c r="AD78" s="760"/>
    </row>
    <row r="79" spans="1:30" ht="36" customHeight="1">
      <c r="A79" s="759"/>
      <c r="B79" s="812">
        <v>62</v>
      </c>
      <c r="C79" s="757" t="s">
        <v>2060</v>
      </c>
      <c r="D79" s="876"/>
      <c r="E79" s="757"/>
      <c r="F79" s="757"/>
      <c r="G79" s="757"/>
      <c r="H79" s="804"/>
      <c r="I79" s="912" t="str">
        <f t="shared" si="7"/>
        <v>8</v>
      </c>
      <c r="J79" s="912" t="str">
        <f t="shared" si="8"/>
        <v>Тепловая нагрузка по договорам, заключенным в рамках осуществления регулируемых видов деятельности</v>
      </c>
      <c r="K79" s="912"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8" t="str">
        <f t="shared" si="10"/>
        <v>8</v>
      </c>
      <c r="M79" s="758" t="str">
        <f t="shared" si="11"/>
        <v>Тепловая нагрузка по договорам, заключенным в рамках осуществления регулируемых видов деятельности</v>
      </c>
      <c r="N79" s="758"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6" t="s">
        <v>110</v>
      </c>
      <c r="P79" s="866"/>
      <c r="Q79" s="866"/>
      <c r="R79" s="866"/>
      <c r="S79" s="866"/>
      <c r="T79" s="757" t="s">
        <v>2085</v>
      </c>
      <c r="U79" s="757"/>
      <c r="V79" s="757"/>
      <c r="W79" s="757"/>
      <c r="X79" s="757"/>
      <c r="Y79" s="908"/>
      <c r="Z79" s="760" t="s">
        <v>2086</v>
      </c>
      <c r="AA79" s="763"/>
      <c r="AB79" s="760"/>
      <c r="AC79" s="760"/>
      <c r="AD79" s="760"/>
    </row>
    <row r="80" spans="1:30" ht="45" customHeight="1">
      <c r="A80" s="759"/>
      <c r="B80" s="812">
        <v>63</v>
      </c>
      <c r="C80" s="757" t="s">
        <v>2062</v>
      </c>
      <c r="D80" s="876"/>
      <c r="E80" s="757"/>
      <c r="F80" s="757"/>
      <c r="G80" s="757"/>
      <c r="H80" s="804"/>
      <c r="I80" s="912" t="str">
        <f t="shared" si="7"/>
        <v>9</v>
      </c>
      <c r="J80" s="912" t="str">
        <f t="shared" si="8"/>
        <v>Объем вырабатываемой регулируемой организацией тепловой энергии в рамках осуществления регулируемых видов деятельности</v>
      </c>
      <c r="K80" s="912"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8" t="str">
        <f t="shared" si="10"/>
        <v>9</v>
      </c>
      <c r="M80" s="758" t="str">
        <f t="shared" si="11"/>
        <v>Объем вырабатываемой регулируемой организацией тепловой энергии в рамках осуществления регулируемых видов деятельности</v>
      </c>
      <c r="N80" s="758"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6" t="s">
        <v>146</v>
      </c>
      <c r="P80" s="866"/>
      <c r="Q80" s="866"/>
      <c r="R80" s="866"/>
      <c r="S80" s="866"/>
      <c r="T80" s="757" t="s">
        <v>2087</v>
      </c>
      <c r="U80" s="757"/>
      <c r="V80" s="757"/>
      <c r="W80" s="757"/>
      <c r="X80" s="757"/>
      <c r="Y80" s="908"/>
      <c r="Z80" s="760" t="s">
        <v>2088</v>
      </c>
      <c r="AA80" s="763"/>
      <c r="AB80" s="760"/>
      <c r="AC80" s="760"/>
      <c r="AD80" s="760"/>
    </row>
    <row r="81" spans="1:30" ht="36" customHeight="1">
      <c r="A81" s="759"/>
      <c r="B81" s="812">
        <v>64</v>
      </c>
      <c r="C81" s="757" t="s">
        <v>2064</v>
      </c>
      <c r="D81" s="876"/>
      <c r="E81" s="757"/>
      <c r="F81" s="757"/>
      <c r="G81" s="757"/>
      <c r="H81" s="804"/>
      <c r="I81" s="912" t="str">
        <f t="shared" si="7"/>
        <v>9.1</v>
      </c>
      <c r="J81" s="912" t="str">
        <f t="shared" si="8"/>
        <v>Объем приобретаемой регулируемой организацией тепловой энергии в рамках осуществления регулируемых видов деятельности</v>
      </c>
      <c r="K81" s="912" t="str">
        <f t="shared" si="9"/>
        <v>Информация указывается только едиными теплоснабжающими организациями.</v>
      </c>
      <c r="L81" s="758" t="str">
        <f t="shared" si="10"/>
        <v>9.1</v>
      </c>
      <c r="M81" s="758" t="str">
        <f t="shared" si="11"/>
        <v>Объем приобретаемой регулируемой организацией тепловой энергии в рамках осуществления регулируемых видов деятельности</v>
      </c>
      <c r="N81" s="758" t="str">
        <f t="shared" si="12"/>
        <v>Информация указывается только едиными теплоснабжающими организациями.</v>
      </c>
      <c r="O81" s="866" t="s">
        <v>1967</v>
      </c>
      <c r="P81" s="866"/>
      <c r="Q81" s="866"/>
      <c r="R81" s="866"/>
      <c r="S81" s="866"/>
      <c r="T81" s="757" t="s">
        <v>2089</v>
      </c>
      <c r="U81" s="757"/>
      <c r="V81" s="757"/>
      <c r="W81" s="757"/>
      <c r="X81" s="757"/>
      <c r="Y81" s="908"/>
      <c r="Z81" s="760" t="s">
        <v>2090</v>
      </c>
      <c r="AA81" s="763"/>
      <c r="AB81" s="760"/>
      <c r="AC81" s="760"/>
      <c r="AD81" s="760"/>
    </row>
    <row r="82" spans="1:30" ht="90" customHeight="1">
      <c r="A82" s="759"/>
      <c r="B82" s="812">
        <v>65</v>
      </c>
      <c r="C82" s="757" t="s">
        <v>2073</v>
      </c>
      <c r="D82" s="876"/>
      <c r="E82" s="757"/>
      <c r="F82" s="757"/>
      <c r="G82" s="757"/>
      <c r="H82" s="804"/>
      <c r="I82" s="912" t="str">
        <f t="shared" ref="I82:I101" si="13">INDEX(TEMPLATE_NUMBER_POINT_FHD,B82,MATCH(TEMPLATE_SPHERE,TEMPLATE_SPHERE_LIST_FOR_NOTE,0))</f>
        <v>10</v>
      </c>
      <c r="J82" s="912"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2"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8" t="str">
        <f t="shared" ref="L82:L101" si="16">IF(I82=0,"",I82)</f>
        <v>10</v>
      </c>
      <c r="M82" s="758"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8"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6" t="s">
        <v>147</v>
      </c>
      <c r="P82" s="866"/>
      <c r="Q82" s="866"/>
      <c r="R82" s="866"/>
      <c r="S82" s="866"/>
      <c r="T82" s="757" t="s">
        <v>2091</v>
      </c>
      <c r="U82" s="757"/>
      <c r="V82" s="757"/>
      <c r="W82" s="757"/>
      <c r="X82" s="757"/>
      <c r="Y82" s="908"/>
      <c r="Z82" s="760" t="s">
        <v>2092</v>
      </c>
      <c r="AA82" s="763"/>
      <c r="AB82" s="760"/>
      <c r="AC82" s="760"/>
      <c r="AD82" s="760"/>
    </row>
    <row r="83" spans="1:30" ht="9" customHeight="1">
      <c r="A83" s="759"/>
      <c r="B83" s="812">
        <v>66</v>
      </c>
      <c r="C83" s="757"/>
      <c r="D83" s="876"/>
      <c r="E83" s="757"/>
      <c r="F83" s="757"/>
      <c r="G83" s="757"/>
      <c r="H83" s="804"/>
      <c r="I83" s="912" t="str">
        <f t="shared" si="13"/>
        <v>10.1</v>
      </c>
      <c r="J83" s="912" t="str">
        <f t="shared" si="14"/>
        <v xml:space="preserve">По приборам учёта </v>
      </c>
      <c r="K83" s="912">
        <f t="shared" si="15"/>
        <v>0</v>
      </c>
      <c r="L83" s="758" t="str">
        <f t="shared" si="16"/>
        <v>10.1</v>
      </c>
      <c r="M83" s="758" t="str">
        <f t="shared" si="17"/>
        <v xml:space="preserve">По приборам учёта </v>
      </c>
      <c r="N83" s="758" t="str">
        <f t="shared" si="18"/>
        <v/>
      </c>
      <c r="O83" s="866" t="s">
        <v>1976</v>
      </c>
      <c r="P83" s="866"/>
      <c r="Q83" s="866"/>
      <c r="R83" s="866"/>
      <c r="S83" s="866"/>
      <c r="T83" s="757" t="s">
        <v>2093</v>
      </c>
      <c r="U83" s="757"/>
      <c r="V83" s="757"/>
      <c r="W83" s="757"/>
      <c r="X83" s="757"/>
      <c r="Y83" s="908"/>
      <c r="Z83" s="760"/>
      <c r="AA83" s="763"/>
      <c r="AB83" s="760"/>
      <c r="AC83" s="760"/>
      <c r="AD83" s="760"/>
    </row>
    <row r="84" spans="1:30" ht="54" customHeight="1">
      <c r="A84" s="759"/>
      <c r="B84" s="812">
        <v>67</v>
      </c>
      <c r="C84" s="757"/>
      <c r="D84" s="876"/>
      <c r="E84" s="757"/>
      <c r="F84" s="757"/>
      <c r="G84" s="757"/>
      <c r="H84" s="804"/>
      <c r="I84" s="912" t="str">
        <f t="shared" si="13"/>
        <v>10.1.1</v>
      </c>
      <c r="J84" s="912"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2">
        <f t="shared" si="15"/>
        <v>0</v>
      </c>
      <c r="L84" s="758" t="str">
        <f t="shared" si="16"/>
        <v>10.1.1</v>
      </c>
      <c r="M84" s="758"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8" t="str">
        <f t="shared" si="18"/>
        <v/>
      </c>
      <c r="O84" s="866" t="s">
        <v>2094</v>
      </c>
      <c r="P84" s="866"/>
      <c r="Q84" s="866"/>
      <c r="R84" s="866"/>
      <c r="S84" s="866"/>
      <c r="T84" s="757" t="s">
        <v>2095</v>
      </c>
      <c r="U84" s="757"/>
      <c r="V84" s="757"/>
      <c r="W84" s="757"/>
      <c r="X84" s="757"/>
      <c r="Y84" s="908"/>
      <c r="Z84" s="760"/>
      <c r="AA84" s="763"/>
      <c r="AB84" s="760"/>
      <c r="AC84" s="760"/>
      <c r="AD84" s="760"/>
    </row>
    <row r="85" spans="1:30" ht="9" customHeight="1">
      <c r="A85" s="759"/>
      <c r="B85" s="812">
        <v>68</v>
      </c>
      <c r="C85" s="757"/>
      <c r="D85" s="876"/>
      <c r="E85" s="757"/>
      <c r="F85" s="757"/>
      <c r="G85" s="757"/>
      <c r="H85" s="804"/>
      <c r="I85" s="912" t="str">
        <f t="shared" si="13"/>
        <v>10.2</v>
      </c>
      <c r="J85" s="912" t="str">
        <f t="shared" si="14"/>
        <v>Расчётным путём</v>
      </c>
      <c r="K85" s="912">
        <f t="shared" si="15"/>
        <v>0</v>
      </c>
      <c r="L85" s="758" t="str">
        <f t="shared" si="16"/>
        <v>10.2</v>
      </c>
      <c r="M85" s="758" t="str">
        <f t="shared" si="17"/>
        <v>Расчётным путём</v>
      </c>
      <c r="N85" s="758" t="str">
        <f t="shared" si="18"/>
        <v/>
      </c>
      <c r="O85" s="866" t="s">
        <v>1980</v>
      </c>
      <c r="P85" s="866"/>
      <c r="Q85" s="866"/>
      <c r="R85" s="866"/>
      <c r="S85" s="866"/>
      <c r="T85" s="757" t="s">
        <v>2096</v>
      </c>
      <c r="U85" s="757"/>
      <c r="V85" s="757"/>
      <c r="W85" s="757"/>
      <c r="X85" s="757"/>
      <c r="Y85" s="908"/>
      <c r="Z85" s="760"/>
      <c r="AA85" s="763"/>
      <c r="AB85" s="760"/>
      <c r="AC85" s="760"/>
      <c r="AD85" s="760"/>
    </row>
    <row r="86" spans="1:30" ht="27" customHeight="1">
      <c r="A86" s="759"/>
      <c r="B86" s="812">
        <v>69</v>
      </c>
      <c r="C86" s="757"/>
      <c r="D86" s="876"/>
      <c r="E86" s="757"/>
      <c r="F86" s="757"/>
      <c r="G86" s="757"/>
      <c r="H86" s="804"/>
      <c r="I86" s="912" t="str">
        <f t="shared" si="13"/>
        <v>10.3</v>
      </c>
      <c r="J86" s="912" t="str">
        <f t="shared" si="14"/>
        <v>По нормативам потребления коммунальных услуг и нормативам потребления коммунальных ресурсов</v>
      </c>
      <c r="K86" s="912">
        <f t="shared" si="15"/>
        <v>0</v>
      </c>
      <c r="L86" s="758" t="str">
        <f t="shared" si="16"/>
        <v>10.3</v>
      </c>
      <c r="M86" s="758" t="str">
        <f t="shared" si="17"/>
        <v>По нормативам потребления коммунальных услуг и нормативам потребления коммунальных ресурсов</v>
      </c>
      <c r="N86" s="758" t="str">
        <f t="shared" si="18"/>
        <v/>
      </c>
      <c r="O86" s="866" t="s">
        <v>2097</v>
      </c>
      <c r="P86" s="866"/>
      <c r="Q86" s="866"/>
      <c r="R86" s="866"/>
      <c r="S86" s="866"/>
      <c r="T86" s="757" t="s">
        <v>2098</v>
      </c>
      <c r="U86" s="757"/>
      <c r="V86" s="757"/>
      <c r="W86" s="757"/>
      <c r="X86" s="757"/>
      <c r="Y86" s="908"/>
      <c r="Z86" s="760"/>
      <c r="AA86" s="763"/>
      <c r="AB86" s="760"/>
      <c r="AC86" s="760"/>
      <c r="AD86" s="760"/>
    </row>
    <row r="87" spans="1:30" ht="36" customHeight="1">
      <c r="A87" s="759"/>
      <c r="B87" s="812">
        <v>70</v>
      </c>
      <c r="C87" s="757" t="s">
        <v>2099</v>
      </c>
      <c r="D87" s="876"/>
      <c r="E87" s="757"/>
      <c r="F87" s="757"/>
      <c r="G87" s="757"/>
      <c r="H87" s="804"/>
      <c r="I87" s="912" t="str">
        <f t="shared" si="13"/>
        <v>11</v>
      </c>
      <c r="J87" s="912"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2">
        <f t="shared" si="15"/>
        <v>0</v>
      </c>
      <c r="L87" s="758" t="str">
        <f t="shared" si="16"/>
        <v>11</v>
      </c>
      <c r="M87" s="758"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8" t="str">
        <f t="shared" si="18"/>
        <v/>
      </c>
      <c r="O87" s="866" t="s">
        <v>148</v>
      </c>
      <c r="P87" s="866"/>
      <c r="Q87" s="866"/>
      <c r="R87" s="866"/>
      <c r="S87" s="866"/>
      <c r="T87" s="757" t="s">
        <v>2100</v>
      </c>
      <c r="U87" s="757"/>
      <c r="V87" s="757"/>
      <c r="W87" s="757"/>
      <c r="X87" s="757"/>
      <c r="Y87" s="908"/>
      <c r="Z87" s="760"/>
      <c r="AA87" s="763"/>
      <c r="AB87" s="760"/>
      <c r="AC87" s="760"/>
      <c r="AD87" s="760"/>
    </row>
    <row r="88" spans="1:30" ht="18" customHeight="1">
      <c r="A88" s="759"/>
      <c r="B88" s="812">
        <v>71</v>
      </c>
      <c r="C88" s="757" t="s">
        <v>2101</v>
      </c>
      <c r="D88" s="876"/>
      <c r="E88" s="757"/>
      <c r="F88" s="757"/>
      <c r="G88" s="757"/>
      <c r="H88" s="804"/>
      <c r="I88" s="912" t="str">
        <f t="shared" si="13"/>
        <v>12</v>
      </c>
      <c r="J88" s="912" t="str">
        <f t="shared" si="14"/>
        <v>Фактический объем потерь при передаче тепловой энергии</v>
      </c>
      <c r="K88" s="912">
        <f t="shared" si="15"/>
        <v>0</v>
      </c>
      <c r="L88" s="758" t="str">
        <f t="shared" si="16"/>
        <v>12</v>
      </c>
      <c r="M88" s="758" t="str">
        <f t="shared" si="17"/>
        <v>Фактический объем потерь при передаче тепловой энергии</v>
      </c>
      <c r="N88" s="758" t="str">
        <f t="shared" si="18"/>
        <v/>
      </c>
      <c r="O88" s="866" t="s">
        <v>149</v>
      </c>
      <c r="P88" s="866"/>
      <c r="Q88" s="866"/>
      <c r="R88" s="866"/>
      <c r="S88" s="866"/>
      <c r="T88" s="757" t="s">
        <v>2102</v>
      </c>
      <c r="U88" s="757"/>
      <c r="V88" s="757"/>
      <c r="W88" s="757"/>
      <c r="X88" s="757"/>
      <c r="Y88" s="908"/>
      <c r="Z88" s="760"/>
      <c r="AA88" s="763"/>
      <c r="AB88" s="760"/>
      <c r="AC88" s="760"/>
      <c r="AD88" s="760"/>
    </row>
    <row r="89" spans="1:30" ht="18" customHeight="1">
      <c r="A89" s="759"/>
      <c r="B89" s="812">
        <v>72</v>
      </c>
      <c r="C89" s="757" t="s">
        <v>2103</v>
      </c>
      <c r="D89" s="876" t="s">
        <v>2099</v>
      </c>
      <c r="E89" s="757" t="s">
        <v>2099</v>
      </c>
      <c r="F89" s="757" t="s">
        <v>2064</v>
      </c>
      <c r="G89" s="757"/>
      <c r="H89" s="804"/>
      <c r="I89" s="912" t="str">
        <f t="shared" si="13"/>
        <v>13</v>
      </c>
      <c r="J89" s="912" t="str">
        <f t="shared" si="14"/>
        <v>Среднесписочная численность основного производственного персонала</v>
      </c>
      <c r="K89" s="912">
        <f t="shared" si="15"/>
        <v>0</v>
      </c>
      <c r="L89" s="758" t="str">
        <f t="shared" si="16"/>
        <v>13</v>
      </c>
      <c r="M89" s="758" t="str">
        <f t="shared" si="17"/>
        <v>Среднесписочная численность основного производственного персонала</v>
      </c>
      <c r="N89" s="758" t="str">
        <f t="shared" si="18"/>
        <v/>
      </c>
      <c r="O89" s="866" t="s">
        <v>150</v>
      </c>
      <c r="P89" s="866" t="s">
        <v>149</v>
      </c>
      <c r="Q89" s="866" t="s">
        <v>149</v>
      </c>
      <c r="R89" s="866" t="s">
        <v>147</v>
      </c>
      <c r="S89" s="866"/>
      <c r="T89" s="757" t="s">
        <v>2104</v>
      </c>
      <c r="U89" s="757" t="s">
        <v>2104</v>
      </c>
      <c r="V89" s="757" t="s">
        <v>2104</v>
      </c>
      <c r="W89" s="757" t="s">
        <v>2104</v>
      </c>
      <c r="X89" s="757"/>
      <c r="Y89" s="908"/>
      <c r="Z89" s="760"/>
      <c r="AA89" s="763"/>
      <c r="AB89" s="760"/>
      <c r="AC89" s="760"/>
      <c r="AD89" s="760"/>
    </row>
    <row r="90" spans="1:30" ht="27" customHeight="1">
      <c r="A90" s="759"/>
      <c r="B90" s="812">
        <v>73</v>
      </c>
      <c r="C90" s="757" t="s">
        <v>2105</v>
      </c>
      <c r="D90" s="876"/>
      <c r="E90" s="757"/>
      <c r="F90" s="757"/>
      <c r="G90" s="757"/>
      <c r="H90" s="804"/>
      <c r="I90" s="912" t="str">
        <f t="shared" si="13"/>
        <v>14</v>
      </c>
      <c r="J90" s="912" t="str">
        <f t="shared" si="14"/>
        <v>Среднесписочная численность административно-управленческого персонала</v>
      </c>
      <c r="K90" s="912">
        <f t="shared" si="15"/>
        <v>0</v>
      </c>
      <c r="L90" s="758" t="str">
        <f t="shared" si="16"/>
        <v>14</v>
      </c>
      <c r="M90" s="758" t="str">
        <f t="shared" si="17"/>
        <v>Среднесписочная численность административно-управленческого персонала</v>
      </c>
      <c r="N90" s="758" t="str">
        <f t="shared" si="18"/>
        <v/>
      </c>
      <c r="O90" s="866" t="s">
        <v>151</v>
      </c>
      <c r="P90" s="866"/>
      <c r="Q90" s="866"/>
      <c r="R90" s="866"/>
      <c r="S90" s="866"/>
      <c r="T90" s="757" t="s">
        <v>2106</v>
      </c>
      <c r="U90" s="757"/>
      <c r="V90" s="757"/>
      <c r="W90" s="757"/>
      <c r="X90" s="757"/>
      <c r="Y90" s="908"/>
      <c r="Z90" s="760"/>
      <c r="AA90" s="763"/>
      <c r="AB90" s="760"/>
      <c r="AC90" s="760"/>
      <c r="AD90" s="760"/>
    </row>
    <row r="91" spans="1:30" ht="18" customHeight="1">
      <c r="A91" s="759"/>
      <c r="B91" s="812">
        <v>74</v>
      </c>
      <c r="C91" s="757"/>
      <c r="D91" s="876" t="s">
        <v>2101</v>
      </c>
      <c r="E91" s="757" t="s">
        <v>2101</v>
      </c>
      <c r="F91" s="757"/>
      <c r="G91" s="757"/>
      <c r="H91" s="804"/>
      <c r="I91" s="912">
        <f t="shared" si="13"/>
        <v>0</v>
      </c>
      <c r="J91" s="912">
        <f t="shared" si="14"/>
        <v>0</v>
      </c>
      <c r="K91" s="912">
        <f t="shared" si="15"/>
        <v>0</v>
      </c>
      <c r="L91" s="758" t="str">
        <f t="shared" si="16"/>
        <v/>
      </c>
      <c r="M91" s="758" t="str">
        <f t="shared" si="17"/>
        <v/>
      </c>
      <c r="N91" s="758" t="str">
        <f t="shared" si="18"/>
        <v/>
      </c>
      <c r="O91" s="866"/>
      <c r="P91" s="866" t="s">
        <v>150</v>
      </c>
      <c r="Q91" s="866" t="s">
        <v>150</v>
      </c>
      <c r="R91" s="866"/>
      <c r="S91" s="866"/>
      <c r="T91" s="757"/>
      <c r="U91" s="757" t="s">
        <v>2107</v>
      </c>
      <c r="V91" s="757" t="s">
        <v>2107</v>
      </c>
      <c r="W91" s="757"/>
      <c r="X91" s="757"/>
      <c r="Y91" s="908"/>
      <c r="Z91" s="760"/>
      <c r="AA91" s="763"/>
      <c r="AB91" s="760"/>
      <c r="AC91" s="760"/>
      <c r="AD91" s="760"/>
    </row>
    <row r="92" spans="1:30" ht="27" customHeight="1">
      <c r="A92" s="759"/>
      <c r="B92" s="812">
        <v>75</v>
      </c>
      <c r="C92" s="757"/>
      <c r="D92" s="876" t="s">
        <v>2103</v>
      </c>
      <c r="E92" s="757"/>
      <c r="F92" s="757"/>
      <c r="G92" s="757"/>
      <c r="H92" s="804"/>
      <c r="I92" s="912">
        <f t="shared" si="13"/>
        <v>0</v>
      </c>
      <c r="J92" s="912">
        <f t="shared" si="14"/>
        <v>0</v>
      </c>
      <c r="K92" s="912">
        <f t="shared" si="15"/>
        <v>0</v>
      </c>
      <c r="L92" s="758" t="str">
        <f t="shared" si="16"/>
        <v/>
      </c>
      <c r="M92" s="758" t="str">
        <f t="shared" si="17"/>
        <v/>
      </c>
      <c r="N92" s="758" t="str">
        <f t="shared" si="18"/>
        <v/>
      </c>
      <c r="O92" s="866"/>
      <c r="P92" s="866" t="s">
        <v>151</v>
      </c>
      <c r="Q92" s="866"/>
      <c r="R92" s="866"/>
      <c r="S92" s="866"/>
      <c r="T92" s="757"/>
      <c r="U92" s="757" t="s">
        <v>2108</v>
      </c>
      <c r="V92" s="757"/>
      <c r="W92" s="757"/>
      <c r="X92" s="757"/>
      <c r="Y92" s="908"/>
      <c r="Z92" s="760"/>
      <c r="AA92" s="763" t="s">
        <v>2109</v>
      </c>
      <c r="AB92" s="760"/>
      <c r="AC92" s="760"/>
      <c r="AD92" s="760"/>
    </row>
    <row r="93" spans="1:30" ht="27" customHeight="1">
      <c r="A93" s="759"/>
      <c r="B93" s="812">
        <v>76</v>
      </c>
      <c r="C93" s="757"/>
      <c r="D93" s="876"/>
      <c r="E93" s="757"/>
      <c r="F93" s="757"/>
      <c r="G93" s="757"/>
      <c r="H93" s="804"/>
      <c r="I93" s="912">
        <f t="shared" si="13"/>
        <v>0</v>
      </c>
      <c r="J93" s="912">
        <f t="shared" si="14"/>
        <v>0</v>
      </c>
      <c r="K93" s="912">
        <f t="shared" si="15"/>
        <v>0</v>
      </c>
      <c r="L93" s="758" t="str">
        <f t="shared" si="16"/>
        <v/>
      </c>
      <c r="M93" s="758" t="str">
        <f t="shared" si="17"/>
        <v/>
      </c>
      <c r="N93" s="758" t="str">
        <f t="shared" si="18"/>
        <v/>
      </c>
      <c r="O93" s="866"/>
      <c r="P93" s="866" t="s">
        <v>2008</v>
      </c>
      <c r="Q93" s="866"/>
      <c r="R93" s="866"/>
      <c r="S93" s="866"/>
      <c r="T93" s="757"/>
      <c r="U93" s="757" t="s">
        <v>2110</v>
      </c>
      <c r="V93" s="757"/>
      <c r="W93" s="757"/>
      <c r="X93" s="757"/>
      <c r="Y93" s="908"/>
      <c r="Z93" s="760"/>
      <c r="AA93" s="763" t="s">
        <v>2111</v>
      </c>
      <c r="AB93" s="760"/>
      <c r="AC93" s="760"/>
      <c r="AD93" s="760"/>
    </row>
    <row r="94" spans="1:30" ht="45" customHeight="1">
      <c r="A94" s="759"/>
      <c r="B94" s="812">
        <v>77</v>
      </c>
      <c r="C94" s="757"/>
      <c r="D94" s="876" t="s">
        <v>2105</v>
      </c>
      <c r="E94" s="757"/>
      <c r="F94" s="757"/>
      <c r="G94" s="757"/>
      <c r="H94" s="804"/>
      <c r="I94" s="912">
        <f t="shared" si="13"/>
        <v>0</v>
      </c>
      <c r="J94" s="912">
        <f t="shared" si="14"/>
        <v>0</v>
      </c>
      <c r="K94" s="912">
        <f t="shared" si="15"/>
        <v>0</v>
      </c>
      <c r="L94" s="758" t="str">
        <f t="shared" si="16"/>
        <v/>
      </c>
      <c r="M94" s="758" t="str">
        <f t="shared" si="17"/>
        <v/>
      </c>
      <c r="N94" s="758" t="str">
        <f t="shared" si="18"/>
        <v/>
      </c>
      <c r="O94" s="866"/>
      <c r="P94" s="866" t="s">
        <v>1459</v>
      </c>
      <c r="Q94" s="866"/>
      <c r="R94" s="866"/>
      <c r="S94" s="866"/>
      <c r="T94" s="757"/>
      <c r="U94" s="757" t="s">
        <v>2112</v>
      </c>
      <c r="V94" s="757"/>
      <c r="W94" s="757"/>
      <c r="X94" s="757"/>
      <c r="Y94" s="908"/>
      <c r="Z94" s="760"/>
      <c r="AA94" s="763" t="s">
        <v>2113</v>
      </c>
      <c r="AB94" s="760"/>
      <c r="AC94" s="760"/>
      <c r="AD94" s="760"/>
    </row>
    <row r="95" spans="1:30" ht="99" customHeight="1">
      <c r="A95" s="759"/>
      <c r="B95" s="812">
        <v>78</v>
      </c>
      <c r="C95" s="757" t="s">
        <v>2114</v>
      </c>
      <c r="D95" s="876"/>
      <c r="E95" s="757"/>
      <c r="F95" s="757"/>
      <c r="G95" s="757"/>
      <c r="H95" s="804"/>
      <c r="I95" s="912" t="str">
        <f t="shared" si="13"/>
        <v>15</v>
      </c>
      <c r="J95" s="912"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2">
        <f t="shared" si="15"/>
        <v>0</v>
      </c>
      <c r="L95" s="758" t="str">
        <f t="shared" si="16"/>
        <v>15</v>
      </c>
      <c r="M95" s="758"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8" t="str">
        <f t="shared" si="18"/>
        <v/>
      </c>
      <c r="O95" s="866" t="s">
        <v>1459</v>
      </c>
      <c r="P95" s="866"/>
      <c r="Q95" s="866"/>
      <c r="R95" s="866"/>
      <c r="S95" s="866"/>
      <c r="T95" s="757" t="s">
        <v>2115</v>
      </c>
      <c r="U95" s="757"/>
      <c r="V95" s="757"/>
      <c r="W95" s="757"/>
      <c r="X95" s="757"/>
      <c r="Y95" s="908"/>
      <c r="Z95" s="760"/>
      <c r="AA95" s="763"/>
      <c r="AB95" s="760"/>
      <c r="AC95" s="760"/>
      <c r="AD95" s="760"/>
    </row>
    <row r="96" spans="1:30" ht="99" customHeight="1">
      <c r="A96" s="759"/>
      <c r="B96" s="812">
        <v>79</v>
      </c>
      <c r="C96" s="757" t="s">
        <v>1046</v>
      </c>
      <c r="D96" s="876"/>
      <c r="E96" s="757"/>
      <c r="F96" s="757"/>
      <c r="G96" s="757"/>
      <c r="H96" s="804"/>
      <c r="I96" s="912" t="str">
        <f t="shared" si="13"/>
        <v>16</v>
      </c>
      <c r="J96" s="912"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2"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8" t="str">
        <f t="shared" si="16"/>
        <v>16</v>
      </c>
      <c r="M96" s="758"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8"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6" t="s">
        <v>97</v>
      </c>
      <c r="P96" s="866"/>
      <c r="Q96" s="866"/>
      <c r="R96" s="866"/>
      <c r="S96" s="866"/>
      <c r="T96" s="757" t="s">
        <v>2116</v>
      </c>
      <c r="U96" s="757"/>
      <c r="V96" s="757"/>
      <c r="W96" s="757"/>
      <c r="X96" s="757"/>
      <c r="Y96" s="908"/>
      <c r="Z96" s="760" t="s">
        <v>2117</v>
      </c>
      <c r="AA96" s="763"/>
      <c r="AB96" s="760"/>
      <c r="AC96" s="760"/>
      <c r="AD96" s="760"/>
    </row>
    <row r="97" spans="1:30" ht="63" customHeight="1">
      <c r="A97" s="759"/>
      <c r="B97" s="812">
        <v>80</v>
      </c>
      <c r="C97" s="757" t="s">
        <v>2118</v>
      </c>
      <c r="D97" s="876"/>
      <c r="E97" s="757"/>
      <c r="F97" s="757"/>
      <c r="G97" s="757"/>
      <c r="H97" s="804"/>
      <c r="I97" s="912" t="str">
        <f t="shared" si="13"/>
        <v>17</v>
      </c>
      <c r="J97" s="912"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2" t="str">
        <f t="shared" si="15"/>
        <v>Регулируемыми организациями указывается информация с по договорам, заключенным в рамках осуществления регулируемой деятельности.</v>
      </c>
      <c r="L97" s="758" t="str">
        <f t="shared" si="16"/>
        <v>17</v>
      </c>
      <c r="M97" s="758"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8" t="str">
        <f t="shared" si="18"/>
        <v>Регулируемыми организациями указывается информация с по договорам, заключенным в рамках осуществления регулируемой деятельности.</v>
      </c>
      <c r="O97" s="866" t="s">
        <v>1475</v>
      </c>
      <c r="P97" s="866"/>
      <c r="Q97" s="866"/>
      <c r="R97" s="866"/>
      <c r="S97" s="866"/>
      <c r="T97" s="757" t="s">
        <v>2119</v>
      </c>
      <c r="U97" s="757"/>
      <c r="V97" s="757"/>
      <c r="W97" s="757"/>
      <c r="X97" s="757"/>
      <c r="Y97" s="908"/>
      <c r="Z97" s="760" t="s">
        <v>2120</v>
      </c>
      <c r="AA97" s="763"/>
      <c r="AB97" s="760"/>
      <c r="AC97" s="760"/>
      <c r="AD97" s="760"/>
    </row>
    <row r="98" spans="1:30" ht="63" customHeight="1">
      <c r="A98" s="759"/>
      <c r="B98" s="812">
        <v>81</v>
      </c>
      <c r="C98" s="757" t="s">
        <v>2121</v>
      </c>
      <c r="D98" s="876"/>
      <c r="E98" s="757"/>
      <c r="F98" s="757"/>
      <c r="G98" s="757"/>
      <c r="H98" s="804"/>
      <c r="I98" s="912" t="str">
        <f t="shared" si="13"/>
        <v>18</v>
      </c>
      <c r="J98" s="912"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2" t="str">
        <f t="shared" si="15"/>
        <v>Регулируемыми организациями указывается информация с по договорам, заключенным в рамках осуществления регулируемой деятельности.</v>
      </c>
      <c r="L98" s="758" t="str">
        <f t="shared" si="16"/>
        <v>18</v>
      </c>
      <c r="M98" s="758"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8" t="str">
        <f t="shared" si="18"/>
        <v>Регулируемыми организациями указывается информация с по договорам, заключенным в рамках осуществления регулируемой деятельности.</v>
      </c>
      <c r="O98" s="866" t="s">
        <v>1489</v>
      </c>
      <c r="P98" s="866"/>
      <c r="Q98" s="866"/>
      <c r="R98" s="866"/>
      <c r="S98" s="866"/>
      <c r="T98" s="757" t="s">
        <v>2122</v>
      </c>
      <c r="U98" s="757"/>
      <c r="V98" s="757"/>
      <c r="W98" s="757"/>
      <c r="X98" s="757"/>
      <c r="Y98" s="908"/>
      <c r="Z98" s="760" t="s">
        <v>2120</v>
      </c>
      <c r="AA98" s="763"/>
      <c r="AB98" s="760"/>
      <c r="AC98" s="760"/>
      <c r="AD98" s="760"/>
    </row>
    <row r="99" spans="1:30" ht="90" customHeight="1">
      <c r="A99" s="759"/>
      <c r="B99" s="812">
        <v>82</v>
      </c>
      <c r="C99" s="757" t="s">
        <v>2123</v>
      </c>
      <c r="D99" s="876"/>
      <c r="E99" s="757"/>
      <c r="F99" s="757"/>
      <c r="G99" s="757"/>
      <c r="H99" s="804"/>
      <c r="I99" s="912" t="str">
        <f t="shared" si="13"/>
        <v>19</v>
      </c>
      <c r="J99" s="912"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2" t="str">
        <f t="shared" si="15"/>
        <v>Указывается ссылка на документ, предварительно загруженный в хранилище файлов ФГИС ЕИАС.</v>
      </c>
      <c r="L99" s="758" t="str">
        <f t="shared" si="16"/>
        <v>19</v>
      </c>
      <c r="M99" s="758"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8" t="str">
        <f t="shared" si="18"/>
        <v>Указывается ссылка на документ, предварительно загруженный в хранилище файлов ФГИС ЕИАС.</v>
      </c>
      <c r="O99" s="866" t="s">
        <v>1501</v>
      </c>
      <c r="P99" s="866"/>
      <c r="Q99" s="866"/>
      <c r="R99" s="866"/>
      <c r="S99" s="866"/>
      <c r="T99" s="757" t="s">
        <v>2124</v>
      </c>
      <c r="U99" s="757"/>
      <c r="V99" s="757"/>
      <c r="W99" s="757"/>
      <c r="X99" s="757"/>
      <c r="Y99" s="908"/>
      <c r="Z99" s="760" t="s">
        <v>786</v>
      </c>
      <c r="AA99" s="763"/>
      <c r="AB99" s="760"/>
      <c r="AC99" s="760"/>
      <c r="AD99" s="760"/>
    </row>
    <row r="100" spans="1:30" ht="27" customHeight="1">
      <c r="A100" s="759"/>
      <c r="B100" s="812">
        <v>83</v>
      </c>
      <c r="C100" s="757"/>
      <c r="D100" s="876"/>
      <c r="E100" s="757"/>
      <c r="F100" s="757"/>
      <c r="G100" s="757"/>
      <c r="H100" s="804"/>
      <c r="I100" s="912" t="str">
        <f t="shared" si="13"/>
        <v>19.1</v>
      </c>
      <c r="J100" s="912" t="str">
        <f t="shared" si="14"/>
        <v>Информация о показателях физического износа объектов теплоснабжения</v>
      </c>
      <c r="K100" s="912" t="str">
        <f t="shared" si="15"/>
        <v>Указывается ссылка на документ, предварительно загруженный в хранилище файлов ФГИС ЕИАС.</v>
      </c>
      <c r="L100" s="758" t="str">
        <f t="shared" si="16"/>
        <v>19.1</v>
      </c>
      <c r="M100" s="758" t="str">
        <f t="shared" si="17"/>
        <v>Информация о показателях физического износа объектов теплоснабжения</v>
      </c>
      <c r="N100" s="758" t="str">
        <f t="shared" si="18"/>
        <v>Указывается ссылка на документ, предварительно загруженный в хранилище файлов ФГИС ЕИАС.</v>
      </c>
      <c r="O100" s="866" t="s">
        <v>2125</v>
      </c>
      <c r="P100" s="866"/>
      <c r="Q100" s="866"/>
      <c r="R100" s="866"/>
      <c r="S100" s="866"/>
      <c r="T100" s="757" t="s">
        <v>2126</v>
      </c>
      <c r="U100" s="757"/>
      <c r="V100" s="757"/>
      <c r="W100" s="757"/>
      <c r="X100" s="757"/>
      <c r="Y100" s="908"/>
      <c r="Z100" s="760" t="s">
        <v>786</v>
      </c>
      <c r="AA100" s="763"/>
      <c r="AB100" s="760"/>
      <c r="AC100" s="760"/>
      <c r="AD100" s="760"/>
    </row>
    <row r="101" spans="1:30" ht="27" customHeight="1">
      <c r="A101" s="759"/>
      <c r="B101" s="812">
        <v>84</v>
      </c>
      <c r="C101" s="757"/>
      <c r="D101" s="876"/>
      <c r="E101" s="757"/>
      <c r="F101" s="757"/>
      <c r="G101" s="757"/>
      <c r="H101" s="804"/>
      <c r="I101" s="912" t="str">
        <f t="shared" si="13"/>
        <v>19.2</v>
      </c>
      <c r="J101" s="912" t="str">
        <f t="shared" si="14"/>
        <v>Информация о показателях энергетической эффективности объектов теплоснабжения</v>
      </c>
      <c r="K101" s="912" t="str">
        <f t="shared" si="15"/>
        <v>Указывается ссылка на документ, предварительно загруженный в хранилище файлов ФГИС ЕИАС.</v>
      </c>
      <c r="L101" s="758" t="str">
        <f t="shared" si="16"/>
        <v>19.2</v>
      </c>
      <c r="M101" s="758" t="str">
        <f t="shared" si="17"/>
        <v>Информация о показателях энергетической эффективности объектов теплоснабжения</v>
      </c>
      <c r="N101" s="758" t="str">
        <f t="shared" si="18"/>
        <v>Указывается ссылка на документ, предварительно загруженный в хранилище файлов ФГИС ЕИАС.</v>
      </c>
      <c r="O101" s="866" t="s">
        <v>2127</v>
      </c>
      <c r="P101" s="866"/>
      <c r="Q101" s="866"/>
      <c r="R101" s="866"/>
      <c r="S101" s="866"/>
      <c r="T101" s="757" t="s">
        <v>2128</v>
      </c>
      <c r="U101" s="757"/>
      <c r="V101" s="757"/>
      <c r="W101" s="757"/>
      <c r="X101" s="757"/>
      <c r="Y101" s="908"/>
      <c r="Z101" s="760" t="s">
        <v>786</v>
      </c>
      <c r="AA101" s="763"/>
      <c r="AB101" s="760"/>
      <c r="AC101" s="760"/>
      <c r="AD101" s="760"/>
    </row>
    <row r="102" spans="1:30" ht="9" customHeight="1">
      <c r="A102" s="759"/>
      <c r="B102" s="759"/>
      <c r="C102" s="757"/>
      <c r="D102" s="757"/>
      <c r="E102" s="757"/>
      <c r="F102" s="757"/>
      <c r="G102" s="757"/>
      <c r="H102" s="804"/>
      <c r="I102" s="804"/>
      <c r="J102" s="804"/>
      <c r="K102" s="804"/>
      <c r="L102" s="804"/>
      <c r="M102" s="757"/>
      <c r="N102" s="803"/>
      <c r="O102" s="866"/>
      <c r="P102" s="866"/>
      <c r="Q102" s="866"/>
      <c r="R102" s="866"/>
      <c r="S102" s="757"/>
      <c r="T102" s="757"/>
      <c r="U102" s="757"/>
      <c r="V102" s="757"/>
      <c r="W102" s="757"/>
      <c r="X102" s="757"/>
      <c r="Y102" s="908"/>
      <c r="Z102" s="760"/>
      <c r="AA102" s="763"/>
      <c r="AB102" s="760"/>
      <c r="AC102" s="760"/>
      <c r="AD102" s="760"/>
    </row>
    <row r="103" spans="1:30" ht="9" customHeight="1">
      <c r="A103" s="759"/>
      <c r="B103" s="759"/>
      <c r="C103" s="757"/>
      <c r="D103" s="757"/>
      <c r="E103" s="757"/>
      <c r="F103" s="757"/>
      <c r="G103" s="757"/>
      <c r="H103" s="804"/>
      <c r="I103" s="804"/>
      <c r="J103" s="804"/>
      <c r="K103" s="804"/>
      <c r="L103" s="804"/>
      <c r="M103" s="757"/>
      <c r="N103" s="803"/>
      <c r="O103" s="866"/>
      <c r="P103" s="866"/>
      <c r="Q103" s="866"/>
      <c r="R103" s="866"/>
      <c r="S103" s="757"/>
      <c r="T103" s="757"/>
      <c r="U103" s="757"/>
      <c r="V103" s="757"/>
      <c r="W103" s="757"/>
      <c r="X103" s="757"/>
      <c r="Y103" s="908"/>
      <c r="Z103" s="760"/>
      <c r="AA103" s="763"/>
      <c r="AB103" s="760"/>
      <c r="AC103" s="760"/>
      <c r="AD103" s="760"/>
    </row>
    <row r="104" spans="1:30" ht="9" customHeight="1">
      <c r="A104" s="759"/>
      <c r="B104" s="759"/>
      <c r="C104" s="757"/>
      <c r="D104" s="757"/>
      <c r="E104" s="757"/>
      <c r="F104" s="757"/>
      <c r="G104" s="757"/>
      <c r="H104" s="804"/>
      <c r="I104" s="804"/>
      <c r="J104" s="804"/>
      <c r="K104" s="804"/>
      <c r="L104" s="804"/>
      <c r="M104" s="757"/>
      <c r="N104" s="803"/>
      <c r="O104" s="866"/>
      <c r="P104" s="866"/>
      <c r="Q104" s="866"/>
      <c r="R104" s="866"/>
      <c r="S104" s="757"/>
      <c r="T104" s="757"/>
      <c r="U104" s="757"/>
      <c r="V104" s="757"/>
      <c r="W104" s="757"/>
      <c r="X104" s="757"/>
      <c r="Y104" s="908"/>
      <c r="Z104" s="760"/>
      <c r="AA104" s="763"/>
      <c r="AB104" s="760"/>
      <c r="AC104" s="760"/>
      <c r="AD104" s="760"/>
    </row>
    <row r="105" spans="1:30" ht="9" customHeight="1">
      <c r="A105" s="759"/>
      <c r="B105" s="759"/>
      <c r="C105" s="757"/>
      <c r="D105" s="757"/>
      <c r="E105" s="757"/>
      <c r="F105" s="757"/>
      <c r="G105" s="757"/>
      <c r="H105" s="804"/>
      <c r="I105" s="804"/>
      <c r="J105" s="804"/>
      <c r="K105" s="804"/>
      <c r="L105" s="804"/>
      <c r="M105" s="757"/>
      <c r="N105" s="803"/>
      <c r="O105" s="866"/>
      <c r="P105" s="866"/>
      <c r="Q105" s="866"/>
      <c r="R105" s="866"/>
      <c r="S105" s="757"/>
      <c r="T105" s="757"/>
      <c r="U105" s="757"/>
      <c r="V105" s="757"/>
      <c r="W105" s="757"/>
      <c r="X105" s="757"/>
      <c r="Y105" s="908"/>
      <c r="Z105" s="760"/>
      <c r="AA105" s="763"/>
      <c r="AB105" s="760"/>
      <c r="AC105" s="760"/>
      <c r="AD105" s="760"/>
    </row>
    <row r="106" spans="1:30" ht="9" customHeight="1">
      <c r="A106" s="759"/>
      <c r="B106" s="759"/>
      <c r="C106" s="757"/>
      <c r="D106" s="757"/>
      <c r="E106" s="757"/>
      <c r="F106" s="757"/>
      <c r="G106" s="757"/>
      <c r="H106" s="804"/>
      <c r="I106" s="804"/>
      <c r="J106" s="804"/>
      <c r="K106" s="804"/>
      <c r="L106" s="804"/>
      <c r="M106" s="757"/>
      <c r="N106" s="803"/>
      <c r="O106" s="866"/>
      <c r="P106" s="866"/>
      <c r="Q106" s="866"/>
      <c r="R106" s="866"/>
      <c r="S106" s="757"/>
      <c r="T106" s="757"/>
      <c r="U106" s="757"/>
      <c r="V106" s="757"/>
      <c r="W106" s="757"/>
      <c r="X106" s="757"/>
      <c r="Y106" s="908"/>
      <c r="Z106" s="760"/>
      <c r="AA106" s="763"/>
      <c r="AB106" s="760"/>
      <c r="AC106" s="760"/>
      <c r="AD106" s="760"/>
    </row>
    <row r="107" spans="1:30" ht="9" customHeight="1">
      <c r="A107" s="759"/>
      <c r="B107" s="759"/>
      <c r="C107" s="757"/>
      <c r="D107" s="757"/>
      <c r="E107" s="757"/>
      <c r="F107" s="757"/>
      <c r="G107" s="757"/>
      <c r="H107" s="804"/>
      <c r="I107" s="804"/>
      <c r="J107" s="804"/>
      <c r="K107" s="804"/>
      <c r="L107" s="804"/>
      <c r="M107" s="757"/>
      <c r="N107" s="803"/>
      <c r="O107" s="866"/>
      <c r="P107" s="866"/>
      <c r="Q107" s="866"/>
      <c r="R107" s="866"/>
      <c r="S107" s="757"/>
      <c r="T107" s="757"/>
      <c r="U107" s="757"/>
      <c r="V107" s="757"/>
      <c r="W107" s="757"/>
      <c r="X107" s="757"/>
      <c r="Y107" s="908"/>
      <c r="Z107" s="760"/>
      <c r="AA107" s="763"/>
      <c r="AB107" s="760"/>
      <c r="AC107" s="760"/>
      <c r="AD107" s="760"/>
    </row>
    <row r="108" spans="1:30" ht="9" customHeight="1">
      <c r="A108" s="759"/>
      <c r="B108" s="759"/>
      <c r="C108" s="757"/>
      <c r="D108" s="757"/>
      <c r="E108" s="757"/>
      <c r="F108" s="757"/>
      <c r="G108" s="757"/>
      <c r="H108" s="804"/>
      <c r="I108" s="804"/>
      <c r="J108" s="804"/>
      <c r="K108" s="804"/>
      <c r="L108" s="804"/>
      <c r="M108" s="757"/>
      <c r="N108" s="803"/>
      <c r="O108" s="866"/>
      <c r="P108" s="866"/>
      <c r="Q108" s="866"/>
      <c r="R108" s="866"/>
      <c r="S108" s="757"/>
      <c r="T108" s="757"/>
      <c r="U108" s="757"/>
      <c r="V108" s="757"/>
      <c r="W108" s="757"/>
      <c r="X108" s="757"/>
      <c r="Y108" s="908"/>
      <c r="Z108" s="760"/>
      <c r="AA108" s="763"/>
      <c r="AB108" s="760"/>
      <c r="AC108" s="760"/>
      <c r="AD108" s="760"/>
    </row>
    <row r="109" spans="1:30" ht="9" customHeight="1">
      <c r="A109" s="759"/>
      <c r="B109" s="759"/>
      <c r="C109" s="757"/>
      <c r="D109" s="757"/>
      <c r="E109" s="757"/>
      <c r="F109" s="757"/>
      <c r="G109" s="757"/>
      <c r="H109" s="804"/>
      <c r="I109" s="804"/>
      <c r="J109" s="804"/>
      <c r="K109" s="804"/>
      <c r="L109" s="804"/>
      <c r="M109" s="757"/>
      <c r="N109" s="803"/>
      <c r="O109" s="866"/>
      <c r="P109" s="866"/>
      <c r="Q109" s="866"/>
      <c r="R109" s="866"/>
      <c r="S109" s="757"/>
      <c r="T109" s="757"/>
      <c r="U109" s="757"/>
      <c r="V109" s="757"/>
      <c r="W109" s="757"/>
      <c r="X109" s="757"/>
      <c r="Y109" s="908"/>
      <c r="Z109" s="760"/>
      <c r="AA109" s="763"/>
      <c r="AB109" s="760"/>
      <c r="AC109" s="760"/>
      <c r="AD109" s="760"/>
    </row>
    <row r="110" spans="1:30" ht="9" customHeight="1">
      <c r="A110" s="759"/>
      <c r="B110" s="759"/>
      <c r="C110" s="757"/>
      <c r="D110" s="757"/>
      <c r="E110" s="757"/>
      <c r="F110" s="757"/>
      <c r="G110" s="757"/>
      <c r="H110" s="804"/>
      <c r="I110" s="804"/>
      <c r="J110" s="804"/>
      <c r="K110" s="804"/>
      <c r="L110" s="804"/>
      <c r="M110" s="757"/>
      <c r="N110" s="803"/>
      <c r="O110" s="866"/>
      <c r="P110" s="866"/>
      <c r="Q110" s="866"/>
      <c r="R110" s="866"/>
      <c r="S110" s="757"/>
      <c r="T110" s="757"/>
      <c r="U110" s="757"/>
      <c r="V110" s="757"/>
      <c r="W110" s="757"/>
      <c r="X110" s="757"/>
      <c r="Y110" s="908"/>
      <c r="Z110" s="760"/>
      <c r="AA110" s="763"/>
      <c r="AB110" s="760"/>
      <c r="AC110" s="760"/>
      <c r="AD110" s="760"/>
    </row>
    <row r="111" spans="1:30" ht="9" customHeight="1">
      <c r="A111" s="759"/>
      <c r="B111" s="759"/>
      <c r="C111" s="757"/>
      <c r="D111" s="757"/>
      <c r="E111" s="757"/>
      <c r="F111" s="757"/>
      <c r="G111" s="757"/>
      <c r="H111" s="804"/>
      <c r="I111" s="804"/>
      <c r="J111" s="804"/>
      <c r="K111" s="804"/>
      <c r="L111" s="804"/>
      <c r="M111" s="757"/>
      <c r="N111" s="803"/>
      <c r="O111" s="866"/>
      <c r="P111" s="866"/>
      <c r="Q111" s="866"/>
      <c r="R111" s="866"/>
      <c r="S111" s="757"/>
      <c r="T111" s="757"/>
      <c r="U111" s="757"/>
      <c r="V111" s="757"/>
      <c r="W111" s="757"/>
      <c r="X111" s="757"/>
      <c r="Y111" s="908"/>
      <c r="Z111" s="760"/>
      <c r="AA111" s="763"/>
      <c r="AB111" s="760"/>
      <c r="AC111" s="760"/>
      <c r="AD111" s="760"/>
    </row>
    <row r="112" spans="1:30" ht="9" customHeight="1">
      <c r="A112" s="759"/>
      <c r="B112" s="759"/>
      <c r="C112" s="757"/>
      <c r="D112" s="757"/>
      <c r="E112" s="757"/>
      <c r="F112" s="757"/>
      <c r="G112" s="757"/>
      <c r="H112" s="804"/>
      <c r="I112" s="804"/>
      <c r="J112" s="804"/>
      <c r="K112" s="804"/>
      <c r="L112" s="804"/>
      <c r="M112" s="757"/>
      <c r="N112" s="803"/>
      <c r="O112" s="866"/>
      <c r="P112" s="866"/>
      <c r="Q112" s="866"/>
      <c r="R112" s="866"/>
      <c r="S112" s="757"/>
      <c r="T112" s="757"/>
      <c r="U112" s="757"/>
      <c r="V112" s="757"/>
      <c r="W112" s="757"/>
      <c r="X112" s="757"/>
      <c r="Y112" s="908"/>
      <c r="Z112" s="760"/>
      <c r="AA112" s="763"/>
      <c r="AB112" s="760"/>
      <c r="AC112" s="760"/>
      <c r="AD112" s="760"/>
    </row>
    <row r="113" spans="1:30" ht="9" customHeight="1">
      <c r="A113" s="759"/>
      <c r="B113" s="759"/>
      <c r="C113" s="757"/>
      <c r="D113" s="757"/>
      <c r="E113" s="757"/>
      <c r="F113" s="757"/>
      <c r="G113" s="757"/>
      <c r="H113" s="804"/>
      <c r="I113" s="804"/>
      <c r="J113" s="804"/>
      <c r="K113" s="804"/>
      <c r="L113" s="804"/>
      <c r="M113" s="757"/>
      <c r="N113" s="803"/>
      <c r="O113" s="866"/>
      <c r="P113" s="866"/>
      <c r="Q113" s="866"/>
      <c r="R113" s="866"/>
      <c r="S113" s="757"/>
      <c r="T113" s="757"/>
      <c r="U113" s="757"/>
      <c r="V113" s="757"/>
      <c r="W113" s="757"/>
      <c r="X113" s="757"/>
      <c r="Y113" s="908"/>
      <c r="Z113" s="760"/>
      <c r="AA113" s="763"/>
      <c r="AB113" s="760"/>
      <c r="AC113" s="760"/>
      <c r="AD113" s="760"/>
    </row>
    <row r="114" spans="1:30" ht="9" customHeight="1">
      <c r="A114" s="759"/>
      <c r="B114" s="759"/>
      <c r="C114" s="757"/>
      <c r="D114" s="757"/>
      <c r="E114" s="757"/>
      <c r="F114" s="757"/>
      <c r="G114" s="757"/>
      <c r="H114" s="804"/>
      <c r="I114" s="804"/>
      <c r="J114" s="804"/>
      <c r="K114" s="804"/>
      <c r="L114" s="804"/>
      <c r="M114" s="757"/>
      <c r="N114" s="803"/>
      <c r="O114" s="866"/>
      <c r="P114" s="866"/>
      <c r="Q114" s="866"/>
      <c r="R114" s="866"/>
      <c r="S114" s="757"/>
      <c r="T114" s="757"/>
      <c r="U114" s="757"/>
      <c r="V114" s="757"/>
      <c r="W114" s="757"/>
      <c r="X114" s="757"/>
      <c r="Y114" s="908"/>
      <c r="Z114" s="760"/>
      <c r="AA114" s="763"/>
      <c r="AB114" s="760"/>
      <c r="AC114" s="760"/>
      <c r="AD114" s="760"/>
    </row>
    <row r="115" spans="1:30" ht="9" customHeight="1">
      <c r="A115" s="759"/>
      <c r="B115" s="759"/>
      <c r="C115" s="757"/>
      <c r="D115" s="757"/>
      <c r="E115" s="757"/>
      <c r="F115" s="757"/>
      <c r="G115" s="757"/>
      <c r="H115" s="804"/>
      <c r="I115" s="804"/>
      <c r="J115" s="804"/>
      <c r="K115" s="804"/>
      <c r="L115" s="804"/>
      <c r="M115" s="757"/>
      <c r="N115" s="803"/>
      <c r="O115" s="866"/>
      <c r="P115" s="866"/>
      <c r="Q115" s="866"/>
      <c r="R115" s="866"/>
      <c r="S115" s="757"/>
      <c r="T115" s="757"/>
      <c r="U115" s="757"/>
      <c r="V115" s="757"/>
      <c r="W115" s="757"/>
      <c r="X115" s="757"/>
      <c r="Y115" s="908"/>
      <c r="Z115" s="760"/>
      <c r="AA115" s="763"/>
      <c r="AB115" s="760"/>
      <c r="AC115" s="760"/>
      <c r="AD115" s="760"/>
    </row>
    <row r="116" spans="1:30" ht="9" customHeight="1">
      <c r="A116" s="759"/>
      <c r="B116" s="759"/>
      <c r="C116" s="757"/>
      <c r="D116" s="757"/>
      <c r="E116" s="757"/>
      <c r="F116" s="757"/>
      <c r="G116" s="757"/>
      <c r="H116" s="804"/>
      <c r="I116" s="804"/>
      <c r="J116" s="804"/>
      <c r="K116" s="804"/>
      <c r="L116" s="804"/>
      <c r="M116" s="757"/>
      <c r="N116" s="803"/>
      <c r="O116" s="866"/>
      <c r="P116" s="866"/>
      <c r="Q116" s="866"/>
      <c r="R116" s="866"/>
      <c r="S116" s="757"/>
      <c r="T116" s="757"/>
      <c r="U116" s="757"/>
      <c r="V116" s="757"/>
      <c r="W116" s="757"/>
      <c r="X116" s="757"/>
      <c r="Y116" s="908"/>
      <c r="Z116" s="760"/>
      <c r="AA116" s="763"/>
      <c r="AB116" s="760"/>
      <c r="AC116" s="760"/>
      <c r="AD116" s="760"/>
    </row>
    <row r="117" spans="1:30" ht="9" customHeight="1">
      <c r="A117" s="759"/>
      <c r="B117" s="759"/>
      <c r="C117" s="757"/>
      <c r="D117" s="757"/>
      <c r="E117" s="757"/>
      <c r="F117" s="757"/>
      <c r="G117" s="757"/>
      <c r="H117" s="804"/>
      <c r="I117" s="804"/>
      <c r="J117" s="804"/>
      <c r="K117" s="804"/>
      <c r="L117" s="804"/>
      <c r="M117" s="757"/>
      <c r="N117" s="803"/>
      <c r="O117" s="866"/>
      <c r="P117" s="866"/>
      <c r="Q117" s="866"/>
      <c r="R117" s="866"/>
      <c r="S117" s="757"/>
      <c r="T117" s="757"/>
      <c r="U117" s="757"/>
      <c r="V117" s="757"/>
      <c r="W117" s="757"/>
      <c r="X117" s="757"/>
      <c r="Y117" s="908"/>
      <c r="Z117" s="760"/>
      <c r="AA117" s="763"/>
      <c r="AB117" s="760"/>
      <c r="AC117" s="760"/>
      <c r="AD117" s="760"/>
    </row>
    <row r="118" spans="1:30" ht="9" customHeight="1">
      <c r="A118" s="759"/>
      <c r="B118" s="759"/>
      <c r="C118" s="757"/>
      <c r="D118" s="757"/>
      <c r="E118" s="757"/>
      <c r="F118" s="757"/>
      <c r="G118" s="757"/>
      <c r="H118" s="804"/>
      <c r="I118" s="804"/>
      <c r="J118" s="804"/>
      <c r="K118" s="804"/>
      <c r="L118" s="804"/>
      <c r="M118" s="757"/>
      <c r="N118" s="803"/>
      <c r="O118" s="866"/>
      <c r="P118" s="866"/>
      <c r="Q118" s="866"/>
      <c r="R118" s="866"/>
      <c r="S118" s="757"/>
      <c r="T118" s="757"/>
      <c r="U118" s="757"/>
      <c r="V118" s="757"/>
      <c r="W118" s="757"/>
      <c r="X118" s="757"/>
      <c r="Y118" s="908"/>
      <c r="Z118" s="760"/>
      <c r="AA118" s="763"/>
      <c r="AB118" s="760"/>
      <c r="AC118" s="760"/>
      <c r="AD118" s="760"/>
    </row>
    <row r="119" spans="1:30" ht="9" customHeight="1">
      <c r="A119" s="759"/>
      <c r="B119" s="759"/>
      <c r="C119" s="757"/>
      <c r="D119" s="757"/>
      <c r="E119" s="757"/>
      <c r="F119" s="757"/>
      <c r="G119" s="757"/>
      <c r="H119" s="804"/>
      <c r="I119" s="804"/>
      <c r="J119" s="804"/>
      <c r="K119" s="804"/>
      <c r="L119" s="804"/>
      <c r="M119" s="757"/>
      <c r="N119" s="803"/>
      <c r="O119" s="866"/>
      <c r="P119" s="866"/>
      <c r="Q119" s="866"/>
      <c r="R119" s="866"/>
      <c r="S119" s="757"/>
      <c r="T119" s="757"/>
      <c r="U119" s="757"/>
      <c r="V119" s="757"/>
      <c r="W119" s="757"/>
      <c r="X119" s="757"/>
      <c r="Y119" s="908"/>
      <c r="Z119" s="760"/>
      <c r="AA119" s="763"/>
      <c r="AB119" s="760"/>
      <c r="AC119" s="760"/>
      <c r="AD119" s="760"/>
    </row>
    <row r="120" spans="1:30" ht="9" customHeight="1">
      <c r="A120" s="759"/>
      <c r="B120" s="759"/>
      <c r="C120" s="757"/>
      <c r="D120" s="757"/>
      <c r="E120" s="757"/>
      <c r="F120" s="757"/>
      <c r="G120" s="757"/>
      <c r="H120" s="804"/>
      <c r="I120" s="804"/>
      <c r="J120" s="804"/>
      <c r="K120" s="804"/>
      <c r="L120" s="804"/>
      <c r="M120" s="757"/>
      <c r="N120" s="803"/>
      <c r="O120" s="866"/>
      <c r="P120" s="866"/>
      <c r="Q120" s="866"/>
      <c r="R120" s="866"/>
      <c r="S120" s="757"/>
      <c r="T120" s="757"/>
      <c r="U120" s="757"/>
      <c r="V120" s="757"/>
      <c r="W120" s="757"/>
      <c r="X120" s="757"/>
      <c r="Y120" s="908"/>
      <c r="Z120" s="760"/>
      <c r="AA120" s="763"/>
      <c r="AB120" s="760"/>
      <c r="AC120" s="760"/>
      <c r="AD120" s="760"/>
    </row>
    <row r="121" spans="1:30" ht="9" customHeight="1">
      <c r="A121" s="759"/>
      <c r="B121" s="759"/>
      <c r="C121" s="757"/>
      <c r="D121" s="757"/>
      <c r="E121" s="757"/>
      <c r="F121" s="757"/>
      <c r="G121" s="757"/>
      <c r="H121" s="804"/>
      <c r="I121" s="804"/>
      <c r="J121" s="804"/>
      <c r="K121" s="804"/>
      <c r="L121" s="804"/>
      <c r="M121" s="757"/>
      <c r="N121" s="803"/>
      <c r="O121" s="866"/>
      <c r="P121" s="866"/>
      <c r="Q121" s="866"/>
      <c r="R121" s="866"/>
      <c r="S121" s="757"/>
      <c r="T121" s="757"/>
      <c r="U121" s="757"/>
      <c r="V121" s="757"/>
      <c r="W121" s="757"/>
      <c r="X121" s="757"/>
      <c r="Y121" s="908"/>
      <c r="Z121" s="760"/>
      <c r="AA121" s="763"/>
      <c r="AB121" s="760"/>
      <c r="AC121" s="760"/>
      <c r="AD121" s="760"/>
    </row>
    <row r="122" spans="1:30" ht="9" customHeight="1">
      <c r="A122" s="759"/>
      <c r="B122" s="759"/>
      <c r="C122" s="757"/>
      <c r="D122" s="757"/>
      <c r="E122" s="757"/>
      <c r="F122" s="757"/>
      <c r="G122" s="757"/>
      <c r="H122" s="804"/>
      <c r="I122" s="804"/>
      <c r="J122" s="804"/>
      <c r="K122" s="804"/>
      <c r="L122" s="804"/>
      <c r="M122" s="757"/>
      <c r="N122" s="803"/>
      <c r="O122" s="866"/>
      <c r="P122" s="866"/>
      <c r="Q122" s="866"/>
      <c r="R122" s="866"/>
      <c r="S122" s="757"/>
      <c r="T122" s="757"/>
      <c r="U122" s="757"/>
      <c r="V122" s="757"/>
      <c r="W122" s="757"/>
      <c r="X122" s="757"/>
      <c r="Y122" s="908"/>
      <c r="Z122" s="760"/>
      <c r="AA122" s="763"/>
      <c r="AB122" s="760"/>
      <c r="AC122" s="760"/>
      <c r="AD122" s="760"/>
    </row>
    <row r="123" spans="1:30" ht="9" customHeight="1">
      <c r="A123" s="759"/>
      <c r="B123" s="759"/>
      <c r="C123" s="757"/>
      <c r="D123" s="757"/>
      <c r="E123" s="757"/>
      <c r="F123" s="757"/>
      <c r="G123" s="757"/>
      <c r="H123" s="804"/>
      <c r="I123" s="804"/>
      <c r="J123" s="804"/>
      <c r="K123" s="804"/>
      <c r="L123" s="804"/>
      <c r="M123" s="757"/>
      <c r="N123" s="803"/>
      <c r="O123" s="866"/>
      <c r="P123" s="866"/>
      <c r="Q123" s="866"/>
      <c r="R123" s="866"/>
      <c r="S123" s="757"/>
      <c r="T123" s="757"/>
      <c r="U123" s="757"/>
      <c r="V123" s="757"/>
      <c r="W123" s="757"/>
      <c r="X123" s="757"/>
      <c r="Y123" s="908"/>
      <c r="Z123" s="760"/>
      <c r="AA123" s="763"/>
      <c r="AB123" s="760"/>
      <c r="AC123" s="760"/>
      <c r="AD123" s="760"/>
    </row>
    <row r="124" spans="1:30" ht="9" customHeight="1">
      <c r="A124" s="759"/>
      <c r="B124" s="759"/>
      <c r="C124" s="757"/>
      <c r="D124" s="757"/>
      <c r="E124" s="757"/>
      <c r="F124" s="757"/>
      <c r="G124" s="757"/>
      <c r="H124" s="804"/>
      <c r="I124" s="804"/>
      <c r="J124" s="804"/>
      <c r="K124" s="804"/>
      <c r="L124" s="804"/>
      <c r="M124" s="757"/>
      <c r="N124" s="803"/>
      <c r="O124" s="866"/>
      <c r="P124" s="866"/>
      <c r="Q124" s="866"/>
      <c r="R124" s="866"/>
      <c r="S124" s="757"/>
      <c r="T124" s="757"/>
      <c r="U124" s="757"/>
      <c r="V124" s="757"/>
      <c r="W124" s="757"/>
      <c r="X124" s="757"/>
      <c r="Y124" s="908"/>
      <c r="Z124" s="760"/>
      <c r="AA124" s="763"/>
      <c r="AB124" s="760"/>
      <c r="AC124" s="760"/>
      <c r="AD124" s="760"/>
    </row>
    <row r="125" spans="1:30" ht="9" customHeight="1">
      <c r="A125" s="759"/>
      <c r="B125" s="759"/>
      <c r="C125" s="757"/>
      <c r="D125" s="757"/>
      <c r="E125" s="757"/>
      <c r="F125" s="757"/>
      <c r="G125" s="757"/>
      <c r="H125" s="804"/>
      <c r="I125" s="804"/>
      <c r="J125" s="804"/>
      <c r="K125" s="804"/>
      <c r="L125" s="804"/>
      <c r="M125" s="757"/>
      <c r="N125" s="803"/>
      <c r="O125" s="866"/>
      <c r="P125" s="866"/>
      <c r="Q125" s="866"/>
      <c r="R125" s="866"/>
      <c r="S125" s="757"/>
      <c r="T125" s="757"/>
      <c r="U125" s="757"/>
      <c r="V125" s="757"/>
      <c r="W125" s="757"/>
      <c r="X125" s="757"/>
      <c r="Y125" s="908"/>
      <c r="Z125" s="760"/>
      <c r="AA125" s="763"/>
      <c r="AB125" s="760"/>
      <c r="AC125" s="760"/>
      <c r="AD125" s="760"/>
    </row>
    <row r="126" spans="1:30" ht="9" customHeight="1">
      <c r="A126" s="759"/>
      <c r="B126" s="759"/>
      <c r="C126" s="757"/>
      <c r="D126" s="757"/>
      <c r="E126" s="757"/>
      <c r="F126" s="757"/>
      <c r="G126" s="757"/>
      <c r="H126" s="804"/>
      <c r="I126" s="804"/>
      <c r="J126" s="804"/>
      <c r="K126" s="804"/>
      <c r="L126" s="804"/>
      <c r="M126" s="757"/>
      <c r="N126" s="803"/>
      <c r="O126" s="866"/>
      <c r="P126" s="866"/>
      <c r="Q126" s="866"/>
      <c r="R126" s="866"/>
      <c r="S126" s="757"/>
      <c r="T126" s="757"/>
      <c r="U126" s="757"/>
      <c r="V126" s="757"/>
      <c r="W126" s="757"/>
      <c r="X126" s="757"/>
      <c r="Y126" s="908"/>
      <c r="Z126" s="760"/>
      <c r="AA126" s="763"/>
      <c r="AB126" s="760"/>
      <c r="AC126" s="760"/>
      <c r="AD126" s="760"/>
    </row>
    <row r="127" spans="1:30" ht="9" customHeight="1">
      <c r="A127" s="759"/>
      <c r="B127" s="759"/>
      <c r="C127" s="757"/>
      <c r="D127" s="757"/>
      <c r="E127" s="757"/>
      <c r="F127" s="757"/>
      <c r="G127" s="757"/>
      <c r="H127" s="804"/>
      <c r="I127" s="804"/>
      <c r="J127" s="804"/>
      <c r="K127" s="804"/>
      <c r="L127" s="804"/>
      <c r="M127" s="757"/>
      <c r="N127" s="803"/>
      <c r="O127" s="866"/>
      <c r="P127" s="866"/>
      <c r="Q127" s="866"/>
      <c r="R127" s="866"/>
      <c r="S127" s="757"/>
      <c r="T127" s="757"/>
      <c r="U127" s="757"/>
      <c r="V127" s="757"/>
      <c r="W127" s="757"/>
      <c r="X127" s="757"/>
      <c r="Y127" s="908"/>
      <c r="Z127" s="760"/>
      <c r="AA127" s="763"/>
      <c r="AB127" s="760"/>
      <c r="AC127" s="760"/>
      <c r="AD127" s="760"/>
    </row>
    <row r="128" spans="1:30" ht="9" customHeight="1">
      <c r="A128" s="759"/>
      <c r="B128" s="759"/>
      <c r="C128" s="757"/>
      <c r="D128" s="757"/>
      <c r="E128" s="757"/>
      <c r="F128" s="757"/>
      <c r="G128" s="757"/>
      <c r="H128" s="804"/>
      <c r="I128" s="804"/>
      <c r="J128" s="804"/>
      <c r="K128" s="804"/>
      <c r="L128" s="804"/>
      <c r="M128" s="757"/>
      <c r="N128" s="803"/>
      <c r="O128" s="866"/>
      <c r="P128" s="866"/>
      <c r="Q128" s="866"/>
      <c r="R128" s="866"/>
      <c r="S128" s="757"/>
      <c r="T128" s="757"/>
      <c r="U128" s="757"/>
      <c r="V128" s="757"/>
      <c r="W128" s="757"/>
      <c r="X128" s="757"/>
      <c r="Y128" s="908"/>
      <c r="Z128" s="760"/>
      <c r="AA128" s="763"/>
      <c r="AB128" s="760"/>
      <c r="AC128" s="760"/>
      <c r="AD128" s="760"/>
    </row>
    <row r="129" spans="1:30" ht="9" customHeight="1">
      <c r="A129" s="759"/>
      <c r="B129" s="759"/>
      <c r="C129" s="757"/>
      <c r="D129" s="757"/>
      <c r="E129" s="757"/>
      <c r="F129" s="757"/>
      <c r="G129" s="757"/>
      <c r="H129" s="804"/>
      <c r="I129" s="804"/>
      <c r="J129" s="804"/>
      <c r="K129" s="804"/>
      <c r="L129" s="804"/>
      <c r="M129" s="757"/>
      <c r="N129" s="803"/>
      <c r="O129" s="866"/>
      <c r="P129" s="866"/>
      <c r="Q129" s="866"/>
      <c r="R129" s="866"/>
      <c r="S129" s="757"/>
      <c r="T129" s="757"/>
      <c r="U129" s="757"/>
      <c r="V129" s="757"/>
      <c r="W129" s="757"/>
      <c r="X129" s="757"/>
      <c r="Y129" s="908"/>
      <c r="Z129" s="760"/>
      <c r="AA129" s="763"/>
      <c r="AB129" s="760"/>
      <c r="AC129" s="760"/>
      <c r="AD129" s="760"/>
    </row>
    <row r="130" spans="1:30" ht="9" customHeight="1">
      <c r="A130" s="759"/>
      <c r="B130" s="759"/>
      <c r="C130" s="757"/>
      <c r="D130" s="757"/>
      <c r="E130" s="757"/>
      <c r="F130" s="757"/>
      <c r="G130" s="757"/>
      <c r="H130" s="804"/>
      <c r="I130" s="804"/>
      <c r="J130" s="804"/>
      <c r="K130" s="804"/>
      <c r="L130" s="804"/>
      <c r="M130" s="757"/>
      <c r="N130" s="803"/>
      <c r="O130" s="868"/>
      <c r="P130" s="868"/>
      <c r="Q130" s="868"/>
      <c r="R130" s="868"/>
      <c r="S130" s="757"/>
      <c r="T130" s="757"/>
      <c r="U130" s="757"/>
      <c r="V130" s="757"/>
      <c r="W130" s="757"/>
      <c r="X130" s="757"/>
      <c r="Y130" s="908"/>
      <c r="Z130" s="760"/>
      <c r="AA130" s="763"/>
      <c r="AB130" s="760"/>
      <c r="AC130" s="760"/>
      <c r="AD130" s="760"/>
    </row>
    <row r="131" spans="1:30" ht="9" customHeight="1">
      <c r="A131" s="759"/>
      <c r="B131" s="759"/>
      <c r="C131" s="757"/>
      <c r="D131" s="757"/>
      <c r="E131" s="757"/>
      <c r="F131" s="757"/>
      <c r="G131" s="757"/>
      <c r="H131" s="804"/>
      <c r="I131" s="804"/>
      <c r="J131" s="804"/>
      <c r="K131" s="804"/>
      <c r="L131" s="804"/>
      <c r="M131" s="757"/>
      <c r="N131" s="803"/>
      <c r="O131" s="869"/>
      <c r="P131" s="869"/>
      <c r="Q131" s="869"/>
      <c r="R131" s="869"/>
      <c r="S131" s="757"/>
      <c r="T131" s="757"/>
      <c r="U131" s="757"/>
      <c r="V131" s="757"/>
      <c r="W131" s="757"/>
      <c r="X131" s="757"/>
      <c r="Y131" s="908"/>
      <c r="Z131" s="760"/>
      <c r="AA131" s="763"/>
      <c r="AB131" s="760"/>
      <c r="AC131" s="760"/>
      <c r="AD131" s="760"/>
    </row>
    <row r="132" spans="1:30" ht="9" customHeight="1">
      <c r="A132" s="759"/>
      <c r="B132" s="759"/>
      <c r="C132" s="757"/>
      <c r="D132" s="757"/>
      <c r="E132" s="757"/>
      <c r="F132" s="757"/>
      <c r="G132" s="757"/>
      <c r="H132" s="804"/>
      <c r="I132" s="804"/>
      <c r="J132" s="804"/>
      <c r="K132" s="804"/>
      <c r="L132" s="804"/>
      <c r="M132" s="757"/>
      <c r="N132" s="803"/>
      <c r="O132" s="868"/>
      <c r="P132" s="868"/>
      <c r="Q132" s="868"/>
      <c r="R132" s="868"/>
      <c r="S132" s="757"/>
      <c r="T132" s="757"/>
      <c r="U132" s="757"/>
      <c r="V132" s="757"/>
      <c r="W132" s="757"/>
      <c r="X132" s="757"/>
      <c r="Y132" s="908"/>
      <c r="Z132" s="760"/>
      <c r="AA132" s="763"/>
      <c r="AB132" s="760"/>
      <c r="AC132" s="760"/>
      <c r="AD132" s="760"/>
    </row>
    <row r="133" spans="1:30" ht="9" customHeight="1">
      <c r="A133" s="759"/>
      <c r="B133" s="759"/>
      <c r="C133" s="757"/>
      <c r="D133" s="757"/>
      <c r="E133" s="757"/>
      <c r="F133" s="757"/>
      <c r="G133" s="757"/>
      <c r="H133" s="804"/>
      <c r="I133" s="804"/>
      <c r="J133" s="804"/>
      <c r="K133" s="804"/>
      <c r="L133" s="804"/>
      <c r="M133" s="757"/>
      <c r="N133" s="803"/>
      <c r="O133" s="869"/>
      <c r="P133" s="869"/>
      <c r="Q133" s="869"/>
      <c r="R133" s="869"/>
      <c r="S133" s="757"/>
      <c r="T133" s="757"/>
      <c r="U133" s="757"/>
      <c r="V133" s="757"/>
      <c r="W133" s="757"/>
      <c r="X133" s="757"/>
      <c r="Y133" s="908"/>
      <c r="Z133" s="760"/>
      <c r="AA133" s="763"/>
      <c r="AB133" s="760"/>
      <c r="AC133" s="760"/>
      <c r="AD133" s="760"/>
    </row>
    <row r="134" spans="1:30" ht="9" customHeight="1">
      <c r="A134" s="759"/>
      <c r="B134" s="759"/>
      <c r="C134" s="757"/>
      <c r="D134" s="757"/>
      <c r="E134" s="757"/>
      <c r="F134" s="757"/>
      <c r="G134" s="757"/>
      <c r="H134" s="804"/>
      <c r="I134" s="804"/>
      <c r="J134" s="804"/>
      <c r="K134" s="804"/>
      <c r="L134" s="804"/>
      <c r="M134" s="757"/>
      <c r="N134" s="803"/>
      <c r="O134" s="866"/>
      <c r="P134" s="866"/>
      <c r="Q134" s="866"/>
      <c r="R134" s="866"/>
      <c r="S134" s="757"/>
      <c r="T134" s="757"/>
      <c r="U134" s="757"/>
      <c r="V134" s="757"/>
      <c r="W134" s="757"/>
      <c r="X134" s="757"/>
      <c r="Y134" s="908"/>
      <c r="Z134" s="760"/>
      <c r="AA134" s="763"/>
      <c r="AB134" s="760"/>
      <c r="AC134" s="760"/>
      <c r="AD134" s="760"/>
    </row>
    <row r="135" spans="1:30" ht="9" customHeight="1">
      <c r="A135" s="759"/>
      <c r="B135" s="759"/>
      <c r="C135" s="757"/>
      <c r="D135" s="757"/>
      <c r="E135" s="757"/>
      <c r="F135" s="757"/>
      <c r="G135" s="757"/>
      <c r="H135" s="804"/>
      <c r="I135" s="804"/>
      <c r="J135" s="804"/>
      <c r="K135" s="804"/>
      <c r="L135" s="804"/>
      <c r="M135" s="757"/>
      <c r="N135" s="803"/>
      <c r="O135" s="866"/>
      <c r="P135" s="866"/>
      <c r="Q135" s="866"/>
      <c r="R135" s="866"/>
      <c r="S135" s="757"/>
      <c r="T135" s="757"/>
      <c r="U135" s="757"/>
      <c r="V135" s="757"/>
      <c r="W135" s="757"/>
      <c r="X135" s="757"/>
      <c r="Y135" s="908"/>
      <c r="Z135" s="760"/>
      <c r="AA135" s="763"/>
      <c r="AB135" s="760"/>
      <c r="AC135" s="760"/>
      <c r="AD135" s="760"/>
    </row>
    <row r="136" spans="1:30" ht="9" customHeight="1">
      <c r="A136" s="759"/>
      <c r="B136" s="759"/>
      <c r="C136" s="757"/>
      <c r="D136" s="757"/>
      <c r="E136" s="757"/>
      <c r="F136" s="757"/>
      <c r="G136" s="757"/>
      <c r="H136" s="804"/>
      <c r="I136" s="804"/>
      <c r="J136" s="804"/>
      <c r="K136" s="804"/>
      <c r="L136" s="804"/>
      <c r="M136" s="757"/>
      <c r="N136" s="803"/>
      <c r="O136" s="866"/>
      <c r="P136" s="866"/>
      <c r="Q136" s="866"/>
      <c r="R136" s="866"/>
      <c r="S136" s="757"/>
      <c r="T136" s="757"/>
      <c r="U136" s="757"/>
      <c r="V136" s="757"/>
      <c r="W136" s="757"/>
      <c r="X136" s="757"/>
      <c r="Y136" s="908"/>
      <c r="Z136" s="760"/>
      <c r="AA136" s="763"/>
      <c r="AB136" s="760"/>
      <c r="AC136" s="760"/>
      <c r="AD136" s="760"/>
    </row>
    <row r="137" spans="1:30" ht="9" customHeight="1">
      <c r="A137" s="759"/>
      <c r="B137" s="759"/>
      <c r="C137" s="757"/>
      <c r="D137" s="757"/>
      <c r="E137" s="757"/>
      <c r="F137" s="757"/>
      <c r="G137" s="757"/>
      <c r="H137" s="804"/>
      <c r="I137" s="804"/>
      <c r="J137" s="804"/>
      <c r="K137" s="804"/>
      <c r="L137" s="804"/>
      <c r="M137" s="757"/>
      <c r="N137" s="803"/>
      <c r="O137" s="870"/>
      <c r="P137" s="870"/>
      <c r="Q137" s="870"/>
      <c r="R137" s="870"/>
      <c r="S137" s="757"/>
      <c r="T137" s="757"/>
      <c r="U137" s="757"/>
      <c r="V137" s="757"/>
      <c r="W137" s="757"/>
      <c r="X137" s="757"/>
      <c r="Y137" s="908"/>
      <c r="Z137" s="760"/>
      <c r="AA137" s="763"/>
      <c r="AB137" s="760"/>
      <c r="AC137" s="760"/>
      <c r="AD137" s="760"/>
    </row>
    <row r="138" spans="1:30" ht="9" customHeight="1">
      <c r="A138" s="759"/>
      <c r="B138" s="759"/>
      <c r="C138" s="757"/>
      <c r="D138" s="757"/>
      <c r="E138" s="757"/>
      <c r="F138" s="757"/>
      <c r="G138" s="757"/>
      <c r="H138" s="804"/>
      <c r="I138" s="804"/>
      <c r="J138" s="804"/>
      <c r="K138" s="804"/>
      <c r="L138" s="804"/>
      <c r="M138" s="757"/>
      <c r="N138" s="803"/>
      <c r="O138" s="867"/>
      <c r="P138" s="867"/>
      <c r="Q138" s="867"/>
      <c r="R138" s="867"/>
      <c r="S138" s="757"/>
      <c r="T138" s="757"/>
      <c r="U138" s="757"/>
      <c r="V138" s="757"/>
      <c r="W138" s="757"/>
      <c r="X138" s="757"/>
      <c r="Y138" s="908"/>
      <c r="Z138" s="760"/>
      <c r="AA138" s="763"/>
      <c r="AB138" s="760"/>
      <c r="AC138" s="760"/>
      <c r="AD138" s="760"/>
    </row>
    <row r="139" spans="1:30" ht="9" customHeight="1">
      <c r="A139" s="759"/>
      <c r="B139" s="759"/>
      <c r="C139" s="757"/>
      <c r="D139" s="757"/>
      <c r="E139" s="757"/>
      <c r="F139" s="757"/>
      <c r="G139" s="757"/>
      <c r="H139" s="804"/>
      <c r="I139" s="804"/>
      <c r="J139" s="804"/>
      <c r="K139" s="804"/>
      <c r="L139" s="804"/>
      <c r="M139" s="757"/>
      <c r="N139" s="803"/>
      <c r="O139" s="757"/>
      <c r="P139" s="757"/>
      <c r="Q139" s="757"/>
      <c r="R139" s="757"/>
      <c r="S139" s="757"/>
      <c r="T139" s="757"/>
      <c r="U139" s="757"/>
      <c r="V139" s="757"/>
      <c r="W139" s="757"/>
      <c r="X139" s="757"/>
      <c r="Y139" s="908"/>
      <c r="Z139" s="760"/>
      <c r="AA139" s="763"/>
      <c r="AB139" s="760"/>
      <c r="AC139" s="760"/>
      <c r="AD139" s="760"/>
    </row>
    <row r="140" spans="1:30" ht="9" customHeight="1">
      <c r="A140" s="759"/>
      <c r="B140" s="759"/>
      <c r="C140" s="757"/>
      <c r="D140" s="757"/>
      <c r="E140" s="757"/>
      <c r="F140" s="757"/>
      <c r="G140" s="757"/>
      <c r="H140" s="804"/>
      <c r="I140" s="804"/>
      <c r="J140" s="804"/>
      <c r="K140" s="804"/>
      <c r="L140" s="804"/>
      <c r="M140" s="757"/>
      <c r="N140" s="803"/>
      <c r="O140" s="757"/>
      <c r="P140" s="757"/>
      <c r="Q140" s="757"/>
      <c r="R140" s="757"/>
      <c r="S140" s="757"/>
      <c r="T140" s="757"/>
      <c r="U140" s="757"/>
      <c r="V140" s="757"/>
      <c r="W140" s="757"/>
      <c r="X140" s="757"/>
      <c r="Y140" s="908"/>
      <c r="Z140" s="760"/>
      <c r="AA140" s="763"/>
      <c r="AB140" s="760"/>
      <c r="AC140" s="760"/>
      <c r="AD140" s="760"/>
    </row>
    <row r="141" spans="1:30" ht="9" customHeight="1">
      <c r="A141" s="759"/>
      <c r="B141" s="759"/>
      <c r="C141" s="757"/>
      <c r="D141" s="757"/>
      <c r="E141" s="757"/>
      <c r="F141" s="757"/>
      <c r="G141" s="757"/>
      <c r="H141" s="804"/>
      <c r="I141" s="804"/>
      <c r="J141" s="804"/>
      <c r="K141" s="804"/>
      <c r="L141" s="804"/>
      <c r="M141" s="757"/>
      <c r="N141" s="803"/>
      <c r="O141" s="757"/>
      <c r="P141" s="757"/>
      <c r="Q141" s="757"/>
      <c r="R141" s="757"/>
      <c r="S141" s="757"/>
      <c r="T141" s="757"/>
      <c r="U141" s="757"/>
      <c r="V141" s="757"/>
      <c r="W141" s="757"/>
      <c r="X141" s="757"/>
      <c r="Y141" s="908"/>
      <c r="Z141" s="760"/>
      <c r="AA141" s="763"/>
      <c r="AB141" s="760"/>
      <c r="AC141" s="760"/>
      <c r="AD141" s="760"/>
    </row>
    <row r="142" spans="1:30" ht="9" customHeight="1">
      <c r="A142" s="759"/>
      <c r="B142" s="759"/>
      <c r="C142" s="757"/>
      <c r="D142" s="757"/>
      <c r="E142" s="757"/>
      <c r="F142" s="757"/>
      <c r="G142" s="757"/>
      <c r="H142" s="804"/>
      <c r="I142" s="804"/>
      <c r="J142" s="804"/>
      <c r="K142" s="804"/>
      <c r="L142" s="804"/>
      <c r="M142" s="757"/>
      <c r="N142" s="803"/>
      <c r="O142" s="757"/>
      <c r="P142" s="757"/>
      <c r="Q142" s="757"/>
      <c r="R142" s="757"/>
      <c r="S142" s="757"/>
      <c r="T142" s="757"/>
      <c r="U142" s="757"/>
      <c r="V142" s="757"/>
      <c r="W142" s="757"/>
      <c r="X142" s="757"/>
      <c r="Y142" s="908"/>
      <c r="Z142" s="760"/>
      <c r="AA142" s="763"/>
      <c r="AB142" s="760"/>
      <c r="AC142" s="760"/>
      <c r="AD142" s="760"/>
    </row>
    <row r="143" spans="1:30" ht="9" customHeight="1">
      <c r="A143" s="759"/>
      <c r="B143" s="759"/>
      <c r="C143" s="757"/>
      <c r="D143" s="757"/>
      <c r="E143" s="757"/>
      <c r="F143" s="757"/>
      <c r="G143" s="757"/>
      <c r="H143" s="804"/>
      <c r="I143" s="804"/>
      <c r="J143" s="804"/>
      <c r="K143" s="804"/>
      <c r="L143" s="804"/>
      <c r="M143" s="757"/>
      <c r="N143" s="803"/>
      <c r="O143" s="757"/>
      <c r="P143" s="757"/>
      <c r="Q143" s="757"/>
      <c r="R143" s="757"/>
      <c r="S143" s="757"/>
      <c r="T143" s="757"/>
      <c r="U143" s="757"/>
      <c r="V143" s="757"/>
      <c r="W143" s="757"/>
      <c r="X143" s="757"/>
      <c r="Y143" s="908"/>
      <c r="Z143" s="760"/>
      <c r="AA143" s="763"/>
      <c r="AB143" s="760"/>
      <c r="AC143" s="760"/>
      <c r="AD143" s="760"/>
    </row>
    <row r="144" spans="1:30" ht="9" customHeight="1">
      <c r="A144" s="759"/>
      <c r="B144" s="759"/>
      <c r="C144" s="757"/>
      <c r="D144" s="757"/>
      <c r="E144" s="757"/>
      <c r="F144" s="757"/>
      <c r="G144" s="757"/>
      <c r="H144" s="804"/>
      <c r="I144" s="804"/>
      <c r="J144" s="804"/>
      <c r="K144" s="804"/>
      <c r="L144" s="804"/>
      <c r="M144" s="757"/>
      <c r="N144" s="803"/>
      <c r="O144" s="757"/>
      <c r="P144" s="757"/>
      <c r="Q144" s="757"/>
      <c r="R144" s="757"/>
      <c r="S144" s="757"/>
      <c r="T144" s="757"/>
      <c r="U144" s="757"/>
      <c r="V144" s="757"/>
      <c r="W144" s="757"/>
      <c r="X144" s="757"/>
      <c r="Y144" s="908"/>
      <c r="Z144" s="760"/>
      <c r="AA144" s="763"/>
      <c r="AB144" s="760"/>
      <c r="AC144" s="760"/>
      <c r="AD144" s="760"/>
    </row>
    <row r="145" spans="1:30" ht="9" customHeight="1">
      <c r="A145" s="759"/>
      <c r="B145" s="759"/>
      <c r="C145" s="757"/>
      <c r="D145" s="757"/>
      <c r="E145" s="757"/>
      <c r="F145" s="757"/>
      <c r="G145" s="757"/>
      <c r="H145" s="804"/>
      <c r="I145" s="804"/>
      <c r="J145" s="804"/>
      <c r="K145" s="804"/>
      <c r="L145" s="804"/>
      <c r="M145" s="757"/>
      <c r="N145" s="803"/>
      <c r="O145" s="757"/>
      <c r="P145" s="757"/>
      <c r="Q145" s="757"/>
      <c r="R145" s="757"/>
      <c r="S145" s="757"/>
      <c r="T145" s="757"/>
      <c r="U145" s="757"/>
      <c r="V145" s="757"/>
      <c r="W145" s="757"/>
      <c r="X145" s="757"/>
      <c r="Y145" s="908"/>
      <c r="Z145" s="760"/>
      <c r="AA145" s="763"/>
      <c r="AB145" s="760"/>
      <c r="AC145" s="760"/>
      <c r="AD145" s="760"/>
    </row>
    <row r="146" spans="1:30" ht="9" customHeight="1">
      <c r="A146" s="759"/>
      <c r="B146" s="759"/>
      <c r="C146" s="757"/>
      <c r="D146" s="757"/>
      <c r="E146" s="757"/>
      <c r="F146" s="757"/>
      <c r="G146" s="757"/>
      <c r="H146" s="804"/>
      <c r="I146" s="804"/>
      <c r="J146" s="804"/>
      <c r="K146" s="804"/>
      <c r="L146" s="804"/>
      <c r="M146" s="757"/>
      <c r="N146" s="803"/>
      <c r="O146" s="757"/>
      <c r="P146" s="757"/>
      <c r="Q146" s="757"/>
      <c r="R146" s="757"/>
      <c r="S146" s="757"/>
      <c r="T146" s="757"/>
      <c r="U146" s="757"/>
      <c r="V146" s="757"/>
      <c r="W146" s="757"/>
      <c r="X146" s="757"/>
      <c r="Y146" s="908"/>
      <c r="Z146" s="760"/>
      <c r="AA146" s="763"/>
      <c r="AB146" s="760"/>
      <c r="AC146" s="760"/>
      <c r="AD146" s="760"/>
    </row>
    <row r="147" spans="1:30" ht="9" customHeight="1">
      <c r="A147" s="759"/>
      <c r="B147" s="759"/>
      <c r="C147" s="759"/>
      <c r="D147" s="759"/>
      <c r="E147" s="759"/>
      <c r="F147" s="759"/>
      <c r="G147" s="759"/>
      <c r="H147" s="759"/>
      <c r="I147" s="759"/>
      <c r="J147" s="759"/>
      <c r="K147" s="759"/>
      <c r="L147" s="759"/>
      <c r="M147" s="759"/>
      <c r="N147" s="759"/>
      <c r="O147" s="759"/>
      <c r="P147" s="759"/>
      <c r="Q147" s="759"/>
      <c r="R147" s="759"/>
      <c r="S147" s="759"/>
      <c r="T147" s="759"/>
      <c r="U147" s="759"/>
      <c r="V147" s="759"/>
      <c r="W147" s="759"/>
      <c r="X147" s="759"/>
      <c r="Y147" s="759"/>
      <c r="Z147" s="759"/>
      <c r="AA147" s="759"/>
      <c r="AB147" s="759"/>
      <c r="AC147" s="759"/>
      <c r="AD147" s="759"/>
    </row>
    <row r="148" spans="1:30" ht="90" customHeight="1">
      <c r="A148" s="759" t="s">
        <v>1656</v>
      </c>
      <c r="B148" s="759"/>
      <c r="C148" s="757" t="s">
        <v>2129</v>
      </c>
      <c r="D148" s="757" t="s">
        <v>1557</v>
      </c>
      <c r="E148" s="757" t="s">
        <v>1658</v>
      </c>
      <c r="F148" s="757" t="s">
        <v>2130</v>
      </c>
      <c r="G148" s="757"/>
      <c r="H148" s="757"/>
      <c r="I148" s="872"/>
      <c r="J148" s="872"/>
      <c r="K148" s="872"/>
      <c r="L148" s="872"/>
      <c r="M148" s="8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2"/>
      <c r="O148" s="757"/>
      <c r="P148" s="758"/>
      <c r="Q148" s="758"/>
      <c r="R148" s="758"/>
      <c r="S148" s="757"/>
      <c r="T148" s="757" t="s">
        <v>2131</v>
      </c>
      <c r="U148" s="75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8"/>
      <c r="W148" s="758"/>
      <c r="X148" s="757" t="s">
        <v>2132</v>
      </c>
      <c r="Y148" s="908"/>
      <c r="Z148" s="760"/>
      <c r="AA148" s="763"/>
      <c r="AB148" s="760"/>
      <c r="AC148" s="760"/>
      <c r="AD148" s="760"/>
    </row>
    <row r="149" spans="1:30" ht="9" customHeight="1">
      <c r="A149" s="759"/>
      <c r="B149" s="759"/>
      <c r="C149" s="759"/>
      <c r="D149" s="759"/>
      <c r="E149" s="759"/>
      <c r="F149" s="759"/>
      <c r="G149" s="759"/>
      <c r="H149" s="759"/>
      <c r="I149" s="759"/>
      <c r="J149" s="759"/>
      <c r="K149" s="759"/>
      <c r="L149" s="759"/>
      <c r="M149" s="759"/>
      <c r="N149" s="759"/>
      <c r="O149" s="759"/>
      <c r="P149" s="759"/>
      <c r="Q149" s="759"/>
      <c r="R149" s="759"/>
      <c r="S149" s="759"/>
      <c r="T149" s="759"/>
      <c r="U149" s="759"/>
      <c r="V149" s="759"/>
      <c r="W149" s="759"/>
      <c r="X149" s="759"/>
      <c r="Y149" s="759"/>
      <c r="Z149" s="759"/>
      <c r="AA149" s="759"/>
      <c r="AB149" s="759"/>
      <c r="AC149" s="759"/>
      <c r="AD149" s="759"/>
    </row>
    <row r="150" spans="1:30" ht="9" customHeight="1">
      <c r="A150" s="759" t="s">
        <v>1660</v>
      </c>
      <c r="B150" s="759"/>
      <c r="C150" s="757"/>
      <c r="D150" s="757"/>
      <c r="E150" s="757"/>
      <c r="F150" s="757"/>
      <c r="G150" s="757"/>
      <c r="H150" s="757"/>
      <c r="I150" s="757"/>
      <c r="J150" s="757"/>
      <c r="K150" s="757"/>
      <c r="L150" s="757"/>
      <c r="M150" s="757"/>
      <c r="N150" s="757"/>
      <c r="O150" s="757"/>
      <c r="P150" s="757"/>
      <c r="Q150" s="757"/>
      <c r="R150" s="757"/>
      <c r="S150" s="757"/>
      <c r="T150" s="757"/>
      <c r="U150" s="757"/>
      <c r="V150" s="757"/>
      <c r="W150" s="757"/>
      <c r="X150" s="757"/>
      <c r="Y150" s="908"/>
      <c r="Z150" s="760"/>
      <c r="AA150" s="763"/>
      <c r="AB150" s="760"/>
      <c r="AC150" s="760"/>
      <c r="AD150" s="760"/>
    </row>
    <row r="151" spans="1:30" ht="9" customHeight="1">
      <c r="A151" s="759"/>
      <c r="B151" s="759"/>
      <c r="C151" s="759"/>
      <c r="D151" s="759"/>
      <c r="E151" s="759"/>
      <c r="F151" s="759"/>
      <c r="G151" s="759"/>
      <c r="H151" s="759"/>
      <c r="I151" s="759"/>
      <c r="J151" s="759"/>
      <c r="K151" s="759"/>
      <c r="L151" s="759"/>
      <c r="M151" s="759"/>
      <c r="N151" s="759"/>
      <c r="O151" s="759"/>
      <c r="P151" s="759"/>
      <c r="Q151" s="759"/>
      <c r="R151" s="759"/>
      <c r="S151" s="759"/>
      <c r="T151" s="759"/>
      <c r="U151" s="759"/>
      <c r="V151" s="759"/>
      <c r="W151" s="759"/>
      <c r="X151" s="759"/>
      <c r="Y151" s="759"/>
      <c r="Z151" s="759"/>
      <c r="AA151" s="759"/>
      <c r="AB151" s="759"/>
      <c r="AC151" s="759"/>
      <c r="AD151" s="759"/>
    </row>
    <row r="152" spans="1:30" ht="9" customHeight="1">
      <c r="A152" s="759" t="s">
        <v>1663</v>
      </c>
      <c r="B152" s="759"/>
      <c r="C152" s="757"/>
      <c r="D152" s="757"/>
      <c r="E152" s="757"/>
      <c r="F152" s="757"/>
      <c r="G152" s="757"/>
      <c r="H152" s="757"/>
      <c r="I152" s="757"/>
      <c r="J152" s="757"/>
      <c r="K152" s="757"/>
      <c r="L152" s="757"/>
      <c r="M152" s="757"/>
      <c r="N152" s="757"/>
      <c r="O152" s="757"/>
      <c r="P152" s="757"/>
      <c r="Q152" s="757"/>
      <c r="R152" s="757"/>
      <c r="S152" s="757"/>
      <c r="T152" s="757"/>
      <c r="U152" s="757"/>
      <c r="V152" s="757"/>
      <c r="W152" s="757"/>
      <c r="X152" s="757"/>
      <c r="Y152" s="908"/>
      <c r="Z152" s="760"/>
      <c r="AA152" s="763"/>
      <c r="AB152" s="760"/>
      <c r="AC152" s="760"/>
      <c r="AD152" s="760"/>
    </row>
    <row r="153" spans="1:30" ht="9" customHeight="1">
      <c r="A153" s="759"/>
      <c r="B153" s="759"/>
      <c r="C153" s="759"/>
      <c r="D153" s="759"/>
      <c r="E153" s="759"/>
      <c r="F153" s="759"/>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row>
    <row r="154" spans="1:30" ht="9" customHeight="1">
      <c r="A154" s="759" t="s">
        <v>1667</v>
      </c>
      <c r="B154" s="759"/>
      <c r="C154" s="757"/>
      <c r="D154" s="757"/>
      <c r="E154" s="757"/>
      <c r="F154" s="757"/>
      <c r="G154" s="757"/>
      <c r="H154" s="757"/>
      <c r="I154" s="757"/>
      <c r="J154" s="757"/>
      <c r="K154" s="757"/>
      <c r="L154" s="757"/>
      <c r="M154" s="757"/>
      <c r="N154" s="757"/>
      <c r="O154" s="757"/>
      <c r="P154" s="757"/>
      <c r="Q154" s="757"/>
      <c r="R154" s="757"/>
      <c r="S154" s="757"/>
      <c r="T154" s="757"/>
      <c r="U154" s="757"/>
      <c r="V154" s="757"/>
      <c r="W154" s="757"/>
      <c r="X154" s="757"/>
      <c r="Y154" s="908"/>
      <c r="Z154" s="760"/>
      <c r="AA154" s="763"/>
      <c r="AB154" s="760"/>
      <c r="AC154" s="760"/>
      <c r="AD154" s="76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2553" hidden="1"/>
    <col min="2" max="2" width="11" style="2553" hidden="1" customWidth="1"/>
    <col min="3" max="3" width="10.5703125" style="2553" hidden="1"/>
    <col min="4" max="4" width="11.85546875" style="2553" hidden="1" customWidth="1"/>
    <col min="5" max="5" width="12.28515625" style="2553" hidden="1" customWidth="1"/>
    <col min="6" max="8" width="12.28515625" style="2555" hidden="1" customWidth="1"/>
    <col min="9" max="9" width="3.7109375" style="3890" customWidth="1"/>
    <col min="10" max="11" width="3.7109375" style="3173" customWidth="1"/>
    <col min="12" max="12" width="12.7109375" style="3174" customWidth="1"/>
    <col min="13" max="13" width="32" style="1920" customWidth="1"/>
    <col min="14" max="14" width="1.7109375" style="1920" customWidth="1"/>
    <col min="15" max="18" width="24.7109375" style="1920" customWidth="1"/>
    <col min="19" max="19" width="11.7109375" style="1920" customWidth="1"/>
    <col min="20" max="20" width="3.7109375" style="1920" customWidth="1"/>
    <col min="21" max="21" width="11.7109375" style="1920" customWidth="1"/>
    <col min="22" max="22" width="8.5703125" style="1920" customWidth="1"/>
    <col min="23" max="23" width="4.7109375" style="1920" customWidth="1"/>
    <col min="24" max="24" width="115.7109375" style="1920" customWidth="1"/>
    <col min="25" max="26" width="10.5703125" style="1821"/>
    <col min="27" max="27" width="11.140625" style="1821" customWidth="1"/>
    <col min="28" max="29" width="10.5703125" style="1821"/>
  </cols>
  <sheetData>
    <row r="1" spans="1:29" ht="14.25" hidden="1" customHeight="1">
      <c r="R1" s="254"/>
      <c r="S1" s="254"/>
    </row>
    <row r="2" spans="1:29" ht="14.25" hidden="1" customHeight="1">
      <c r="V2" s="254"/>
    </row>
    <row r="3" spans="1:29" ht="14.25" hidden="1" customHeight="1"/>
    <row r="4" spans="1:29" ht="14.25" customHeight="1">
      <c r="J4" s="305"/>
      <c r="K4" s="305"/>
      <c r="L4" s="1195"/>
      <c r="M4" s="290"/>
      <c r="N4" s="290"/>
      <c r="O4" s="435"/>
      <c r="P4" s="435"/>
      <c r="Q4" s="435"/>
      <c r="R4" s="435"/>
      <c r="S4" s="435"/>
      <c r="T4" s="435"/>
      <c r="U4" s="435"/>
      <c r="V4" s="435"/>
    </row>
    <row r="5" spans="1:29" ht="64.5" customHeight="1">
      <c r="J5" s="305"/>
      <c r="K5" s="305"/>
      <c r="L5" s="4327" t="s">
        <v>2133</v>
      </c>
      <c r="M5" s="4327"/>
      <c r="N5" s="4327"/>
      <c r="O5" s="4327"/>
      <c r="P5" s="4327"/>
      <c r="Q5" s="4327"/>
      <c r="R5" s="4327"/>
      <c r="S5" s="4327"/>
      <c r="T5" s="4327"/>
      <c r="U5" s="4327"/>
      <c r="V5" s="1152"/>
    </row>
    <row r="6" spans="1:29" ht="14.25" customHeight="1">
      <c r="J6" s="305"/>
      <c r="K6" s="305"/>
      <c r="L6" s="4328" t="str">
        <f>IF(org=0,"Не определено",org)</f>
        <v>ООО «РИР-Сахалин»</v>
      </c>
      <c r="M6" s="4328"/>
      <c r="N6" s="4328"/>
      <c r="O6" s="4328"/>
      <c r="P6" s="4328"/>
      <c r="Q6" s="4328"/>
      <c r="R6" s="4328"/>
      <c r="S6" s="4328"/>
      <c r="T6" s="4328"/>
      <c r="U6" s="4328"/>
      <c r="V6" s="1152"/>
    </row>
    <row r="7" spans="1:29" ht="14.25" customHeight="1">
      <c r="J7" s="305"/>
      <c r="K7" s="305"/>
      <c r="L7" s="1195"/>
      <c r="M7" s="290"/>
      <c r="N7" s="290"/>
      <c r="O7" s="247"/>
      <c r="P7" s="247"/>
      <c r="Q7" s="247"/>
      <c r="R7" s="247"/>
      <c r="S7" s="247"/>
      <c r="T7" s="247"/>
      <c r="U7" s="247"/>
      <c r="V7" s="247"/>
      <c r="W7" s="435"/>
    </row>
    <row r="8" spans="1:29" s="2564" customFormat="1" ht="45" customHeight="1">
      <c r="A8" s="1284"/>
      <c r="B8" s="1284"/>
      <c r="C8" s="1284"/>
      <c r="D8" s="1284"/>
      <c r="E8" s="1284"/>
      <c r="F8" s="1284"/>
      <c r="G8" s="1284"/>
      <c r="H8" s="1284"/>
      <c r="L8" s="1196"/>
      <c r="M8" s="214" t="s">
        <v>38</v>
      </c>
      <c r="N8" s="223"/>
      <c r="O8" s="4067" t="str">
        <f>IF(TITLE_NAME_OR_PR_CHANGE="",IF(TITLE_NAME_OR_PR="","",TITLE_NAME_OR_PR),TITLE_NAME_OR_PR_CHANGE)</f>
        <v/>
      </c>
      <c r="P8" s="4067"/>
      <c r="Q8" s="4067"/>
      <c r="R8" s="4067"/>
      <c r="S8" s="4067"/>
      <c r="T8" s="4067"/>
      <c r="U8" s="4067"/>
      <c r="V8" s="253"/>
      <c r="W8" s="253"/>
      <c r="X8" s="200"/>
      <c r="Y8" s="296"/>
      <c r="Z8" s="296"/>
      <c r="AA8" s="296"/>
      <c r="AB8" s="296"/>
      <c r="AC8" s="296"/>
    </row>
    <row r="9" spans="1:29" s="2564" customFormat="1" ht="22.5" customHeight="1">
      <c r="A9" s="1284"/>
      <c r="B9" s="1284"/>
      <c r="C9" s="1284"/>
      <c r="D9" s="1284"/>
      <c r="E9" s="1284"/>
      <c r="F9" s="1284"/>
      <c r="G9" s="1284"/>
      <c r="H9" s="1284"/>
      <c r="L9" s="1196"/>
      <c r="M9" s="214" t="s">
        <v>412</v>
      </c>
      <c r="N9" s="223"/>
      <c r="O9" s="4067">
        <f>IF(TITLE_DATE_CHANGE_PERIOD="",IF(TITLE_DATE_PR="","",TITLE_DATE_PR),TITLE_DATE_CHANGE_PERIOD)</f>
        <v>45292.463553240741</v>
      </c>
      <c r="P9" s="4067"/>
      <c r="Q9" s="4067"/>
      <c r="R9" s="4067"/>
      <c r="S9" s="4067"/>
      <c r="T9" s="4067"/>
      <c r="U9" s="4067"/>
      <c r="V9" s="253"/>
      <c r="W9" s="253"/>
      <c r="X9" s="200"/>
      <c r="Y9" s="296"/>
      <c r="Z9" s="296"/>
      <c r="AA9" s="296"/>
      <c r="AB9" s="296"/>
      <c r="AC9" s="296"/>
    </row>
    <row r="10" spans="1:29" s="2564" customFormat="1" ht="22.5" customHeight="1">
      <c r="A10" s="1284"/>
      <c r="B10" s="1284"/>
      <c r="C10" s="1284"/>
      <c r="D10" s="1284"/>
      <c r="E10" s="1284"/>
      <c r="F10" s="1284"/>
      <c r="G10" s="1284"/>
      <c r="H10" s="1284"/>
      <c r="L10" s="1160"/>
      <c r="M10" s="214" t="s">
        <v>413</v>
      </c>
      <c r="N10" s="223"/>
      <c r="O10" s="4067" t="str">
        <f>IF(TITLE_NUMBER_PR_CHANGE="",IF(TITLE_NUMBER_PR="","",TITLE_NUMBER_PR),TITLE_NUMBER_PR_CHANGE)</f>
        <v>761-1/201-1</v>
      </c>
      <c r="P10" s="4067"/>
      <c r="Q10" s="4067"/>
      <c r="R10" s="4067"/>
      <c r="S10" s="4067"/>
      <c r="T10" s="4067"/>
      <c r="U10" s="4067"/>
      <c r="V10" s="253"/>
      <c r="W10" s="253"/>
      <c r="X10" s="200"/>
      <c r="Y10" s="296"/>
      <c r="Z10" s="296"/>
      <c r="AA10" s="296"/>
      <c r="AB10" s="296"/>
      <c r="AC10" s="296"/>
    </row>
    <row r="11" spans="1:29" s="2564" customFormat="1" ht="22.5" customHeight="1">
      <c r="A11" s="1284"/>
      <c r="B11" s="1284"/>
      <c r="C11" s="1284"/>
      <c r="D11" s="1284"/>
      <c r="E11" s="1284"/>
      <c r="F11" s="1284"/>
      <c r="G11" s="1284"/>
      <c r="H11" s="1284"/>
      <c r="L11" s="1160"/>
      <c r="M11" s="214" t="s">
        <v>39</v>
      </c>
      <c r="N11" s="223"/>
      <c r="O11" s="4067" t="str">
        <f>IF(TITLE_IST_PUB_CHANGE="",IF(TITLE_IST_PUB="","",TITLE_IST_PUB),TITLE_IST_PUB_CHANGE)</f>
        <v/>
      </c>
      <c r="P11" s="4067"/>
      <c r="Q11" s="4067"/>
      <c r="R11" s="4067"/>
      <c r="S11" s="4067"/>
      <c r="T11" s="4067"/>
      <c r="U11" s="4067"/>
      <c r="V11" s="253"/>
      <c r="W11" s="253"/>
      <c r="X11" s="200"/>
      <c r="Y11" s="296"/>
      <c r="Z11" s="296"/>
      <c r="AA11" s="296"/>
      <c r="AB11" s="296"/>
      <c r="AC11" s="296"/>
    </row>
    <row r="12" spans="1:29" s="2564" customFormat="1" ht="11.25" hidden="1" customHeight="1">
      <c r="A12" s="1284"/>
      <c r="B12" s="1284"/>
      <c r="C12" s="1284"/>
      <c r="D12" s="1284"/>
      <c r="E12" s="1284"/>
      <c r="F12" s="1284"/>
      <c r="G12" s="1284"/>
      <c r="H12" s="1284"/>
      <c r="L12" s="4329"/>
      <c r="M12" s="4329"/>
      <c r="N12" s="1206"/>
      <c r="O12" s="253"/>
      <c r="P12" s="253"/>
      <c r="Q12" s="253"/>
      <c r="R12" s="253"/>
      <c r="S12" s="253"/>
      <c r="T12" s="253"/>
      <c r="U12" s="253"/>
      <c r="V12" s="198" t="s">
        <v>416</v>
      </c>
      <c r="Y12" s="296"/>
      <c r="Z12" s="296"/>
      <c r="AA12" s="296"/>
      <c r="AB12" s="296"/>
      <c r="AC12" s="296"/>
    </row>
    <row r="13" spans="1:29" ht="14.25" customHeight="1">
      <c r="J13" s="305"/>
      <c r="K13" s="305"/>
      <c r="L13" s="1195"/>
      <c r="M13" s="290"/>
      <c r="N13" s="1153"/>
      <c r="O13" s="4068"/>
      <c r="P13" s="4068"/>
      <c r="Q13" s="4068"/>
      <c r="R13" s="4068"/>
      <c r="S13" s="4068"/>
      <c r="T13" s="4068"/>
      <c r="U13" s="4068"/>
      <c r="V13" s="4068"/>
    </row>
    <row r="14" spans="1:29" ht="14.25" customHeight="1">
      <c r="J14" s="305"/>
      <c r="K14" s="305"/>
      <c r="L14" s="3946" t="s">
        <v>290</v>
      </c>
      <c r="M14" s="3946"/>
      <c r="N14" s="3946"/>
      <c r="O14" s="3946"/>
      <c r="P14" s="3946"/>
      <c r="Q14" s="3946"/>
      <c r="R14" s="3946"/>
      <c r="S14" s="3946"/>
      <c r="T14" s="3946"/>
      <c r="U14" s="3946"/>
      <c r="V14" s="3946"/>
      <c r="W14" s="3946"/>
      <c r="X14" s="3946" t="s">
        <v>291</v>
      </c>
    </row>
    <row r="15" spans="1:29" ht="14.25" customHeight="1">
      <c r="J15" s="305"/>
      <c r="K15" s="305"/>
      <c r="L15" s="4082" t="s">
        <v>86</v>
      </c>
      <c r="M15" s="4033" t="s">
        <v>418</v>
      </c>
      <c r="N15" s="220"/>
      <c r="O15" s="4083" t="s">
        <v>2134</v>
      </c>
      <c r="P15" s="4084"/>
      <c r="Q15" s="4084"/>
      <c r="R15" s="4084"/>
      <c r="S15" s="4084"/>
      <c r="T15" s="4084"/>
      <c r="U15" s="4085"/>
      <c r="V15" s="4086" t="s">
        <v>420</v>
      </c>
      <c r="W15" s="4089" t="s">
        <v>1043</v>
      </c>
      <c r="X15" s="3946"/>
    </row>
    <row r="16" spans="1:29" ht="33.75" customHeight="1">
      <c r="J16" s="305"/>
      <c r="K16" s="305"/>
      <c r="L16" s="4082"/>
      <c r="M16" s="4033"/>
      <c r="N16" s="938"/>
      <c r="O16" s="4003" t="s">
        <v>423</v>
      </c>
      <c r="P16" s="4003" t="s">
        <v>424</v>
      </c>
      <c r="Q16" s="3918" t="s">
        <v>425</v>
      </c>
      <c r="R16" s="3917"/>
      <c r="S16" s="3918" t="s">
        <v>440</v>
      </c>
      <c r="T16" s="3923"/>
      <c r="U16" s="3917"/>
      <c r="V16" s="4087"/>
      <c r="W16" s="4090"/>
      <c r="X16" s="3946"/>
    </row>
    <row r="17" spans="1:29" ht="33.75" customHeight="1">
      <c r="A17" s="1286" t="s">
        <v>132</v>
      </c>
      <c r="B17" s="1286" t="s">
        <v>133</v>
      </c>
      <c r="C17" s="1286" t="s">
        <v>134</v>
      </c>
      <c r="D17" s="1286" t="s">
        <v>135</v>
      </c>
      <c r="E17" s="1286"/>
      <c r="J17" s="305"/>
      <c r="K17" s="305"/>
      <c r="L17" s="4082"/>
      <c r="M17" s="4033"/>
      <c r="N17" s="221"/>
      <c r="O17" s="4053"/>
      <c r="P17" s="4053"/>
      <c r="Q17" s="1128" t="s">
        <v>434</v>
      </c>
      <c r="R17" s="1128" t="s">
        <v>435</v>
      </c>
      <c r="S17" s="1211" t="s">
        <v>436</v>
      </c>
      <c r="T17" s="4042" t="s">
        <v>437</v>
      </c>
      <c r="U17" s="4044"/>
      <c r="V17" s="4088"/>
      <c r="W17" s="4091"/>
      <c r="X17" s="3946"/>
    </row>
    <row r="18" spans="1:29" s="1820" customFormat="1" ht="11.25" customHeight="1">
      <c r="A18" s="1286"/>
      <c r="B18" s="1286"/>
      <c r="C18" s="1286"/>
      <c r="D18" s="1286"/>
      <c r="E18" s="1286"/>
      <c r="F18" s="1278"/>
      <c r="G18" s="1278"/>
      <c r="H18" s="1278"/>
      <c r="I18" s="1155"/>
      <c r="J18" s="1156"/>
      <c r="K18" s="1171">
        <v>1</v>
      </c>
      <c r="L18" s="1197" t="s">
        <v>107</v>
      </c>
      <c r="M18" s="1172" t="s">
        <v>108</v>
      </c>
      <c r="N18" s="1154" t="str">
        <f ca="1">OFFSET(N18,0,-1)</f>
        <v>2</v>
      </c>
      <c r="O18" s="1208">
        <f ca="1">OFFSET(O18,0,-1)+1</f>
        <v>3</v>
      </c>
      <c r="P18" s="1208"/>
      <c r="Q18" s="1208">
        <f ca="1">OFFSET(Q18,0,-1)+1</f>
        <v>1</v>
      </c>
      <c r="R18" s="1208">
        <f ca="1">OFFSET(R18,0,-1)+1</f>
        <v>2</v>
      </c>
      <c r="S18" s="1208">
        <f ca="1">OFFSET(S18,0,-1)+1</f>
        <v>3</v>
      </c>
      <c r="T18" s="4081">
        <f ca="1">OFFSET(T18,0,-1)+1</f>
        <v>4</v>
      </c>
      <c r="U18" s="4081"/>
      <c r="V18" s="1208">
        <f ca="1">OFFSET(V18,0,-2)+1</f>
        <v>5</v>
      </c>
      <c r="W18" s="1154">
        <f ca="1">OFFSET(W18,0,-1)</f>
        <v>5</v>
      </c>
      <c r="X18" s="1208">
        <f ca="1">OFFSET(X18,0,-1)+1</f>
        <v>6</v>
      </c>
      <c r="Y18" s="437"/>
      <c r="Z18" s="437"/>
      <c r="AA18" s="437"/>
      <c r="AB18" s="437"/>
      <c r="AC18" s="437"/>
    </row>
    <row r="19" spans="1:29" ht="21" customHeight="1">
      <c r="A19" s="1279" t="s">
        <v>172</v>
      </c>
      <c r="B19" s="1279" t="s">
        <v>173</v>
      </c>
      <c r="C19" s="1279" t="s">
        <v>174</v>
      </c>
      <c r="D19" s="1279" t="s">
        <v>175</v>
      </c>
      <c r="E19" s="1279"/>
      <c r="F19" s="1281"/>
      <c r="G19" s="1281"/>
      <c r="H19" s="1281"/>
      <c r="I19" s="286"/>
      <c r="J19" s="285"/>
      <c r="K19" s="280"/>
      <c r="L19" s="1212">
        <f>INDEX(PT_DIFFERENTIATION_NUM_NTAR,MATCH(A19,PT_DIFFERENTIATION_NTAR_ID,0))</f>
        <v>0</v>
      </c>
      <c r="M19" s="217" t="s">
        <v>121</v>
      </c>
      <c r="N19" s="219"/>
      <c r="O19" s="4330" t="str">
        <f>INDEX(PT_DIFFERENTIATION_NTAR,MATCH(A19,PT_DIFFERENTIATION_NTAR_ID,0))</f>
        <v/>
      </c>
      <c r="P19" s="4330"/>
      <c r="Q19" s="4330"/>
      <c r="R19" s="4330"/>
      <c r="S19" s="4330"/>
      <c r="T19" s="4330"/>
      <c r="U19" s="4330"/>
      <c r="V19" s="4330"/>
      <c r="W19" s="4330"/>
      <c r="X19" s="1177" t="s">
        <v>388</v>
      </c>
      <c r="Z19" s="426"/>
      <c r="AA19" s="426" t="str">
        <f t="shared" ref="AA19:AA32" si="0">IF(M19="","",M19)</f>
        <v>Наименование тарифа</v>
      </c>
      <c r="AB19" s="426"/>
      <c r="AC19" s="426"/>
    </row>
    <row r="20" spans="1:29" ht="21" customHeight="1">
      <c r="A20" s="1279" t="s">
        <v>172</v>
      </c>
      <c r="B20" s="1279" t="s">
        <v>173</v>
      </c>
      <c r="C20" s="1279" t="s">
        <v>174</v>
      </c>
      <c r="D20" s="1279" t="s">
        <v>175</v>
      </c>
      <c r="E20" s="1279"/>
      <c r="F20" s="1281"/>
      <c r="G20" s="1281"/>
      <c r="H20" s="1281"/>
      <c r="I20" s="1209"/>
      <c r="J20" s="277"/>
      <c r="K20" s="278"/>
      <c r="L20" s="1212" t="str">
        <f>INDEX(PT_DIFFERENTIATION_NUM_TER,MATCH(B19,PT_DIFFERENTIATION_TER_ID,0))</f>
        <v>.</v>
      </c>
      <c r="M20" s="229" t="s">
        <v>389</v>
      </c>
      <c r="N20" s="219"/>
      <c r="O20" s="4330" t="str">
        <f>INDEX(PT_DIFFERENTIATION_TER,MATCH(B19,PT_DIFFERENTIATION_TER_ID,0))</f>
        <v/>
      </c>
      <c r="P20" s="4330"/>
      <c r="Q20" s="4330"/>
      <c r="R20" s="4330"/>
      <c r="S20" s="4330"/>
      <c r="T20" s="4330"/>
      <c r="U20" s="4330"/>
      <c r="V20" s="4330"/>
      <c r="W20" s="4330"/>
      <c r="X20" s="1177" t="s">
        <v>390</v>
      </c>
      <c r="Z20" s="426"/>
      <c r="AA20" s="426" t="str">
        <f t="shared" si="0"/>
        <v>Территория действия тарифа</v>
      </c>
      <c r="AB20" s="426"/>
      <c r="AC20" s="426"/>
    </row>
    <row r="21" spans="1:29" ht="22.5" customHeight="1">
      <c r="A21" s="1279" t="s">
        <v>172</v>
      </c>
      <c r="B21" s="1279" t="s">
        <v>173</v>
      </c>
      <c r="C21" s="1279" t="s">
        <v>174</v>
      </c>
      <c r="D21" s="1279" t="s">
        <v>175</v>
      </c>
      <c r="E21" s="1279"/>
      <c r="F21" s="1281"/>
      <c r="G21" s="1281"/>
      <c r="H21" s="1281"/>
      <c r="I21" s="279"/>
      <c r="J21" s="277"/>
      <c r="K21" s="278"/>
      <c r="L21" s="1212" t="str">
        <f>INDEX(PT_DIFFERENTIATION_NUM_CS,MATCH(C19,PT_DIFFERENTIATION_CS_ID,0))</f>
        <v>..</v>
      </c>
      <c r="M21" s="230" t="s">
        <v>391</v>
      </c>
      <c r="N21" s="219"/>
      <c r="O21" s="4330" t="str">
        <f>INDEX(PT_DIFFERENTIATION_CS,MATCH(C19,PT_DIFFERENTIATION_CS_ID,0))</f>
        <v/>
      </c>
      <c r="P21" s="4330"/>
      <c r="Q21" s="4330"/>
      <c r="R21" s="4330"/>
      <c r="S21" s="4330"/>
      <c r="T21" s="4330"/>
      <c r="U21" s="4330"/>
      <c r="V21" s="4330"/>
      <c r="W21" s="4330"/>
      <c r="X21" s="1177" t="s">
        <v>392</v>
      </c>
      <c r="Z21" s="426"/>
      <c r="AA21" s="426" t="str">
        <f t="shared" si="0"/>
        <v xml:space="preserve">Наименование системы теплоснабжения </v>
      </c>
      <c r="AB21" s="426"/>
      <c r="AC21" s="426"/>
    </row>
    <row r="22" spans="1:29" ht="21" customHeight="1">
      <c r="A22" s="1279" t="s">
        <v>172</v>
      </c>
      <c r="B22" s="1279" t="s">
        <v>173</v>
      </c>
      <c r="C22" s="1279" t="s">
        <v>174</v>
      </c>
      <c r="D22" s="1279" t="s">
        <v>175</v>
      </c>
      <c r="E22" s="1279"/>
      <c r="F22" s="1281"/>
      <c r="G22" s="1281"/>
      <c r="H22" s="1281"/>
      <c r="I22" s="279"/>
      <c r="J22" s="277"/>
      <c r="K22" s="278"/>
      <c r="L22" s="1212" t="str">
        <f>INDEX(PT_DIFFERENTIATION_NUM_IST_TE,MATCH(D19,PT_DIFFERENTIATION_IST_TE_ID,0))</f>
        <v>...</v>
      </c>
      <c r="M22" s="231" t="s">
        <v>393</v>
      </c>
      <c r="N22" s="219"/>
      <c r="O22" s="4330" t="str">
        <f>INDEX(PT_DIFFERENTIATION_IST_TE,MATCH(D19,PT_DIFFERENTIATION_IST_TE_ID,0))</f>
        <v/>
      </c>
      <c r="P22" s="4330"/>
      <c r="Q22" s="4330"/>
      <c r="R22" s="4330"/>
      <c r="S22" s="4330"/>
      <c r="T22" s="4330"/>
      <c r="U22" s="4330"/>
      <c r="V22" s="4330"/>
      <c r="W22" s="4330"/>
      <c r="X22" s="1177" t="s">
        <v>394</v>
      </c>
      <c r="Z22" s="426"/>
      <c r="AA22" s="426" t="str">
        <f t="shared" si="0"/>
        <v xml:space="preserve">Источник тепловой энергии  </v>
      </c>
      <c r="AB22" s="426"/>
      <c r="AC22" s="426"/>
    </row>
    <row r="23" spans="1:29" ht="94.5" customHeight="1">
      <c r="A23" s="1279" t="s">
        <v>172</v>
      </c>
      <c r="B23" s="1279" t="s">
        <v>173</v>
      </c>
      <c r="C23" s="1279" t="s">
        <v>174</v>
      </c>
      <c r="D23" s="1279" t="s">
        <v>175</v>
      </c>
      <c r="E23" s="1279"/>
      <c r="F23" s="4041" t="str">
        <f>L22&amp;".1"</f>
        <v>....1</v>
      </c>
      <c r="I23" s="4073">
        <v>1</v>
      </c>
      <c r="J23" s="1210"/>
      <c r="K23" s="281"/>
      <c r="L23" s="1212" t="str">
        <f>$F$23</f>
        <v>....1</v>
      </c>
      <c r="M23" s="204" t="s">
        <v>396</v>
      </c>
      <c r="N23" s="219"/>
      <c r="O23" s="4331"/>
      <c r="P23" s="4331"/>
      <c r="Q23" s="4331"/>
      <c r="R23" s="4331"/>
      <c r="S23" s="4331"/>
      <c r="T23" s="4331"/>
      <c r="U23" s="4331"/>
      <c r="V23" s="4331"/>
      <c r="W23" s="4331"/>
      <c r="X23" s="1177" t="s">
        <v>397</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279" t="s">
        <v>172</v>
      </c>
      <c r="B24" s="1279" t="s">
        <v>173</v>
      </c>
      <c r="C24" s="1279" t="s">
        <v>174</v>
      </c>
      <c r="D24" s="1279" t="s">
        <v>175</v>
      </c>
      <c r="E24" s="1279"/>
      <c r="F24" s="4041"/>
      <c r="G24" s="4041" t="str">
        <f>F23&amp;".1"</f>
        <v>....1.1</v>
      </c>
      <c r="I24" s="4073"/>
      <c r="J24" s="4073">
        <v>1</v>
      </c>
      <c r="K24" s="282"/>
      <c r="L24" s="1212" t="str">
        <f>$G$24</f>
        <v>....1.1</v>
      </c>
      <c r="M24" s="205" t="s">
        <v>399</v>
      </c>
      <c r="N24" s="219"/>
      <c r="O24" s="4332"/>
      <c r="P24" s="4333"/>
      <c r="Q24" s="4333"/>
      <c r="R24" s="4333"/>
      <c r="S24" s="4333"/>
      <c r="T24" s="4333"/>
      <c r="U24" s="4333"/>
      <c r="V24" s="4333"/>
      <c r="W24" s="4334"/>
      <c r="X24" s="1177" t="s">
        <v>400</v>
      </c>
      <c r="Z24" s="426"/>
      <c r="AA24" s="426" t="str">
        <f t="shared" si="0"/>
        <v>Группа потребителей</v>
      </c>
      <c r="AB24" s="426"/>
      <c r="AC24" s="426"/>
    </row>
    <row r="25" spans="1:29" ht="11.25" customHeight="1">
      <c r="A25" s="1279" t="s">
        <v>172</v>
      </c>
      <c r="B25" s="1279" t="s">
        <v>173</v>
      </c>
      <c r="C25" s="1279" t="s">
        <v>174</v>
      </c>
      <c r="D25" s="1279" t="s">
        <v>175</v>
      </c>
      <c r="E25" s="1279"/>
      <c r="F25" s="4041"/>
      <c r="G25" s="4041"/>
      <c r="H25" s="4041" t="str">
        <f>G24&amp;".1"</f>
        <v>....1.1.1</v>
      </c>
      <c r="I25" s="4073"/>
      <c r="J25" s="4073"/>
      <c r="K25" s="282">
        <v>1</v>
      </c>
      <c r="L25" s="1212" t="str">
        <f>$H$25</f>
        <v>....1.1.1</v>
      </c>
      <c r="M25" s="1178"/>
      <c r="N25" s="219"/>
      <c r="O25" s="668"/>
      <c r="P25" s="251"/>
      <c r="Q25" s="668"/>
      <c r="R25" s="1176"/>
      <c r="S25" s="4077"/>
      <c r="T25" s="3927" t="s">
        <v>65</v>
      </c>
      <c r="U25" s="4077"/>
      <c r="V25" s="3927" t="s">
        <v>55</v>
      </c>
      <c r="W25" s="251"/>
      <c r="X25" s="4069" t="s">
        <v>402</v>
      </c>
      <c r="Y25" s="437" t="e">
        <f ca="1">STRCHECKDATE(O26:W26)</f>
        <v>#NAME?</v>
      </c>
      <c r="Z25" s="426"/>
      <c r="AA25" s="426" t="str">
        <f t="shared" si="0"/>
        <v/>
      </c>
      <c r="AB25" s="426"/>
      <c r="AC25" s="426"/>
    </row>
    <row r="26" spans="1:29" ht="11.25" customHeight="1">
      <c r="A26" s="1279" t="s">
        <v>172</v>
      </c>
      <c r="B26" s="1279" t="s">
        <v>173</v>
      </c>
      <c r="C26" s="1279" t="s">
        <v>174</v>
      </c>
      <c r="D26" s="1279" t="s">
        <v>175</v>
      </c>
      <c r="E26" s="1279"/>
      <c r="F26" s="4041"/>
      <c r="G26" s="4041"/>
      <c r="H26" s="4041"/>
      <c r="I26" s="4073"/>
      <c r="J26" s="4073"/>
      <c r="K26" s="282"/>
      <c r="L26" s="1213"/>
      <c r="M26" s="219"/>
      <c r="N26" s="219"/>
      <c r="O26" s="251"/>
      <c r="P26" s="251"/>
      <c r="Q26" s="251"/>
      <c r="R26" s="255" t="str">
        <f>S25&amp;"-"&amp;U25</f>
        <v>-</v>
      </c>
      <c r="S26" s="4078"/>
      <c r="T26" s="3927"/>
      <c r="U26" s="4078"/>
      <c r="V26" s="3927"/>
      <c r="W26" s="251"/>
      <c r="X26" s="4070"/>
      <c r="Z26" s="426"/>
      <c r="AA26" s="426" t="str">
        <f t="shared" si="0"/>
        <v/>
      </c>
      <c r="AB26" s="426"/>
      <c r="AC26" s="426"/>
    </row>
    <row r="27" spans="1:29" ht="15" customHeight="1">
      <c r="A27" s="1279" t="s">
        <v>172</v>
      </c>
      <c r="B27" s="1279" t="s">
        <v>173</v>
      </c>
      <c r="C27" s="1279" t="s">
        <v>174</v>
      </c>
      <c r="D27" s="1279" t="s">
        <v>175</v>
      </c>
      <c r="E27" s="1279"/>
      <c r="F27" s="4041"/>
      <c r="G27" s="4041"/>
      <c r="I27" s="4073"/>
      <c r="J27" s="4073"/>
      <c r="K27" s="281"/>
      <c r="L27" s="1198"/>
      <c r="M27" s="207" t="s">
        <v>403</v>
      </c>
      <c r="N27" s="295"/>
      <c r="O27" s="295"/>
      <c r="P27" s="295"/>
      <c r="Q27" s="295"/>
      <c r="R27" s="295"/>
      <c r="S27" s="295"/>
      <c r="T27" s="295"/>
      <c r="U27" s="295"/>
      <c r="V27" s="295"/>
      <c r="W27" s="250"/>
      <c r="X27" s="4071"/>
      <c r="Z27" s="426"/>
      <c r="AA27" s="426" t="str">
        <f t="shared" si="0"/>
        <v>Добавить вид теплоносителя (параметры теплоносителя)</v>
      </c>
      <c r="AB27" s="426"/>
      <c r="AC27" s="426"/>
    </row>
    <row r="28" spans="1:29" ht="15" customHeight="1">
      <c r="A28" s="1279" t="s">
        <v>172</v>
      </c>
      <c r="B28" s="1279" t="s">
        <v>173</v>
      </c>
      <c r="C28" s="1279" t="s">
        <v>174</v>
      </c>
      <c r="D28" s="1279" t="s">
        <v>175</v>
      </c>
      <c r="E28" s="1279"/>
      <c r="F28" s="4041"/>
      <c r="I28" s="4073"/>
      <c r="J28" s="1210"/>
      <c r="K28" s="281"/>
      <c r="L28" s="1198"/>
      <c r="M28" s="206" t="s">
        <v>404</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279" t="s">
        <v>172</v>
      </c>
      <c r="B29" s="1279" t="s">
        <v>173</v>
      </c>
      <c r="C29" s="1279" t="s">
        <v>174</v>
      </c>
      <c r="D29" s="1279" t="s">
        <v>175</v>
      </c>
      <c r="E29" s="1279"/>
      <c r="F29" s="1281"/>
      <c r="G29" s="1281"/>
      <c r="H29" s="462"/>
      <c r="I29" s="285"/>
      <c r="J29" s="304"/>
      <c r="K29" s="280"/>
      <c r="L29" s="1198"/>
      <c r="M29" s="292" t="s">
        <v>405</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279" t="s">
        <v>172</v>
      </c>
      <c r="B30" s="1279" t="s">
        <v>173</v>
      </c>
      <c r="C30" s="1279" t="s">
        <v>174</v>
      </c>
      <c r="D30" s="1279"/>
      <c r="E30" s="1279" t="s">
        <v>569</v>
      </c>
      <c r="F30" s="1281"/>
      <c r="G30" s="1281"/>
      <c r="H30" s="462"/>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279" t="s">
        <v>172</v>
      </c>
      <c r="B31" s="1279" t="s">
        <v>173</v>
      </c>
      <c r="C31" s="1279"/>
      <c r="D31" s="1279"/>
      <c r="E31" s="1279" t="s">
        <v>2135</v>
      </c>
      <c r="F31" s="1427"/>
      <c r="G31" s="1427"/>
      <c r="H31" s="462"/>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279" t="s">
        <v>2136</v>
      </c>
      <c r="B32" s="1279"/>
      <c r="C32" s="1279"/>
      <c r="D32" s="1279"/>
      <c r="E32" s="1279" t="s">
        <v>102</v>
      </c>
      <c r="F32" s="1427"/>
      <c r="G32" s="1427"/>
      <c r="H32" s="462"/>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3868" customFormat="1" ht="11.25" customHeight="1">
      <c r="A33" s="1279"/>
      <c r="B33" s="1279"/>
      <c r="C33" s="1279"/>
      <c r="D33" s="1279"/>
      <c r="E33" s="1279" t="s">
        <v>169</v>
      </c>
      <c r="F33" s="1428"/>
      <c r="G33" s="1429"/>
      <c r="H33" s="462"/>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60"/>
      <c r="G34" s="1060"/>
      <c r="H34" s="462"/>
      <c r="I34" s="1055"/>
      <c r="J34" s="1055"/>
      <c r="K34" s="1055"/>
      <c r="Y34" s="1055"/>
      <c r="Z34" s="1055"/>
      <c r="AA34" s="1055"/>
      <c r="AB34" s="1055"/>
      <c r="AC34" s="1055"/>
    </row>
    <row r="35" spans="1:29" ht="27" customHeight="1">
      <c r="H35" s="462"/>
      <c r="L35" s="1207" t="s">
        <v>701</v>
      </c>
      <c r="M35" s="4094" t="s">
        <v>2137</v>
      </c>
      <c r="N35" s="4094"/>
      <c r="O35" s="4094"/>
      <c r="P35" s="4094"/>
      <c r="Q35" s="4094"/>
      <c r="R35" s="4094"/>
      <c r="S35" s="4094"/>
      <c r="T35" s="4094"/>
      <c r="U35" s="4094"/>
      <c r="V35" s="4094"/>
      <c r="W35" s="4094"/>
      <c r="X35" s="4094"/>
    </row>
    <row r="36" spans="1:29" ht="104.25" customHeight="1">
      <c r="H36" s="462"/>
      <c r="I36" s="1222"/>
      <c r="M36" s="4094" t="s">
        <v>2138</v>
      </c>
      <c r="N36" s="4094"/>
      <c r="O36" s="4094"/>
      <c r="P36" s="4094"/>
      <c r="Q36" s="4094"/>
      <c r="R36" s="4094"/>
      <c r="S36" s="4094"/>
      <c r="T36" s="4094"/>
      <c r="U36" s="4094"/>
      <c r="V36" s="4094"/>
      <c r="W36" s="4094"/>
      <c r="X36" s="4094"/>
    </row>
    <row r="37" spans="1:29" ht="14.25" customHeight="1">
      <c r="H37" s="462"/>
    </row>
    <row r="38" spans="1:29" ht="14.25" customHeight="1">
      <c r="H38" s="462"/>
    </row>
    <row r="39" spans="1:29" ht="14.25" customHeight="1">
      <c r="H39" s="462"/>
    </row>
    <row r="40" spans="1:29" ht="14.25" customHeight="1">
      <c r="H40" s="46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920" customWidth="1"/>
    <col min="2" max="2" width="10.7109375" style="1920" customWidth="1"/>
    <col min="3" max="3" width="10" style="1920" customWidth="1"/>
    <col min="4" max="4" width="12.85546875" style="1920" customWidth="1"/>
    <col min="5" max="5" width="12.28515625" style="1920" customWidth="1"/>
    <col min="6" max="8" width="12.28515625" style="3890" customWidth="1"/>
    <col min="9" max="9" width="3.7109375" style="3890" customWidth="1"/>
    <col min="10" max="11" width="3.7109375" style="3173" customWidth="1"/>
    <col min="12" max="12" width="12.7109375" style="3174" customWidth="1"/>
    <col min="13" max="13" width="32" style="1920" customWidth="1"/>
    <col min="14" max="14" width="1.7109375" style="1920" customWidth="1"/>
    <col min="15" max="18" width="24.7109375" style="1920" customWidth="1"/>
    <col min="19" max="19" width="11.7109375" style="1920" customWidth="1"/>
    <col min="20" max="20" width="3.7109375" style="1920" customWidth="1"/>
    <col min="21" max="21" width="11.7109375" style="1920" customWidth="1"/>
    <col min="22" max="22" width="8.5703125" style="1920" customWidth="1"/>
    <col min="23" max="23" width="4.7109375" style="1920" customWidth="1"/>
    <col min="24" max="24" width="115.7109375" style="1920" customWidth="1"/>
    <col min="25" max="26" width="10.5703125" style="1821"/>
    <col min="27" max="27" width="11.140625" style="1821" customWidth="1"/>
    <col min="28" max="29" width="10.5703125" style="1821"/>
  </cols>
  <sheetData>
    <row r="1" spans="6:29" ht="14.25" hidden="1" customHeight="1">
      <c r="R1" s="254"/>
      <c r="S1" s="254"/>
    </row>
    <row r="2" spans="6:29" ht="14.25" hidden="1" customHeight="1">
      <c r="V2" s="254"/>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4327" t="s">
        <v>2133</v>
      </c>
      <c r="M5" s="4327"/>
      <c r="N5" s="4327"/>
      <c r="O5" s="4327"/>
      <c r="P5" s="4327"/>
      <c r="Q5" s="4327"/>
      <c r="R5" s="4327"/>
      <c r="S5" s="4327"/>
      <c r="T5" s="4327"/>
      <c r="U5" s="4327"/>
      <c r="V5" s="1152"/>
    </row>
    <row r="6" spans="6:29" ht="14.25" customHeight="1">
      <c r="J6" s="305"/>
      <c r="K6" s="305"/>
      <c r="L6" s="4328" t="str">
        <f>IF(org=0,"Не определено",org)</f>
        <v>ООО «РИР-Сахалин»</v>
      </c>
      <c r="M6" s="4328"/>
      <c r="N6" s="4328"/>
      <c r="O6" s="4328"/>
      <c r="P6" s="4328"/>
      <c r="Q6" s="4328"/>
      <c r="R6" s="4328"/>
      <c r="S6" s="4328"/>
      <c r="T6" s="4328"/>
      <c r="U6" s="4328"/>
      <c r="V6" s="1152"/>
    </row>
    <row r="7" spans="6:29" ht="14.25" customHeight="1">
      <c r="J7" s="305"/>
      <c r="K7" s="305"/>
      <c r="L7" s="1195"/>
      <c r="M7" s="290"/>
      <c r="N7" s="290"/>
      <c r="O7" s="247"/>
      <c r="P7" s="247"/>
      <c r="Q7" s="247"/>
      <c r="R7" s="247"/>
      <c r="S7" s="247"/>
      <c r="T7" s="247"/>
      <c r="U7" s="247"/>
      <c r="V7" s="247"/>
      <c r="W7" s="435"/>
    </row>
    <row r="8" spans="6:29" s="2564" customFormat="1" ht="45" customHeight="1">
      <c r="F8" s="1158"/>
      <c r="G8" s="1158"/>
      <c r="H8" s="1158"/>
      <c r="L8" s="1196"/>
      <c r="M8" s="214" t="s">
        <v>38</v>
      </c>
      <c r="N8" s="223"/>
      <c r="O8" s="4067" t="str">
        <f>IF(TITLE_NAME_OR_PR_CHANGE="",IF(TITLE_NAME_OR_PR="","",TITLE_NAME_OR_PR),TITLE_NAME_OR_PR_CHANGE)</f>
        <v/>
      </c>
      <c r="P8" s="4067"/>
      <c r="Q8" s="4067"/>
      <c r="R8" s="4067"/>
      <c r="S8" s="4067"/>
      <c r="T8" s="4067"/>
      <c r="U8" s="4067"/>
      <c r="V8" s="253"/>
      <c r="W8" s="253"/>
      <c r="X8" s="200"/>
      <c r="Y8" s="296"/>
      <c r="Z8" s="296"/>
      <c r="AA8" s="296"/>
      <c r="AB8" s="296"/>
      <c r="AC8" s="296"/>
    </row>
    <row r="9" spans="6:29" s="2564" customFormat="1" ht="22.5" customHeight="1">
      <c r="F9" s="1158"/>
      <c r="G9" s="1158"/>
      <c r="H9" s="1158"/>
      <c r="L9" s="1196"/>
      <c r="M9" s="214" t="s">
        <v>412</v>
      </c>
      <c r="N9" s="223"/>
      <c r="O9" s="4067">
        <f>IF(TITLE_DATE_CHANGE_PERIOD="",IF(TITLE_DATE_PR="","",TITLE_DATE_PR),TITLE_DATE_CHANGE_PERIOD)</f>
        <v>45292.463553240741</v>
      </c>
      <c r="P9" s="4067"/>
      <c r="Q9" s="4067"/>
      <c r="R9" s="4067"/>
      <c r="S9" s="4067"/>
      <c r="T9" s="4067"/>
      <c r="U9" s="4067"/>
      <c r="V9" s="253"/>
      <c r="W9" s="253"/>
      <c r="X9" s="200"/>
      <c r="Y9" s="296"/>
      <c r="Z9" s="296"/>
      <c r="AA9" s="296"/>
      <c r="AB9" s="296"/>
      <c r="AC9" s="296"/>
    </row>
    <row r="10" spans="6:29" s="2564" customFormat="1" ht="22.5" customHeight="1">
      <c r="F10" s="1158"/>
      <c r="G10" s="1158"/>
      <c r="H10" s="1158"/>
      <c r="L10" s="1160"/>
      <c r="M10" s="214" t="s">
        <v>413</v>
      </c>
      <c r="N10" s="223"/>
      <c r="O10" s="4067" t="str">
        <f>IF(TITLE_NUMBER_PR_CHANGE="",IF(TITLE_NUMBER_PR="","",TITLE_NUMBER_PR),TITLE_NUMBER_PR_CHANGE)</f>
        <v>761-1/201-1</v>
      </c>
      <c r="P10" s="4067"/>
      <c r="Q10" s="4067"/>
      <c r="R10" s="4067"/>
      <c r="S10" s="4067"/>
      <c r="T10" s="4067"/>
      <c r="U10" s="4067"/>
      <c r="V10" s="253"/>
      <c r="W10" s="253"/>
      <c r="X10" s="200"/>
      <c r="Y10" s="296"/>
      <c r="Z10" s="296"/>
      <c r="AA10" s="296"/>
      <c r="AB10" s="296"/>
      <c r="AC10" s="296"/>
    </row>
    <row r="11" spans="6:29" s="2564" customFormat="1" ht="22.5" customHeight="1">
      <c r="F11" s="1158"/>
      <c r="G11" s="1158"/>
      <c r="H11" s="1158"/>
      <c r="L11" s="1160"/>
      <c r="M11" s="214" t="s">
        <v>39</v>
      </c>
      <c r="N11" s="223"/>
      <c r="O11" s="4067" t="str">
        <f>IF(TITLE_IST_PUB_CHANGE="",IF(TITLE_IST_PUB="","",TITLE_IST_PUB),TITLE_IST_PUB_CHANGE)</f>
        <v/>
      </c>
      <c r="P11" s="4067"/>
      <c r="Q11" s="4067"/>
      <c r="R11" s="4067"/>
      <c r="S11" s="4067"/>
      <c r="T11" s="4067"/>
      <c r="U11" s="4067"/>
      <c r="V11" s="253"/>
      <c r="W11" s="253"/>
      <c r="X11" s="200"/>
      <c r="Y11" s="296"/>
      <c r="Z11" s="296"/>
      <c r="AA11" s="296"/>
      <c r="AB11" s="296"/>
      <c r="AC11" s="296"/>
    </row>
    <row r="12" spans="6:29" s="2564" customFormat="1" ht="11.25" hidden="1" customHeight="1">
      <c r="F12" s="1158"/>
      <c r="G12" s="1158"/>
      <c r="H12" s="1158"/>
      <c r="L12" s="4329"/>
      <c r="M12" s="4329"/>
      <c r="N12" s="1206"/>
      <c r="O12" s="253"/>
      <c r="P12" s="253"/>
      <c r="Q12" s="253"/>
      <c r="R12" s="253"/>
      <c r="S12" s="253"/>
      <c r="T12" s="253"/>
      <c r="U12" s="253"/>
      <c r="V12" s="198" t="s">
        <v>416</v>
      </c>
      <c r="Y12" s="296"/>
      <c r="Z12" s="296"/>
      <c r="AA12" s="296"/>
      <c r="AB12" s="296"/>
      <c r="AC12" s="296"/>
    </row>
    <row r="13" spans="6:29" ht="14.25" customHeight="1">
      <c r="J13" s="305"/>
      <c r="K13" s="305"/>
      <c r="L13" s="1195"/>
      <c r="M13" s="290"/>
      <c r="N13" s="1153"/>
      <c r="O13" s="4068"/>
      <c r="P13" s="4068"/>
      <c r="Q13" s="4068"/>
      <c r="R13" s="4068"/>
      <c r="S13" s="4068"/>
      <c r="T13" s="4068"/>
      <c r="U13" s="4068"/>
      <c r="V13" s="4068"/>
    </row>
    <row r="14" spans="6:29" ht="14.25" customHeight="1">
      <c r="J14" s="305"/>
      <c r="K14" s="305"/>
      <c r="L14" s="3946" t="s">
        <v>290</v>
      </c>
      <c r="M14" s="3946"/>
      <c r="N14" s="3946"/>
      <c r="O14" s="3946"/>
      <c r="P14" s="3946"/>
      <c r="Q14" s="3946"/>
      <c r="R14" s="3946"/>
      <c r="S14" s="3946"/>
      <c r="T14" s="3946"/>
      <c r="U14" s="3946"/>
      <c r="V14" s="3946"/>
      <c r="W14" s="3946"/>
      <c r="X14" s="3946" t="s">
        <v>291</v>
      </c>
    </row>
    <row r="15" spans="6:29" ht="14.25" customHeight="1">
      <c r="J15" s="305"/>
      <c r="K15" s="305"/>
      <c r="L15" s="4082" t="s">
        <v>86</v>
      </c>
      <c r="M15" s="4033" t="s">
        <v>418</v>
      </c>
      <c r="N15" s="220"/>
      <c r="O15" s="4083" t="s">
        <v>2134</v>
      </c>
      <c r="P15" s="4084"/>
      <c r="Q15" s="4084"/>
      <c r="R15" s="4084"/>
      <c r="S15" s="4084"/>
      <c r="T15" s="4084"/>
      <c r="U15" s="4085"/>
      <c r="V15" s="4086" t="s">
        <v>420</v>
      </c>
      <c r="W15" s="4089" t="s">
        <v>1043</v>
      </c>
      <c r="X15" s="3946"/>
    </row>
    <row r="16" spans="6:29" ht="33.75" customHeight="1">
      <c r="J16" s="305"/>
      <c r="K16" s="305"/>
      <c r="L16" s="4082"/>
      <c r="M16" s="4033"/>
      <c r="N16" s="938"/>
      <c r="O16" s="4003" t="s">
        <v>423</v>
      </c>
      <c r="P16" s="4003" t="s">
        <v>424</v>
      </c>
      <c r="Q16" s="3918" t="s">
        <v>425</v>
      </c>
      <c r="R16" s="3917"/>
      <c r="S16" s="3918" t="s">
        <v>440</v>
      </c>
      <c r="T16" s="3923"/>
      <c r="U16" s="3917"/>
      <c r="V16" s="4087"/>
      <c r="W16" s="4090"/>
      <c r="X16" s="3946"/>
    </row>
    <row r="17" spans="1:29" ht="33.75" customHeight="1">
      <c r="A17" s="1179" t="s">
        <v>132</v>
      </c>
      <c r="B17" s="1179" t="s">
        <v>133</v>
      </c>
      <c r="C17" s="1179" t="s">
        <v>134</v>
      </c>
      <c r="D17" s="1179" t="s">
        <v>135</v>
      </c>
      <c r="E17" s="1179"/>
      <c r="J17" s="305"/>
      <c r="K17" s="305"/>
      <c r="L17" s="4082"/>
      <c r="M17" s="4033"/>
      <c r="N17" s="221"/>
      <c r="O17" s="4053"/>
      <c r="P17" s="4053"/>
      <c r="Q17" s="1128" t="s">
        <v>434</v>
      </c>
      <c r="R17" s="1128" t="s">
        <v>435</v>
      </c>
      <c r="S17" s="1211" t="s">
        <v>436</v>
      </c>
      <c r="T17" s="4042" t="s">
        <v>437</v>
      </c>
      <c r="U17" s="4044"/>
      <c r="V17" s="4088"/>
      <c r="W17" s="4091"/>
      <c r="X17" s="3946"/>
    </row>
    <row r="18" spans="1:29" s="1820" customFormat="1" ht="11.25" customHeight="1">
      <c r="A18" s="1179"/>
      <c r="B18" s="1179"/>
      <c r="C18" s="1179"/>
      <c r="D18" s="1179"/>
      <c r="E18" s="1179"/>
      <c r="F18" s="1205"/>
      <c r="G18" s="1205"/>
      <c r="H18" s="1205"/>
      <c r="I18" s="1155"/>
      <c r="J18" s="1156"/>
      <c r="K18" s="1171">
        <v>1</v>
      </c>
      <c r="L18" s="1197" t="s">
        <v>107</v>
      </c>
      <c r="M18" s="1172" t="s">
        <v>108</v>
      </c>
      <c r="N18" s="1154" t="str">
        <f ca="1">OFFSET(N18,0,-1)</f>
        <v>2</v>
      </c>
      <c r="O18" s="1208">
        <f ca="1">OFFSET(O18,0,-1)+1</f>
        <v>3</v>
      </c>
      <c r="P18" s="1208"/>
      <c r="Q18" s="1208">
        <f ca="1">OFFSET(Q18,0,-1)+1</f>
        <v>1</v>
      </c>
      <c r="R18" s="1208">
        <f ca="1">OFFSET(R18,0,-1)+1</f>
        <v>2</v>
      </c>
      <c r="S18" s="1208">
        <f ca="1">OFFSET(S18,0,-1)+1</f>
        <v>3</v>
      </c>
      <c r="T18" s="4081">
        <f ca="1">OFFSET(T18,0,-1)+1</f>
        <v>4</v>
      </c>
      <c r="U18" s="4081"/>
      <c r="V18" s="1208">
        <f ca="1">OFFSET(V18,0,-2)+1</f>
        <v>5</v>
      </c>
      <c r="W18" s="1154">
        <f ca="1">OFFSET(W18,0,-1)</f>
        <v>5</v>
      </c>
      <c r="X18" s="1208">
        <f ca="1">OFFSET(X18,0,-1)+1</f>
        <v>6</v>
      </c>
      <c r="Y18" s="437"/>
      <c r="Z18" s="437"/>
      <c r="AA18" s="437"/>
      <c r="AB18" s="437"/>
      <c r="AC18" s="437"/>
    </row>
    <row r="19" spans="1:29" ht="21" customHeight="1">
      <c r="A19" s="1186" t="s">
        <v>2139</v>
      </c>
      <c r="B19" s="1186" t="s">
        <v>2140</v>
      </c>
      <c r="C19" s="1186" t="s">
        <v>2141</v>
      </c>
      <c r="D19" s="1186" t="s">
        <v>2142</v>
      </c>
      <c r="E19" s="1186"/>
      <c r="F19" s="608"/>
      <c r="G19" s="608"/>
      <c r="H19" s="608"/>
      <c r="I19" s="286"/>
      <c r="J19" s="285"/>
      <c r="K19" s="280"/>
      <c r="L19" s="1212" t="e">
        <f>INDEX(PT_DIFFERENTIATION_NUM_NTAR,MATCH(A19,PT_DIFFERENTIATION_NTAR_ID,0))</f>
        <v>#N/A</v>
      </c>
      <c r="M19" s="217" t="s">
        <v>121</v>
      </c>
      <c r="N19" s="219"/>
      <c r="O19" s="4330" t="e">
        <f>INDEX(PT_DIFFERENTIATION_NTAR,MATCH(A19,PT_DIFFERENTIATION_NTAR_ID,0))</f>
        <v>#N/A</v>
      </c>
      <c r="P19" s="4330"/>
      <c r="Q19" s="4330"/>
      <c r="R19" s="4330"/>
      <c r="S19" s="4330"/>
      <c r="T19" s="4330"/>
      <c r="U19" s="4330"/>
      <c r="V19" s="4330"/>
      <c r="W19" s="4330"/>
      <c r="X19" s="1177" t="s">
        <v>388</v>
      </c>
      <c r="Z19" s="426"/>
      <c r="AA19" s="426" t="str">
        <f t="shared" ref="AA19:AA32" si="0">IF(M19="","",M19)</f>
        <v>Наименование тарифа</v>
      </c>
      <c r="AB19" s="426"/>
      <c r="AC19" s="426"/>
    </row>
    <row r="20" spans="1:29" ht="21" customHeight="1">
      <c r="A20" s="1186" t="s">
        <v>2139</v>
      </c>
      <c r="B20" s="1186" t="s">
        <v>2140</v>
      </c>
      <c r="C20" s="1186" t="s">
        <v>2141</v>
      </c>
      <c r="D20" s="1186" t="s">
        <v>2142</v>
      </c>
      <c r="E20" s="1186"/>
      <c r="F20" s="608"/>
      <c r="G20" s="608"/>
      <c r="H20" s="608"/>
      <c r="I20" s="1209"/>
      <c r="J20" s="277"/>
      <c r="K20" s="278"/>
      <c r="L20" s="1212" t="e">
        <f>INDEX(PT_DIFFERENTIATION_NUM_TER,MATCH(B19,PT_DIFFERENTIATION_TER_ID,0))</f>
        <v>#N/A</v>
      </c>
      <c r="M20" s="229" t="s">
        <v>389</v>
      </c>
      <c r="N20" s="219"/>
      <c r="O20" s="4330" t="e">
        <f>INDEX(PT_DIFFERENTIATION_TER,MATCH(B19,PT_DIFFERENTIATION_TER_ID,0))</f>
        <v>#N/A</v>
      </c>
      <c r="P20" s="4330"/>
      <c r="Q20" s="4330"/>
      <c r="R20" s="4330"/>
      <c r="S20" s="4330"/>
      <c r="T20" s="4330"/>
      <c r="U20" s="4330"/>
      <c r="V20" s="4330"/>
      <c r="W20" s="4330"/>
      <c r="X20" s="1177" t="s">
        <v>390</v>
      </c>
      <c r="Z20" s="426"/>
      <c r="AA20" s="426" t="str">
        <f t="shared" si="0"/>
        <v>Территория действия тарифа</v>
      </c>
      <c r="AB20" s="426"/>
      <c r="AC20" s="426"/>
    </row>
    <row r="21" spans="1:29" ht="22.5" customHeight="1">
      <c r="A21" s="1186" t="s">
        <v>2139</v>
      </c>
      <c r="B21" s="1186" t="s">
        <v>2140</v>
      </c>
      <c r="C21" s="1186" t="s">
        <v>2141</v>
      </c>
      <c r="D21" s="1186" t="s">
        <v>2142</v>
      </c>
      <c r="E21" s="1186"/>
      <c r="F21" s="608"/>
      <c r="G21" s="608"/>
      <c r="H21" s="608"/>
      <c r="I21" s="279"/>
      <c r="J21" s="277"/>
      <c r="K21" s="278"/>
      <c r="L21" s="1212" t="e">
        <f>INDEX(PT_DIFFERENTIATION_NUM_CS,MATCH(C19,PT_DIFFERENTIATION_CS_ID,0))</f>
        <v>#N/A</v>
      </c>
      <c r="M21" s="230" t="s">
        <v>391</v>
      </c>
      <c r="N21" s="219"/>
      <c r="O21" s="4330" t="e">
        <f>INDEX(PT_DIFFERENTIATION_CS,MATCH(C19,PT_DIFFERENTIATION_CS_ID,0))</f>
        <v>#N/A</v>
      </c>
      <c r="P21" s="4330"/>
      <c r="Q21" s="4330"/>
      <c r="R21" s="4330"/>
      <c r="S21" s="4330"/>
      <c r="T21" s="4330"/>
      <c r="U21" s="4330"/>
      <c r="V21" s="4330"/>
      <c r="W21" s="4330"/>
      <c r="X21" s="1177" t="s">
        <v>392</v>
      </c>
      <c r="Z21" s="426"/>
      <c r="AA21" s="426" t="str">
        <f t="shared" si="0"/>
        <v xml:space="preserve">Наименование системы теплоснабжения </v>
      </c>
      <c r="AB21" s="426"/>
      <c r="AC21" s="426"/>
    </row>
    <row r="22" spans="1:29" ht="21" customHeight="1">
      <c r="A22" s="1186" t="s">
        <v>2139</v>
      </c>
      <c r="B22" s="1186" t="s">
        <v>2140</v>
      </c>
      <c r="C22" s="1186" t="s">
        <v>2141</v>
      </c>
      <c r="D22" s="1186" t="s">
        <v>2142</v>
      </c>
      <c r="E22" s="1186"/>
      <c r="F22" s="608"/>
      <c r="G22" s="608"/>
      <c r="H22" s="608"/>
      <c r="I22" s="279"/>
      <c r="J22" s="277"/>
      <c r="K22" s="278"/>
      <c r="L22" s="1212" t="e">
        <f>INDEX(PT_DIFFERENTIATION_NUM_IST_TE,MATCH(D19,PT_DIFFERENTIATION_IST_TE_ID,0))</f>
        <v>#N/A</v>
      </c>
      <c r="M22" s="231" t="s">
        <v>393</v>
      </c>
      <c r="N22" s="219"/>
      <c r="O22" s="4330" t="e">
        <f>INDEX(PT_DIFFERENTIATION_IST_TE,MATCH(D19,PT_DIFFERENTIATION_IST_TE_ID,0))</f>
        <v>#N/A</v>
      </c>
      <c r="P22" s="4330"/>
      <c r="Q22" s="4330"/>
      <c r="R22" s="4330"/>
      <c r="S22" s="4330"/>
      <c r="T22" s="4330"/>
      <c r="U22" s="4330"/>
      <c r="V22" s="4330"/>
      <c r="W22" s="4330"/>
      <c r="X22" s="1177" t="s">
        <v>394</v>
      </c>
      <c r="Z22" s="426"/>
      <c r="AA22" s="426" t="str">
        <f t="shared" si="0"/>
        <v xml:space="preserve">Источник тепловой энергии  </v>
      </c>
      <c r="AB22" s="426"/>
      <c r="AC22" s="426"/>
    </row>
    <row r="23" spans="1:29" ht="94.5" customHeight="1">
      <c r="A23" s="1186" t="s">
        <v>2139</v>
      </c>
      <c r="B23" s="1186" t="s">
        <v>2140</v>
      </c>
      <c r="C23" s="1186" t="s">
        <v>2141</v>
      </c>
      <c r="D23" s="1186" t="s">
        <v>2142</v>
      </c>
      <c r="E23" s="1186"/>
      <c r="F23" s="3921" t="e">
        <f>L22&amp;".1"</f>
        <v>#N/A</v>
      </c>
      <c r="I23" s="4073">
        <v>1</v>
      </c>
      <c r="J23" s="1210"/>
      <c r="K23" s="281"/>
      <c r="L23" s="1212" t="e">
        <f>$F$23</f>
        <v>#N/A</v>
      </c>
      <c r="M23" s="204" t="s">
        <v>396</v>
      </c>
      <c r="N23" s="219"/>
      <c r="O23" s="4331"/>
      <c r="P23" s="4331"/>
      <c r="Q23" s="4331"/>
      <c r="R23" s="4331"/>
      <c r="S23" s="4331"/>
      <c r="T23" s="4331"/>
      <c r="U23" s="4331"/>
      <c r="V23" s="4331"/>
      <c r="W23" s="4331"/>
      <c r="X23" s="1177" t="s">
        <v>397</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2139</v>
      </c>
      <c r="B24" s="1186" t="s">
        <v>2140</v>
      </c>
      <c r="C24" s="1186" t="s">
        <v>2141</v>
      </c>
      <c r="D24" s="1186" t="s">
        <v>2142</v>
      </c>
      <c r="E24" s="1186"/>
      <c r="F24" s="3921"/>
      <c r="G24" s="3921" t="e">
        <f>F23&amp;".1"</f>
        <v>#N/A</v>
      </c>
      <c r="I24" s="4073"/>
      <c r="J24" s="4073">
        <v>1</v>
      </c>
      <c r="K24" s="282"/>
      <c r="L24" s="1212" t="e">
        <f>$G$24</f>
        <v>#N/A</v>
      </c>
      <c r="M24" s="205" t="s">
        <v>399</v>
      </c>
      <c r="N24" s="219"/>
      <c r="O24" s="4332"/>
      <c r="P24" s="4333"/>
      <c r="Q24" s="4333"/>
      <c r="R24" s="4333"/>
      <c r="S24" s="4333"/>
      <c r="T24" s="4333"/>
      <c r="U24" s="4333"/>
      <c r="V24" s="4333"/>
      <c r="W24" s="4334"/>
      <c r="X24" s="1177" t="s">
        <v>400</v>
      </c>
      <c r="Z24" s="426"/>
      <c r="AA24" s="426" t="str">
        <f t="shared" si="0"/>
        <v>Группа потребителей</v>
      </c>
      <c r="AB24" s="426"/>
      <c r="AC24" s="426"/>
    </row>
    <row r="25" spans="1:29" ht="11.25" customHeight="1">
      <c r="A25" s="1186" t="s">
        <v>2139</v>
      </c>
      <c r="B25" s="1186" t="s">
        <v>2140</v>
      </c>
      <c r="C25" s="1186" t="s">
        <v>2141</v>
      </c>
      <c r="D25" s="1186" t="s">
        <v>2142</v>
      </c>
      <c r="E25" s="1186"/>
      <c r="F25" s="3921"/>
      <c r="G25" s="3921"/>
      <c r="H25" s="3921" t="e">
        <f>G24&amp;".1"</f>
        <v>#N/A</v>
      </c>
      <c r="I25" s="4073"/>
      <c r="J25" s="4073"/>
      <c r="K25" s="282">
        <v>1</v>
      </c>
      <c r="L25" s="1212" t="e">
        <f>$H$25</f>
        <v>#N/A</v>
      </c>
      <c r="M25" s="1178"/>
      <c r="N25" s="219"/>
      <c r="O25" s="668"/>
      <c r="P25" s="251"/>
      <c r="Q25" s="668"/>
      <c r="R25" s="1176"/>
      <c r="S25" s="4077"/>
      <c r="T25" s="3927" t="s">
        <v>65</v>
      </c>
      <c r="U25" s="4077"/>
      <c r="V25" s="3927" t="s">
        <v>55</v>
      </c>
      <c r="W25" s="251"/>
      <c r="X25" s="4069" t="s">
        <v>402</v>
      </c>
      <c r="Y25" s="437" t="e">
        <f ca="1">STRCHECKDATE(O26:W26)</f>
        <v>#NAME?</v>
      </c>
      <c r="Z25" s="426"/>
      <c r="AA25" s="426" t="str">
        <f t="shared" si="0"/>
        <v/>
      </c>
      <c r="AB25" s="426"/>
      <c r="AC25" s="426"/>
    </row>
    <row r="26" spans="1:29" ht="11.25" customHeight="1">
      <c r="A26" s="1186" t="s">
        <v>2139</v>
      </c>
      <c r="B26" s="1186" t="s">
        <v>2140</v>
      </c>
      <c r="C26" s="1186" t="s">
        <v>2141</v>
      </c>
      <c r="D26" s="1186" t="s">
        <v>2142</v>
      </c>
      <c r="E26" s="1186"/>
      <c r="F26" s="3921"/>
      <c r="G26" s="3921"/>
      <c r="H26" s="3921"/>
      <c r="I26" s="4073"/>
      <c r="J26" s="4073"/>
      <c r="K26" s="282"/>
      <c r="L26" s="1213"/>
      <c r="M26" s="219"/>
      <c r="N26" s="219"/>
      <c r="O26" s="251"/>
      <c r="P26" s="251"/>
      <c r="Q26" s="251"/>
      <c r="R26" s="255" t="str">
        <f>S25&amp;"-"&amp;U25</f>
        <v>-</v>
      </c>
      <c r="S26" s="4078"/>
      <c r="T26" s="3927"/>
      <c r="U26" s="4078"/>
      <c r="V26" s="3927"/>
      <c r="W26" s="251"/>
      <c r="X26" s="4070"/>
      <c r="Z26" s="426"/>
      <c r="AA26" s="426" t="str">
        <f t="shared" si="0"/>
        <v/>
      </c>
      <c r="AB26" s="426"/>
      <c r="AC26" s="426"/>
    </row>
    <row r="27" spans="1:29" ht="15" customHeight="1">
      <c r="A27" s="1186" t="s">
        <v>2139</v>
      </c>
      <c r="B27" s="1186" t="s">
        <v>2140</v>
      </c>
      <c r="C27" s="1186" t="s">
        <v>2141</v>
      </c>
      <c r="D27" s="1186" t="s">
        <v>2142</v>
      </c>
      <c r="E27" s="1186"/>
      <c r="F27" s="3921"/>
      <c r="G27" s="3921"/>
      <c r="I27" s="4073"/>
      <c r="J27" s="4073"/>
      <c r="K27" s="281"/>
      <c r="L27" s="1198"/>
      <c r="M27" s="207" t="s">
        <v>403</v>
      </c>
      <c r="N27" s="295"/>
      <c r="O27" s="295"/>
      <c r="P27" s="295"/>
      <c r="Q27" s="295"/>
      <c r="R27" s="295"/>
      <c r="S27" s="295"/>
      <c r="T27" s="295"/>
      <c r="U27" s="295"/>
      <c r="V27" s="295"/>
      <c r="W27" s="250"/>
      <c r="X27" s="4071"/>
      <c r="Z27" s="426"/>
      <c r="AA27" s="426" t="str">
        <f t="shared" si="0"/>
        <v>Добавить вид теплоносителя (параметры теплоносителя)</v>
      </c>
      <c r="AB27" s="426"/>
      <c r="AC27" s="426"/>
    </row>
    <row r="28" spans="1:29" ht="15" customHeight="1">
      <c r="A28" s="1186" t="s">
        <v>2139</v>
      </c>
      <c r="B28" s="1186" t="s">
        <v>2140</v>
      </c>
      <c r="C28" s="1186" t="s">
        <v>2141</v>
      </c>
      <c r="D28" s="1186" t="s">
        <v>2142</v>
      </c>
      <c r="E28" s="1186"/>
      <c r="F28" s="3921"/>
      <c r="I28" s="4073"/>
      <c r="J28" s="1210"/>
      <c r="K28" s="281"/>
      <c r="L28" s="1198"/>
      <c r="M28" s="206" t="s">
        <v>404</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6" t="s">
        <v>2139</v>
      </c>
      <c r="B29" s="1186" t="s">
        <v>2140</v>
      </c>
      <c r="C29" s="1186" t="s">
        <v>2141</v>
      </c>
      <c r="D29" s="1186" t="s">
        <v>2142</v>
      </c>
      <c r="E29" s="1186"/>
      <c r="F29" s="608"/>
      <c r="G29" s="608"/>
      <c r="H29" s="435"/>
      <c r="I29" s="285"/>
      <c r="J29" s="304"/>
      <c r="K29" s="280"/>
      <c r="L29" s="1198"/>
      <c r="M29" s="292" t="s">
        <v>405</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6" t="s">
        <v>2139</v>
      </c>
      <c r="B30" s="1186" t="s">
        <v>2140</v>
      </c>
      <c r="C30" s="1186" t="s">
        <v>2141</v>
      </c>
      <c r="D30" s="1186"/>
      <c r="E30" s="1186" t="s">
        <v>569</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2139</v>
      </c>
      <c r="B31" s="1186" t="s">
        <v>2140</v>
      </c>
      <c r="C31" s="1186"/>
      <c r="D31" s="1186"/>
      <c r="E31" s="1186" t="s">
        <v>2135</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2143</v>
      </c>
      <c r="B32" s="1186"/>
      <c r="C32" s="1186"/>
      <c r="D32" s="1186"/>
      <c r="E32" s="1186" t="s">
        <v>102</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3868" customFormat="1" ht="11.25" customHeight="1">
      <c r="A33" s="1186"/>
      <c r="B33" s="1186"/>
      <c r="C33" s="1186"/>
      <c r="D33" s="1186"/>
      <c r="E33" s="1186" t="s">
        <v>169</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701</v>
      </c>
      <c r="M35" s="4094" t="s">
        <v>2137</v>
      </c>
      <c r="N35" s="4094"/>
      <c r="O35" s="4094"/>
      <c r="P35" s="4094"/>
      <c r="Q35" s="4094"/>
      <c r="R35" s="4094"/>
      <c r="S35" s="4094"/>
      <c r="T35" s="4094"/>
      <c r="U35" s="4094"/>
      <c r="V35" s="4094"/>
      <c r="W35" s="4094"/>
      <c r="X35" s="4094"/>
    </row>
    <row r="36" spans="1:29" ht="104.25" customHeight="1">
      <c r="F36" s="1222"/>
      <c r="G36" s="1222"/>
      <c r="H36" s="435"/>
      <c r="I36" s="1222"/>
      <c r="M36" s="4094" t="s">
        <v>2138</v>
      </c>
      <c r="N36" s="4094"/>
      <c r="O36" s="4094"/>
      <c r="P36" s="4094"/>
      <c r="Q36" s="4094"/>
      <c r="R36" s="4094"/>
      <c r="S36" s="4094"/>
      <c r="T36" s="4094"/>
      <c r="U36" s="4094"/>
      <c r="V36" s="4094"/>
      <c r="W36" s="4094"/>
      <c r="X36" s="4094"/>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920"/>
    <col min="2" max="2" width="11" style="1920" customWidth="1"/>
    <col min="3" max="3" width="10.5703125" style="1920"/>
    <col min="4" max="4" width="11.85546875" style="1920" customWidth="1"/>
    <col min="5" max="5" width="12.28515625" style="1920" customWidth="1"/>
    <col min="6" max="8" width="12.28515625" style="3890" customWidth="1"/>
    <col min="9" max="9" width="3.7109375" style="3890" customWidth="1"/>
    <col min="10" max="11" width="3.7109375" style="3173" customWidth="1"/>
    <col min="12" max="12" width="12.7109375" style="3174" customWidth="1"/>
    <col min="13" max="13" width="32" style="1920" customWidth="1"/>
    <col min="14" max="14" width="1.7109375" style="1920" customWidth="1"/>
    <col min="15" max="18" width="24.7109375" style="1920" customWidth="1"/>
    <col min="19" max="19" width="11.7109375" style="1920" customWidth="1"/>
    <col min="20" max="20" width="3.7109375" style="1920" customWidth="1"/>
    <col min="21" max="21" width="11.7109375" style="1920" customWidth="1"/>
    <col min="22" max="22" width="8.5703125" style="1920" customWidth="1"/>
    <col min="23" max="23" width="4.7109375" style="1920" customWidth="1"/>
    <col min="24" max="24" width="115.7109375" style="1920" customWidth="1"/>
    <col min="25" max="26" width="10.5703125" style="1821"/>
    <col min="27" max="27" width="11.140625" style="1821" customWidth="1"/>
    <col min="28" max="29" width="10.5703125" style="1821"/>
  </cols>
  <sheetData>
    <row r="1" spans="6:29" ht="14.25" hidden="1" customHeight="1">
      <c r="R1" s="254"/>
      <c r="S1" s="254"/>
    </row>
    <row r="2" spans="6:29" ht="14.25" hidden="1" customHeight="1">
      <c r="V2" s="254"/>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4327" t="s">
        <v>2133</v>
      </c>
      <c r="M5" s="4327"/>
      <c r="N5" s="4327"/>
      <c r="O5" s="4327"/>
      <c r="P5" s="4327"/>
      <c r="Q5" s="4327"/>
      <c r="R5" s="4327"/>
      <c r="S5" s="4327"/>
      <c r="T5" s="4327"/>
      <c r="U5" s="4327"/>
      <c r="V5" s="1152"/>
    </row>
    <row r="6" spans="6:29" ht="14.25" customHeight="1">
      <c r="J6" s="305"/>
      <c r="K6" s="305"/>
      <c r="L6" s="4328" t="str">
        <f>IF(org=0,"Не определено",org)</f>
        <v>ООО «РИР-Сахалин»</v>
      </c>
      <c r="M6" s="4328"/>
      <c r="N6" s="4328"/>
      <c r="O6" s="4328"/>
      <c r="P6" s="4328"/>
      <c r="Q6" s="4328"/>
      <c r="R6" s="4328"/>
      <c r="S6" s="4328"/>
      <c r="T6" s="4328"/>
      <c r="U6" s="4328"/>
      <c r="V6" s="1152"/>
    </row>
    <row r="7" spans="6:29" ht="14.25" customHeight="1">
      <c r="J7" s="305"/>
      <c r="K7" s="305"/>
      <c r="L7" s="1195"/>
      <c r="M7" s="290"/>
      <c r="N7" s="290"/>
      <c r="O7" s="247"/>
      <c r="P7" s="247"/>
      <c r="Q7" s="247"/>
      <c r="R7" s="247"/>
      <c r="S7" s="247"/>
      <c r="T7" s="247"/>
      <c r="U7" s="247"/>
      <c r="V7" s="247"/>
      <c r="W7" s="435"/>
    </row>
    <row r="8" spans="6:29" s="2564" customFormat="1" ht="45" customHeight="1">
      <c r="F8" s="1158"/>
      <c r="G8" s="1158"/>
      <c r="H8" s="1158"/>
      <c r="L8" s="1196"/>
      <c r="M8" s="214" t="s">
        <v>38</v>
      </c>
      <c r="N8" s="223"/>
      <c r="O8" s="4067" t="str">
        <f>IF(TITLE_NAME_OR_PR_CHANGE="",IF(TITLE_NAME_OR_PR="","",TITLE_NAME_OR_PR),TITLE_NAME_OR_PR_CHANGE)</f>
        <v/>
      </c>
      <c r="P8" s="4067"/>
      <c r="Q8" s="4067"/>
      <c r="R8" s="4067"/>
      <c r="S8" s="4067"/>
      <c r="T8" s="4067"/>
      <c r="U8" s="4067"/>
      <c r="V8" s="253"/>
      <c r="W8" s="253"/>
      <c r="X8" s="200"/>
      <c r="Y8" s="296"/>
      <c r="Z8" s="296"/>
      <c r="AA8" s="296"/>
      <c r="AB8" s="296"/>
      <c r="AC8" s="296"/>
    </row>
    <row r="9" spans="6:29" s="2564" customFormat="1" ht="22.5" customHeight="1">
      <c r="F9" s="1158"/>
      <c r="G9" s="1158"/>
      <c r="H9" s="1158"/>
      <c r="L9" s="1196"/>
      <c r="M9" s="214" t="s">
        <v>412</v>
      </c>
      <c r="N9" s="223"/>
      <c r="O9" s="4067">
        <f>IF(TITLE_DATE_CHANGE_PERIOD="",IF(TITLE_DATE_PR="","",TITLE_DATE_PR),TITLE_DATE_CHANGE_PERIOD)</f>
        <v>45292.463553240741</v>
      </c>
      <c r="P9" s="4067"/>
      <c r="Q9" s="4067"/>
      <c r="R9" s="4067"/>
      <c r="S9" s="4067"/>
      <c r="T9" s="4067"/>
      <c r="U9" s="4067"/>
      <c r="V9" s="253"/>
      <c r="W9" s="253"/>
      <c r="X9" s="200"/>
      <c r="Y9" s="296"/>
      <c r="Z9" s="296"/>
      <c r="AA9" s="296"/>
      <c r="AB9" s="296"/>
      <c r="AC9" s="296"/>
    </row>
    <row r="10" spans="6:29" s="2564" customFormat="1" ht="22.5" customHeight="1">
      <c r="F10" s="1158"/>
      <c r="G10" s="1158"/>
      <c r="H10" s="1158"/>
      <c r="L10" s="1160"/>
      <c r="M10" s="214" t="s">
        <v>413</v>
      </c>
      <c r="N10" s="223"/>
      <c r="O10" s="4067" t="str">
        <f>IF(TITLE_NUMBER_PR_CHANGE="",IF(TITLE_NUMBER_PR="","",TITLE_NUMBER_PR),TITLE_NUMBER_PR_CHANGE)</f>
        <v>761-1/201-1</v>
      </c>
      <c r="P10" s="4067"/>
      <c r="Q10" s="4067"/>
      <c r="R10" s="4067"/>
      <c r="S10" s="4067"/>
      <c r="T10" s="4067"/>
      <c r="U10" s="4067"/>
      <c r="V10" s="253"/>
      <c r="W10" s="253"/>
      <c r="X10" s="200"/>
      <c r="Y10" s="296"/>
      <c r="Z10" s="296"/>
      <c r="AA10" s="296"/>
      <c r="AB10" s="296"/>
      <c r="AC10" s="296"/>
    </row>
    <row r="11" spans="6:29" s="2564" customFormat="1" ht="22.5" customHeight="1">
      <c r="F11" s="1158"/>
      <c r="G11" s="1158"/>
      <c r="H11" s="1158"/>
      <c r="L11" s="1160"/>
      <c r="M11" s="214" t="s">
        <v>39</v>
      </c>
      <c r="N11" s="223"/>
      <c r="O11" s="4067" t="str">
        <f>IF(TITLE_IST_PUB_CHANGE="",IF(TITLE_IST_PUB="","",TITLE_IST_PUB),TITLE_IST_PUB_CHANGE)</f>
        <v/>
      </c>
      <c r="P11" s="4067"/>
      <c r="Q11" s="4067"/>
      <c r="R11" s="4067"/>
      <c r="S11" s="4067"/>
      <c r="T11" s="4067"/>
      <c r="U11" s="4067"/>
      <c r="V11" s="253"/>
      <c r="W11" s="253"/>
      <c r="X11" s="200"/>
      <c r="Y11" s="296"/>
      <c r="Z11" s="296"/>
      <c r="AA11" s="296"/>
      <c r="AB11" s="296"/>
      <c r="AC11" s="296"/>
    </row>
    <row r="12" spans="6:29" s="2564" customFormat="1" ht="11.25" hidden="1" customHeight="1">
      <c r="F12" s="1158"/>
      <c r="G12" s="1158"/>
      <c r="H12" s="1158"/>
      <c r="L12" s="4329"/>
      <c r="M12" s="4329"/>
      <c r="N12" s="1206"/>
      <c r="O12" s="253"/>
      <c r="P12" s="253"/>
      <c r="Q12" s="253"/>
      <c r="R12" s="253"/>
      <c r="S12" s="253"/>
      <c r="T12" s="253"/>
      <c r="U12" s="253"/>
      <c r="V12" s="198" t="s">
        <v>416</v>
      </c>
      <c r="Y12" s="296"/>
      <c r="Z12" s="296"/>
      <c r="AA12" s="296"/>
      <c r="AB12" s="296"/>
      <c r="AC12" s="296"/>
    </row>
    <row r="13" spans="6:29" ht="14.25" customHeight="1">
      <c r="J13" s="305"/>
      <c r="K13" s="305"/>
      <c r="L13" s="1195"/>
      <c r="M13" s="290"/>
      <c r="N13" s="1153"/>
      <c r="O13" s="4068"/>
      <c r="P13" s="4068"/>
      <c r="Q13" s="4068"/>
      <c r="R13" s="4068"/>
      <c r="S13" s="4068"/>
      <c r="T13" s="4068"/>
      <c r="U13" s="4068"/>
      <c r="V13" s="4068"/>
    </row>
    <row r="14" spans="6:29" ht="14.25" customHeight="1">
      <c r="J14" s="305"/>
      <c r="K14" s="305"/>
      <c r="L14" s="3946" t="s">
        <v>290</v>
      </c>
      <c r="M14" s="3946"/>
      <c r="N14" s="3946"/>
      <c r="O14" s="3946"/>
      <c r="P14" s="3946"/>
      <c r="Q14" s="3946"/>
      <c r="R14" s="3946"/>
      <c r="S14" s="3946"/>
      <c r="T14" s="3946"/>
      <c r="U14" s="3946"/>
      <c r="V14" s="3946"/>
      <c r="W14" s="3946"/>
      <c r="X14" s="3946" t="s">
        <v>291</v>
      </c>
    </row>
    <row r="15" spans="6:29" ht="14.25" customHeight="1">
      <c r="J15" s="305"/>
      <c r="K15" s="305"/>
      <c r="L15" s="4082" t="s">
        <v>86</v>
      </c>
      <c r="M15" s="4033" t="s">
        <v>418</v>
      </c>
      <c r="N15" s="220"/>
      <c r="O15" s="4083" t="s">
        <v>2134</v>
      </c>
      <c r="P15" s="4084"/>
      <c r="Q15" s="4084"/>
      <c r="R15" s="4084"/>
      <c r="S15" s="4084"/>
      <c r="T15" s="4084"/>
      <c r="U15" s="4085"/>
      <c r="V15" s="4086" t="s">
        <v>420</v>
      </c>
      <c r="W15" s="4089" t="s">
        <v>1043</v>
      </c>
      <c r="X15" s="3946"/>
    </row>
    <row r="16" spans="6:29" ht="33.75" customHeight="1">
      <c r="J16" s="305"/>
      <c r="K16" s="305"/>
      <c r="L16" s="4082"/>
      <c r="M16" s="4033"/>
      <c r="N16" s="938"/>
      <c r="O16" s="4003" t="s">
        <v>423</v>
      </c>
      <c r="P16" s="4003" t="s">
        <v>424</v>
      </c>
      <c r="Q16" s="3918" t="s">
        <v>425</v>
      </c>
      <c r="R16" s="3917"/>
      <c r="S16" s="3918" t="s">
        <v>440</v>
      </c>
      <c r="T16" s="3923"/>
      <c r="U16" s="3917"/>
      <c r="V16" s="4087"/>
      <c r="W16" s="4090"/>
      <c r="X16" s="3946"/>
    </row>
    <row r="17" spans="1:29" ht="33.75" customHeight="1">
      <c r="A17" s="1179" t="s">
        <v>132</v>
      </c>
      <c r="B17" s="1179" t="s">
        <v>133</v>
      </c>
      <c r="C17" s="1179" t="s">
        <v>134</v>
      </c>
      <c r="D17" s="1179" t="s">
        <v>135</v>
      </c>
      <c r="E17" s="1179"/>
      <c r="J17" s="305"/>
      <c r="K17" s="305"/>
      <c r="L17" s="4082"/>
      <c r="M17" s="4033"/>
      <c r="N17" s="221"/>
      <c r="O17" s="4053"/>
      <c r="P17" s="4053"/>
      <c r="Q17" s="1128" t="s">
        <v>434</v>
      </c>
      <c r="R17" s="1128" t="s">
        <v>435</v>
      </c>
      <c r="S17" s="1211" t="s">
        <v>436</v>
      </c>
      <c r="T17" s="4042" t="s">
        <v>437</v>
      </c>
      <c r="U17" s="4044"/>
      <c r="V17" s="4088"/>
      <c r="W17" s="4091"/>
      <c r="X17" s="3946"/>
    </row>
    <row r="18" spans="1:29" s="1820" customFormat="1" ht="11.25" customHeight="1">
      <c r="A18" s="1179"/>
      <c r="B18" s="1179"/>
      <c r="C18" s="1179"/>
      <c r="D18" s="1179"/>
      <c r="E18" s="1179"/>
      <c r="F18" s="1205"/>
      <c r="G18" s="1205"/>
      <c r="H18" s="1205"/>
      <c r="I18" s="1155"/>
      <c r="J18" s="1156"/>
      <c r="K18" s="1171">
        <v>1</v>
      </c>
      <c r="L18" s="1197" t="s">
        <v>107</v>
      </c>
      <c r="M18" s="1172" t="s">
        <v>108</v>
      </c>
      <c r="N18" s="1154" t="str">
        <f ca="1">OFFSET(N18,0,-1)</f>
        <v>2</v>
      </c>
      <c r="O18" s="1208">
        <f ca="1">OFFSET(O18,0,-1)+1</f>
        <v>3</v>
      </c>
      <c r="P18" s="1208"/>
      <c r="Q18" s="1208">
        <f ca="1">OFFSET(Q18,0,-1)+1</f>
        <v>1</v>
      </c>
      <c r="R18" s="1208">
        <f ca="1">OFFSET(R18,0,-1)+1</f>
        <v>2</v>
      </c>
      <c r="S18" s="1208">
        <f ca="1">OFFSET(S18,0,-1)+1</f>
        <v>3</v>
      </c>
      <c r="T18" s="4081">
        <f ca="1">OFFSET(T18,0,-1)+1</f>
        <v>4</v>
      </c>
      <c r="U18" s="4081"/>
      <c r="V18" s="1208">
        <f ca="1">OFFSET(V18,0,-2)+1</f>
        <v>5</v>
      </c>
      <c r="W18" s="1154">
        <f ca="1">OFFSET(W18,0,-1)</f>
        <v>5</v>
      </c>
      <c r="X18" s="1208">
        <f ca="1">OFFSET(X18,0,-1)+1</f>
        <v>6</v>
      </c>
      <c r="Y18" s="437"/>
      <c r="Z18" s="437"/>
      <c r="AA18" s="437"/>
      <c r="AB18" s="437"/>
      <c r="AC18" s="437"/>
    </row>
    <row r="19" spans="1:29" ht="21" customHeight="1">
      <c r="A19" s="1186" t="s">
        <v>2144</v>
      </c>
      <c r="B19" s="1186" t="s">
        <v>2145</v>
      </c>
      <c r="C19" s="1186" t="s">
        <v>2146</v>
      </c>
      <c r="D19" s="1186" t="s">
        <v>2147</v>
      </c>
      <c r="E19" s="1186"/>
      <c r="F19" s="608"/>
      <c r="G19" s="608"/>
      <c r="H19" s="608"/>
      <c r="I19" s="286"/>
      <c r="J19" s="285"/>
      <c r="K19" s="280"/>
      <c r="L19" s="1212" t="e">
        <f>INDEX(PT_DIFFERENTIATION_NUM_NTAR,MATCH(A19,PT_DIFFERENTIATION_NTAR_ID,0))</f>
        <v>#N/A</v>
      </c>
      <c r="M19" s="217" t="s">
        <v>121</v>
      </c>
      <c r="N19" s="219"/>
      <c r="O19" s="4330" t="e">
        <f>INDEX(PT_DIFFERENTIATION_NTAR,MATCH(A19,PT_DIFFERENTIATION_NTAR_ID,0))</f>
        <v>#N/A</v>
      </c>
      <c r="P19" s="4330"/>
      <c r="Q19" s="4330"/>
      <c r="R19" s="4330"/>
      <c r="S19" s="4330"/>
      <c r="T19" s="4330"/>
      <c r="U19" s="4330"/>
      <c r="V19" s="4330"/>
      <c r="W19" s="4330"/>
      <c r="X19" s="1177" t="s">
        <v>388</v>
      </c>
      <c r="Z19" s="426"/>
      <c r="AA19" s="426" t="str">
        <f t="shared" ref="AA19:AA32" si="0">IF(M19="","",M19)</f>
        <v>Наименование тарифа</v>
      </c>
      <c r="AB19" s="426"/>
      <c r="AC19" s="426"/>
    </row>
    <row r="20" spans="1:29" ht="21" customHeight="1">
      <c r="A20" s="1186" t="s">
        <v>2144</v>
      </c>
      <c r="B20" s="1186" t="s">
        <v>2145</v>
      </c>
      <c r="C20" s="1186" t="s">
        <v>2146</v>
      </c>
      <c r="D20" s="1186" t="s">
        <v>2147</v>
      </c>
      <c r="E20" s="1186"/>
      <c r="F20" s="608"/>
      <c r="G20" s="608"/>
      <c r="H20" s="608"/>
      <c r="I20" s="1209"/>
      <c r="J20" s="277"/>
      <c r="K20" s="278"/>
      <c r="L20" s="1212" t="e">
        <f>INDEX(PT_DIFFERENTIATION_NUM_TER,MATCH(B19,PT_DIFFERENTIATION_TER_ID,0))</f>
        <v>#N/A</v>
      </c>
      <c r="M20" s="229" t="s">
        <v>389</v>
      </c>
      <c r="N20" s="219"/>
      <c r="O20" s="4330" t="e">
        <f>INDEX(PT_DIFFERENTIATION_TER,MATCH(B19,PT_DIFFERENTIATION_TER_ID,0))</f>
        <v>#N/A</v>
      </c>
      <c r="P20" s="4330"/>
      <c r="Q20" s="4330"/>
      <c r="R20" s="4330"/>
      <c r="S20" s="4330"/>
      <c r="T20" s="4330"/>
      <c r="U20" s="4330"/>
      <c r="V20" s="4330"/>
      <c r="W20" s="4330"/>
      <c r="X20" s="1177" t="s">
        <v>390</v>
      </c>
      <c r="Z20" s="426"/>
      <c r="AA20" s="426" t="str">
        <f t="shared" si="0"/>
        <v>Территория действия тарифа</v>
      </c>
      <c r="AB20" s="426"/>
      <c r="AC20" s="426"/>
    </row>
    <row r="21" spans="1:29" ht="22.5" customHeight="1">
      <c r="A21" s="1186" t="s">
        <v>2144</v>
      </c>
      <c r="B21" s="1186" t="s">
        <v>2145</v>
      </c>
      <c r="C21" s="1186" t="s">
        <v>2146</v>
      </c>
      <c r="D21" s="1186" t="s">
        <v>2147</v>
      </c>
      <c r="E21" s="1186"/>
      <c r="F21" s="608"/>
      <c r="G21" s="608"/>
      <c r="H21" s="608"/>
      <c r="I21" s="279"/>
      <c r="J21" s="277"/>
      <c r="K21" s="278"/>
      <c r="L21" s="1212" t="e">
        <f>INDEX(PT_DIFFERENTIATION_NUM_CS,MATCH(C19,PT_DIFFERENTIATION_CS_ID,0))</f>
        <v>#N/A</v>
      </c>
      <c r="M21" s="230" t="s">
        <v>391</v>
      </c>
      <c r="N21" s="219"/>
      <c r="O21" s="4330" t="e">
        <f>INDEX(PT_DIFFERENTIATION_CS,MATCH(C19,PT_DIFFERENTIATION_CS_ID,0))</f>
        <v>#N/A</v>
      </c>
      <c r="P21" s="4330"/>
      <c r="Q21" s="4330"/>
      <c r="R21" s="4330"/>
      <c r="S21" s="4330"/>
      <c r="T21" s="4330"/>
      <c r="U21" s="4330"/>
      <c r="V21" s="4330"/>
      <c r="W21" s="4330"/>
      <c r="X21" s="1177" t="s">
        <v>392</v>
      </c>
      <c r="Z21" s="426"/>
      <c r="AA21" s="426" t="str">
        <f t="shared" si="0"/>
        <v xml:space="preserve">Наименование системы теплоснабжения </v>
      </c>
      <c r="AB21" s="426"/>
      <c r="AC21" s="426"/>
    </row>
    <row r="22" spans="1:29" ht="21" customHeight="1">
      <c r="A22" s="1186" t="s">
        <v>2144</v>
      </c>
      <c r="B22" s="1186" t="s">
        <v>2145</v>
      </c>
      <c r="C22" s="1186" t="s">
        <v>2146</v>
      </c>
      <c r="D22" s="1186" t="s">
        <v>2147</v>
      </c>
      <c r="E22" s="1186"/>
      <c r="F22" s="608"/>
      <c r="G22" s="608"/>
      <c r="H22" s="608"/>
      <c r="I22" s="279"/>
      <c r="J22" s="277"/>
      <c r="K22" s="278"/>
      <c r="L22" s="1212" t="e">
        <f>INDEX(PT_DIFFERENTIATION_NUM_IST_TE,MATCH(D19,PT_DIFFERENTIATION_IST_TE_ID,0))</f>
        <v>#N/A</v>
      </c>
      <c r="M22" s="231" t="s">
        <v>393</v>
      </c>
      <c r="N22" s="219"/>
      <c r="O22" s="4330" t="e">
        <f>INDEX(PT_DIFFERENTIATION_IST_TE,MATCH(D19,PT_DIFFERENTIATION_IST_TE_ID,0))</f>
        <v>#N/A</v>
      </c>
      <c r="P22" s="4330"/>
      <c r="Q22" s="4330"/>
      <c r="R22" s="4330"/>
      <c r="S22" s="4330"/>
      <c r="T22" s="4330"/>
      <c r="U22" s="4330"/>
      <c r="V22" s="4330"/>
      <c r="W22" s="4330"/>
      <c r="X22" s="1177" t="s">
        <v>394</v>
      </c>
      <c r="Z22" s="426"/>
      <c r="AA22" s="426" t="str">
        <f t="shared" si="0"/>
        <v xml:space="preserve">Источник тепловой энергии  </v>
      </c>
      <c r="AB22" s="426"/>
      <c r="AC22" s="426"/>
    </row>
    <row r="23" spans="1:29" ht="94.5" customHeight="1">
      <c r="A23" s="1186" t="s">
        <v>2144</v>
      </c>
      <c r="B23" s="1186" t="s">
        <v>2145</v>
      </c>
      <c r="C23" s="1186" t="s">
        <v>2146</v>
      </c>
      <c r="D23" s="1186" t="s">
        <v>2147</v>
      </c>
      <c r="E23" s="1186"/>
      <c r="F23" s="3921" t="e">
        <f>L22&amp;".1"</f>
        <v>#N/A</v>
      </c>
      <c r="I23" s="4073">
        <v>1</v>
      </c>
      <c r="J23" s="1210"/>
      <c r="K23" s="281"/>
      <c r="L23" s="1212" t="e">
        <f>$F$23</f>
        <v>#N/A</v>
      </c>
      <c r="M23" s="204" t="s">
        <v>396</v>
      </c>
      <c r="N23" s="219"/>
      <c r="O23" s="4331"/>
      <c r="P23" s="4331"/>
      <c r="Q23" s="4331"/>
      <c r="R23" s="4331"/>
      <c r="S23" s="4331"/>
      <c r="T23" s="4331"/>
      <c r="U23" s="4331"/>
      <c r="V23" s="4331"/>
      <c r="W23" s="4331"/>
      <c r="X23" s="1177" t="s">
        <v>397</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2144</v>
      </c>
      <c r="B24" s="1186" t="s">
        <v>2145</v>
      </c>
      <c r="C24" s="1186" t="s">
        <v>2146</v>
      </c>
      <c r="D24" s="1186" t="s">
        <v>2147</v>
      </c>
      <c r="E24" s="1186"/>
      <c r="F24" s="3921"/>
      <c r="G24" s="3921" t="e">
        <f>F23&amp;".1"</f>
        <v>#N/A</v>
      </c>
      <c r="I24" s="4073"/>
      <c r="J24" s="4073">
        <v>1</v>
      </c>
      <c r="K24" s="282"/>
      <c r="L24" s="1212" t="e">
        <f>$G$24</f>
        <v>#N/A</v>
      </c>
      <c r="M24" s="205" t="s">
        <v>399</v>
      </c>
      <c r="N24" s="219"/>
      <c r="O24" s="4332"/>
      <c r="P24" s="4333"/>
      <c r="Q24" s="4333"/>
      <c r="R24" s="4333"/>
      <c r="S24" s="4333"/>
      <c r="T24" s="4333"/>
      <c r="U24" s="4333"/>
      <c r="V24" s="4333"/>
      <c r="W24" s="4334"/>
      <c r="X24" s="1177" t="s">
        <v>400</v>
      </c>
      <c r="Z24" s="426"/>
      <c r="AA24" s="426" t="str">
        <f t="shared" si="0"/>
        <v>Группа потребителей</v>
      </c>
      <c r="AB24" s="426"/>
      <c r="AC24" s="426"/>
    </row>
    <row r="25" spans="1:29" ht="11.25" customHeight="1">
      <c r="A25" s="1186" t="s">
        <v>2144</v>
      </c>
      <c r="B25" s="1186" t="s">
        <v>2145</v>
      </c>
      <c r="C25" s="1186" t="s">
        <v>2146</v>
      </c>
      <c r="D25" s="1186" t="s">
        <v>2147</v>
      </c>
      <c r="E25" s="1186"/>
      <c r="F25" s="3921"/>
      <c r="G25" s="3921"/>
      <c r="H25" s="3921" t="e">
        <f>G24&amp;".1"</f>
        <v>#N/A</v>
      </c>
      <c r="I25" s="4073"/>
      <c r="J25" s="4073"/>
      <c r="K25" s="282">
        <v>1</v>
      </c>
      <c r="L25" s="1212" t="e">
        <f>$H$25</f>
        <v>#N/A</v>
      </c>
      <c r="M25" s="1178"/>
      <c r="N25" s="219"/>
      <c r="O25" s="668"/>
      <c r="P25" s="251"/>
      <c r="Q25" s="668"/>
      <c r="R25" s="1176"/>
      <c r="S25" s="4077"/>
      <c r="T25" s="3927" t="s">
        <v>65</v>
      </c>
      <c r="U25" s="4077"/>
      <c r="V25" s="3927" t="s">
        <v>55</v>
      </c>
      <c r="W25" s="251"/>
      <c r="X25" s="4069" t="s">
        <v>402</v>
      </c>
      <c r="Y25" s="437" t="e">
        <f ca="1">STRCHECKDATE(O26:W26)</f>
        <v>#NAME?</v>
      </c>
      <c r="Z25" s="426"/>
      <c r="AA25" s="426" t="str">
        <f t="shared" si="0"/>
        <v/>
      </c>
      <c r="AB25" s="426"/>
      <c r="AC25" s="426"/>
    </row>
    <row r="26" spans="1:29" ht="11.25" customHeight="1">
      <c r="A26" s="1186" t="s">
        <v>2144</v>
      </c>
      <c r="B26" s="1186" t="s">
        <v>2145</v>
      </c>
      <c r="C26" s="1186" t="s">
        <v>2146</v>
      </c>
      <c r="D26" s="1186" t="s">
        <v>2147</v>
      </c>
      <c r="E26" s="1186"/>
      <c r="F26" s="3921"/>
      <c r="G26" s="3921"/>
      <c r="H26" s="3921"/>
      <c r="I26" s="4073"/>
      <c r="J26" s="4073"/>
      <c r="K26" s="282"/>
      <c r="L26" s="1213"/>
      <c r="M26" s="219"/>
      <c r="N26" s="219"/>
      <c r="O26" s="251"/>
      <c r="P26" s="251"/>
      <c r="Q26" s="251"/>
      <c r="R26" s="255" t="str">
        <f>S25&amp;"-"&amp;U25</f>
        <v>-</v>
      </c>
      <c r="S26" s="4078"/>
      <c r="T26" s="3927"/>
      <c r="U26" s="4078"/>
      <c r="V26" s="3927"/>
      <c r="W26" s="251"/>
      <c r="X26" s="4070"/>
      <c r="Z26" s="426"/>
      <c r="AA26" s="426" t="str">
        <f t="shared" si="0"/>
        <v/>
      </c>
      <c r="AB26" s="426"/>
      <c r="AC26" s="426"/>
    </row>
    <row r="27" spans="1:29" ht="15" customHeight="1">
      <c r="A27" s="1186" t="s">
        <v>2144</v>
      </c>
      <c r="B27" s="1186" t="s">
        <v>2145</v>
      </c>
      <c r="C27" s="1186" t="s">
        <v>2146</v>
      </c>
      <c r="D27" s="1186" t="s">
        <v>2147</v>
      </c>
      <c r="E27" s="1186"/>
      <c r="F27" s="3921"/>
      <c r="G27" s="3921"/>
      <c r="I27" s="4073"/>
      <c r="J27" s="4073"/>
      <c r="K27" s="281"/>
      <c r="L27" s="1198"/>
      <c r="M27" s="207" t="s">
        <v>403</v>
      </c>
      <c r="N27" s="295"/>
      <c r="O27" s="295"/>
      <c r="P27" s="295"/>
      <c r="Q27" s="295"/>
      <c r="R27" s="295"/>
      <c r="S27" s="295"/>
      <c r="T27" s="295"/>
      <c r="U27" s="295"/>
      <c r="V27" s="295"/>
      <c r="W27" s="250"/>
      <c r="X27" s="4071"/>
      <c r="Z27" s="426"/>
      <c r="AA27" s="426" t="str">
        <f t="shared" si="0"/>
        <v>Добавить вид теплоносителя (параметры теплоносителя)</v>
      </c>
      <c r="AB27" s="426"/>
      <c r="AC27" s="426"/>
    </row>
    <row r="28" spans="1:29" ht="15" customHeight="1">
      <c r="A28" s="1186" t="s">
        <v>2144</v>
      </c>
      <c r="B28" s="1186" t="s">
        <v>2145</v>
      </c>
      <c r="C28" s="1186" t="s">
        <v>2146</v>
      </c>
      <c r="D28" s="1186" t="s">
        <v>2147</v>
      </c>
      <c r="E28" s="1186"/>
      <c r="F28" s="3921"/>
      <c r="I28" s="4073"/>
      <c r="J28" s="1210"/>
      <c r="K28" s="281"/>
      <c r="L28" s="1198"/>
      <c r="M28" s="206" t="s">
        <v>404</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6" t="s">
        <v>2144</v>
      </c>
      <c r="B29" s="1186" t="s">
        <v>2145</v>
      </c>
      <c r="C29" s="1186" t="s">
        <v>2146</v>
      </c>
      <c r="D29" s="1186" t="s">
        <v>2147</v>
      </c>
      <c r="E29" s="1186"/>
      <c r="F29" s="608"/>
      <c r="G29" s="608"/>
      <c r="H29" s="435"/>
      <c r="I29" s="285"/>
      <c r="J29" s="304"/>
      <c r="K29" s="280"/>
      <c r="L29" s="1198"/>
      <c r="M29" s="292" t="s">
        <v>405</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6" t="s">
        <v>2144</v>
      </c>
      <c r="B30" s="1186" t="s">
        <v>2145</v>
      </c>
      <c r="C30" s="1186" t="s">
        <v>2146</v>
      </c>
      <c r="D30" s="1186"/>
      <c r="E30" s="1186" t="s">
        <v>569</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2144</v>
      </c>
      <c r="B31" s="1186" t="s">
        <v>2145</v>
      </c>
      <c r="C31" s="1186"/>
      <c r="D31" s="1186"/>
      <c r="E31" s="1186" t="s">
        <v>2135</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2148</v>
      </c>
      <c r="B32" s="1186"/>
      <c r="C32" s="1186"/>
      <c r="D32" s="1186"/>
      <c r="E32" s="1186" t="s">
        <v>102</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3868" customFormat="1" ht="11.25" customHeight="1">
      <c r="A33" s="1186"/>
      <c r="B33" s="1186"/>
      <c r="C33" s="1186"/>
      <c r="D33" s="1186"/>
      <c r="E33" s="1186" t="s">
        <v>169</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701</v>
      </c>
      <c r="M35" s="4094" t="s">
        <v>2137</v>
      </c>
      <c r="N35" s="4094"/>
      <c r="O35" s="4094"/>
      <c r="P35" s="4094"/>
      <c r="Q35" s="4094"/>
      <c r="R35" s="4094"/>
      <c r="S35" s="4094"/>
      <c r="T35" s="4094"/>
      <c r="U35" s="4094"/>
      <c r="V35" s="4094"/>
      <c r="W35" s="4094"/>
      <c r="X35" s="4094"/>
    </row>
    <row r="36" spans="1:29" ht="104.25" customHeight="1">
      <c r="F36" s="1222"/>
      <c r="G36" s="1222"/>
      <c r="H36" s="435"/>
      <c r="I36" s="1222"/>
      <c r="M36" s="4094" t="s">
        <v>2138</v>
      </c>
      <c r="N36" s="4094"/>
      <c r="O36" s="4094"/>
      <c r="P36" s="4094"/>
      <c r="Q36" s="4094"/>
      <c r="R36" s="4094"/>
      <c r="S36" s="4094"/>
      <c r="T36" s="4094"/>
      <c r="U36" s="4094"/>
      <c r="V36" s="4094"/>
      <c r="W36" s="4094"/>
      <c r="X36" s="4094"/>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21"/>
    <col min="7" max="8" width="9.140625" style="3800" customWidth="1"/>
    <col min="9" max="9" width="3.7109375" style="3172" customWidth="1"/>
    <col min="10" max="11" width="3.7109375" style="3173" customWidth="1"/>
    <col min="12" max="12" width="12.7109375" style="1920" customWidth="1"/>
    <col min="13" max="13" width="47.42578125" style="1920" customWidth="1"/>
    <col min="14" max="14" width="2.7109375" style="1920" hidden="1" customWidth="1"/>
    <col min="15" max="18" width="23.7109375" style="1920" customWidth="1"/>
    <col min="19" max="19" width="11.7109375" style="1920" customWidth="1"/>
    <col min="20" max="20" width="3.7109375" style="1920" customWidth="1"/>
    <col min="21" max="21" width="11.7109375" style="1920" customWidth="1"/>
    <col min="22" max="22" width="8.5703125" style="1920" hidden="1" customWidth="1"/>
    <col min="23" max="23" width="4.7109375" style="1920" customWidth="1"/>
    <col min="24" max="24" width="115.7109375" style="1920" customWidth="1"/>
    <col min="25" max="29" width="10.5703125" style="1821"/>
  </cols>
  <sheetData>
    <row r="1" spans="1:29" ht="14.25" hidden="1" customHeight="1"/>
    <row r="2" spans="1:29" ht="14.25" hidden="1" customHeight="1"/>
    <row r="3" spans="1:29" ht="14.25" hidden="1" customHeight="1"/>
    <row r="4" spans="1:29" ht="14.25" customHeight="1">
      <c r="J4" s="305"/>
      <c r="K4" s="305"/>
      <c r="L4" s="290"/>
      <c r="M4" s="290"/>
      <c r="N4" s="290"/>
      <c r="O4" s="435"/>
      <c r="P4" s="435"/>
      <c r="Q4" s="435"/>
      <c r="R4" s="435"/>
      <c r="S4" s="435"/>
      <c r="T4" s="435"/>
      <c r="U4" s="435"/>
      <c r="V4" s="290"/>
    </row>
    <row r="5" spans="1:29" ht="14.25" customHeight="1">
      <c r="J5" s="305"/>
      <c r="K5" s="305"/>
      <c r="L5" s="4335" t="s">
        <v>2149</v>
      </c>
      <c r="M5" s="4335"/>
      <c r="N5" s="4335"/>
      <c r="O5" s="4335"/>
      <c r="P5" s="4335"/>
      <c r="Q5" s="4335"/>
      <c r="R5" s="4335"/>
      <c r="S5" s="4335"/>
      <c r="T5" s="4335"/>
      <c r="U5" s="196"/>
      <c r="V5" s="196"/>
    </row>
    <row r="6" spans="1:29" ht="14.25" customHeight="1">
      <c r="J6" s="305"/>
      <c r="K6" s="305"/>
      <c r="L6" s="290"/>
      <c r="M6" s="290"/>
      <c r="N6" s="290"/>
      <c r="O6" s="247"/>
      <c r="P6" s="247"/>
      <c r="Q6" s="247"/>
      <c r="R6" s="247"/>
      <c r="S6" s="247"/>
      <c r="T6" s="247"/>
      <c r="U6" s="290"/>
    </row>
    <row r="7" spans="1:29" s="2564" customFormat="1" ht="22.5" customHeight="1">
      <c r="A7" s="296"/>
      <c r="B7" s="296"/>
      <c r="C7" s="296"/>
      <c r="D7" s="296"/>
      <c r="E7" s="296"/>
      <c r="F7" s="296"/>
      <c r="G7" s="296"/>
      <c r="H7" s="296"/>
      <c r="L7" s="197"/>
      <c r="M7" s="214" t="s">
        <v>38</v>
      </c>
      <c r="N7" s="223"/>
      <c r="O7" s="4336" t="e">
        <f>IF(NameOrPr_ch="",IF(NameOrPr="","",NameOrPr),NameOrPr_ch)</f>
        <v>#NAME?</v>
      </c>
      <c r="P7" s="4337"/>
      <c r="Q7" s="4337"/>
      <c r="R7" s="4337"/>
      <c r="S7" s="4337"/>
      <c r="T7" s="4338"/>
      <c r="U7" s="1157"/>
      <c r="Y7" s="296"/>
      <c r="Z7" s="296"/>
      <c r="AA7" s="296"/>
      <c r="AB7" s="296"/>
      <c r="AC7" s="296"/>
    </row>
    <row r="8" spans="1:29" s="2564" customFormat="1" ht="18.75" customHeight="1">
      <c r="A8" s="296"/>
      <c r="B8" s="296"/>
      <c r="C8" s="296"/>
      <c r="D8" s="296"/>
      <c r="E8" s="296"/>
      <c r="F8" s="296"/>
      <c r="G8" s="296"/>
      <c r="H8" s="296"/>
      <c r="L8" s="197"/>
      <c r="M8" s="214" t="s">
        <v>412</v>
      </c>
      <c r="N8" s="223"/>
      <c r="O8" s="4336" t="e">
        <f>IF(datePr_ch="",IF(datePr="","",datePr),datePr_ch)</f>
        <v>#NAME?</v>
      </c>
      <c r="P8" s="4337"/>
      <c r="Q8" s="4337"/>
      <c r="R8" s="4337"/>
      <c r="S8" s="4337"/>
      <c r="T8" s="4338"/>
      <c r="U8" s="1157"/>
      <c r="Y8" s="296"/>
      <c r="Z8" s="296"/>
      <c r="AA8" s="296"/>
      <c r="AB8" s="296"/>
      <c r="AC8" s="296"/>
    </row>
    <row r="9" spans="1:29" s="2564" customFormat="1" ht="18.75" customHeight="1">
      <c r="A9" s="296"/>
      <c r="B9" s="296"/>
      <c r="C9" s="296"/>
      <c r="D9" s="296"/>
      <c r="E9" s="296"/>
      <c r="F9" s="296"/>
      <c r="G9" s="296"/>
      <c r="H9" s="296"/>
      <c r="L9" s="249"/>
      <c r="M9" s="214" t="s">
        <v>413</v>
      </c>
      <c r="N9" s="223"/>
      <c r="O9" s="4336" t="e">
        <f>IF(numberPr_ch="",IF(numberPr="","",numberPr),numberPr_ch)</f>
        <v>#NAME?</v>
      </c>
      <c r="P9" s="4337"/>
      <c r="Q9" s="4337"/>
      <c r="R9" s="4337"/>
      <c r="S9" s="4337"/>
      <c r="T9" s="4338"/>
      <c r="U9" s="1157"/>
      <c r="Y9" s="296"/>
      <c r="Z9" s="296"/>
      <c r="AA9" s="296"/>
      <c r="AB9" s="296"/>
      <c r="AC9" s="296"/>
    </row>
    <row r="10" spans="1:29" s="2564" customFormat="1" ht="18.75" customHeight="1">
      <c r="A10" s="296"/>
      <c r="B10" s="296"/>
      <c r="C10" s="296"/>
      <c r="D10" s="296"/>
      <c r="E10" s="296"/>
      <c r="F10" s="296"/>
      <c r="G10" s="296"/>
      <c r="H10" s="296"/>
      <c r="L10" s="249"/>
      <c r="M10" s="214" t="s">
        <v>39</v>
      </c>
      <c r="N10" s="223"/>
      <c r="O10" s="4336" t="e">
        <f>IF(IstPub_ch="",IF(IstPub="","",IstPub),IstPub_ch)</f>
        <v>#NAME?</v>
      </c>
      <c r="P10" s="4337"/>
      <c r="Q10" s="4337"/>
      <c r="R10" s="4337"/>
      <c r="S10" s="4337"/>
      <c r="T10" s="4338"/>
      <c r="U10" s="1157"/>
      <c r="Y10" s="296"/>
      <c r="Z10" s="296"/>
      <c r="AA10" s="296"/>
      <c r="AB10" s="296"/>
      <c r="AC10" s="296"/>
    </row>
    <row r="11" spans="1:29" s="1907" customFormat="1" ht="18.75" hidden="1" customHeight="1">
      <c r="A11" s="1161"/>
      <c r="B11" s="1161"/>
      <c r="C11" s="1161"/>
      <c r="D11" s="1161"/>
      <c r="E11" s="1161"/>
      <c r="F11" s="1161"/>
      <c r="G11" s="1161"/>
      <c r="H11" s="1161"/>
      <c r="L11" s="249"/>
      <c r="M11" s="246"/>
      <c r="O11" s="1162"/>
      <c r="P11" s="1162"/>
      <c r="Q11" s="296" t="s">
        <v>2150</v>
      </c>
      <c r="R11" s="296" t="s">
        <v>2151</v>
      </c>
      <c r="S11" s="1162"/>
      <c r="T11" s="1162"/>
      <c r="U11" s="1157"/>
      <c r="Y11" s="1161"/>
      <c r="Z11" s="1161"/>
      <c r="AA11" s="1161"/>
      <c r="AB11" s="1161"/>
      <c r="AC11" s="1161"/>
    </row>
    <row r="12" spans="1:29" s="2564" customFormat="1" ht="11.25" hidden="1" customHeight="1">
      <c r="A12" s="296"/>
      <c r="B12" s="296"/>
      <c r="C12" s="296"/>
      <c r="D12" s="296"/>
      <c r="E12" s="296"/>
      <c r="F12" s="296"/>
      <c r="G12" s="296"/>
      <c r="H12" s="296"/>
      <c r="L12" s="4329"/>
      <c r="M12" s="4329"/>
      <c r="N12" s="1124"/>
      <c r="O12" s="253"/>
      <c r="P12" s="253"/>
      <c r="Q12" s="253"/>
      <c r="R12" s="253"/>
      <c r="S12" s="253"/>
      <c r="T12" s="253"/>
      <c r="U12" s="1160"/>
      <c r="V12" s="198" t="s">
        <v>416</v>
      </c>
      <c r="Y12" s="296"/>
      <c r="Z12" s="296"/>
      <c r="AA12" s="296"/>
      <c r="AB12" s="296"/>
      <c r="AC12" s="296"/>
    </row>
    <row r="13" spans="1:29" ht="14.25" customHeight="1">
      <c r="J13" s="305"/>
      <c r="K13" s="305"/>
      <c r="L13" s="290"/>
      <c r="M13" s="290"/>
      <c r="N13" s="290"/>
      <c r="O13" s="1163"/>
      <c r="P13" s="1163"/>
      <c r="Q13" s="4339"/>
      <c r="R13" s="4339"/>
      <c r="S13" s="4339"/>
      <c r="T13" s="4339"/>
      <c r="U13" s="4339"/>
      <c r="V13" s="4339"/>
    </row>
    <row r="14" spans="1:29" ht="14.25" customHeight="1">
      <c r="J14" s="305"/>
      <c r="K14" s="305"/>
      <c r="L14" s="3946" t="s">
        <v>290</v>
      </c>
      <c r="M14" s="3946"/>
      <c r="N14" s="3946"/>
      <c r="O14" s="3946"/>
      <c r="P14" s="3946"/>
      <c r="Q14" s="3946"/>
      <c r="R14" s="3946"/>
      <c r="S14" s="3946"/>
      <c r="T14" s="3946"/>
      <c r="U14" s="3946"/>
      <c r="V14" s="3946"/>
      <c r="W14" s="3946"/>
      <c r="X14" s="3946" t="s">
        <v>291</v>
      </c>
    </row>
    <row r="15" spans="1:29" ht="14.25" customHeight="1">
      <c r="J15" s="305"/>
      <c r="K15" s="305"/>
      <c r="L15" s="4033" t="s">
        <v>86</v>
      </c>
      <c r="M15" s="4033" t="s">
        <v>2152</v>
      </c>
      <c r="N15" s="1123"/>
      <c r="O15" s="4033" t="s">
        <v>2153</v>
      </c>
      <c r="P15" s="4032" t="s">
        <v>2154</v>
      </c>
      <c r="Q15" s="4032" t="s">
        <v>2134</v>
      </c>
      <c r="R15" s="4032"/>
      <c r="S15" s="4032"/>
      <c r="T15" s="4032"/>
      <c r="U15" s="4032"/>
      <c r="V15" s="4033" t="s">
        <v>420</v>
      </c>
      <c r="W15" s="4340" t="s">
        <v>1043</v>
      </c>
      <c r="X15" s="3946"/>
    </row>
    <row r="16" spans="1:29" ht="25.5" customHeight="1">
      <c r="J16" s="305"/>
      <c r="K16" s="305"/>
      <c r="L16" s="4033"/>
      <c r="M16" s="4033"/>
      <c r="N16" s="1123"/>
      <c r="O16" s="4033"/>
      <c r="P16" s="4032"/>
      <c r="Q16" s="4032" t="s">
        <v>2155</v>
      </c>
      <c r="R16" s="4032"/>
      <c r="S16" s="3946" t="s">
        <v>440</v>
      </c>
      <c r="T16" s="3946"/>
      <c r="U16" s="3946"/>
      <c r="V16" s="4033"/>
      <c r="W16" s="4340"/>
      <c r="X16" s="3946"/>
    </row>
    <row r="17" spans="1:29" ht="14.25" customHeight="1">
      <c r="J17" s="305"/>
      <c r="K17" s="305"/>
      <c r="L17" s="4033"/>
      <c r="M17" s="4033"/>
      <c r="N17" s="1123"/>
      <c r="O17" s="4033"/>
      <c r="P17" s="4032"/>
      <c r="Q17" s="1123" t="s">
        <v>469</v>
      </c>
      <c r="R17" s="1123" t="s">
        <v>470</v>
      </c>
      <c r="S17" s="1127" t="s">
        <v>436</v>
      </c>
      <c r="T17" s="3974" t="s">
        <v>437</v>
      </c>
      <c r="U17" s="3974"/>
      <c r="V17" s="4033"/>
      <c r="W17" s="4340"/>
      <c r="X17" s="3946"/>
    </row>
    <row r="18" spans="1:29" ht="14.25" customHeight="1">
      <c r="J18" s="305"/>
      <c r="K18" s="210">
        <v>1</v>
      </c>
      <c r="L18" s="380" t="s">
        <v>107</v>
      </c>
      <c r="M18" s="380" t="s">
        <v>108</v>
      </c>
      <c r="N18" s="1159" t="s">
        <v>108</v>
      </c>
      <c r="O18" s="1125">
        <f t="shared" ref="O18:T18" ca="1" si="0">OFFSET(O18,0,-1)+1</f>
        <v>3</v>
      </c>
      <c r="P18" s="1125">
        <f t="shared" ca="1" si="0"/>
        <v>4</v>
      </c>
      <c r="Q18" s="1125">
        <f t="shared" ca="1" si="0"/>
        <v>5</v>
      </c>
      <c r="R18" s="1125">
        <f t="shared" ca="1" si="0"/>
        <v>6</v>
      </c>
      <c r="S18" s="1125">
        <f t="shared" ca="1" si="0"/>
        <v>7</v>
      </c>
      <c r="T18" s="4341">
        <f t="shared" ca="1" si="0"/>
        <v>8</v>
      </c>
      <c r="U18" s="4341"/>
      <c r="V18" s="1125">
        <f ca="1">OFFSET(V18,0,-2)+1</f>
        <v>9</v>
      </c>
      <c r="X18" s="1125">
        <f ca="1">OFFSET(X18,0,-2)+1</f>
        <v>10</v>
      </c>
    </row>
    <row r="19" spans="1:29" ht="22.5" customHeight="1">
      <c r="A19" s="4073">
        <v>1</v>
      </c>
      <c r="B19" s="444"/>
      <c r="C19" s="444"/>
      <c r="D19" s="444"/>
      <c r="E19" s="444"/>
      <c r="F19" s="444"/>
      <c r="G19" s="312"/>
      <c r="H19" s="312"/>
      <c r="I19" s="286"/>
      <c r="J19" s="305"/>
      <c r="K19" s="305"/>
      <c r="L19" s="1132" t="e">
        <f ca="1">MERGEVALUE(A19)</f>
        <v>#NAME?</v>
      </c>
      <c r="M19" s="217" t="s">
        <v>121</v>
      </c>
      <c r="N19" s="236"/>
      <c r="O19" s="4253"/>
      <c r="P19" s="4253"/>
      <c r="Q19" s="4253"/>
      <c r="R19" s="4253"/>
      <c r="S19" s="4253"/>
      <c r="T19" s="4253"/>
      <c r="U19" s="4253"/>
      <c r="V19" s="4253"/>
      <c r="W19" s="4253"/>
      <c r="X19" s="271" t="s">
        <v>388</v>
      </c>
    </row>
    <row r="20" spans="1:29" ht="22.5" customHeight="1">
      <c r="A20" s="4073"/>
      <c r="B20" s="4073">
        <v>1</v>
      </c>
      <c r="C20" s="444"/>
      <c r="D20" s="444"/>
      <c r="E20" s="444"/>
      <c r="F20" s="444"/>
      <c r="G20" s="314"/>
      <c r="H20" s="1126"/>
      <c r="I20" s="288"/>
      <c r="J20" s="1133"/>
      <c r="K20" s="1055"/>
      <c r="L20" s="1132" t="e">
        <f ca="1">MERGEVALUE(A20)&amp;"."&amp;MERGEVALUE(B20)</f>
        <v>#NAME?</v>
      </c>
      <c r="M20" s="229" t="s">
        <v>389</v>
      </c>
      <c r="N20" s="236"/>
      <c r="O20" s="4253"/>
      <c r="P20" s="4253"/>
      <c r="Q20" s="4253"/>
      <c r="R20" s="4253"/>
      <c r="S20" s="4253"/>
      <c r="T20" s="4253"/>
      <c r="U20" s="4253"/>
      <c r="V20" s="4253"/>
      <c r="W20" s="4253"/>
      <c r="X20" s="271" t="s">
        <v>390</v>
      </c>
    </row>
    <row r="21" spans="1:29" ht="22.5" customHeight="1">
      <c r="A21" s="4073"/>
      <c r="B21" s="4073"/>
      <c r="C21" s="4073">
        <v>1</v>
      </c>
      <c r="D21" s="444"/>
      <c r="E21" s="444"/>
      <c r="F21" s="444"/>
      <c r="G21" s="314"/>
      <c r="H21" s="1126"/>
      <c r="I21" s="289"/>
      <c r="J21" s="1133"/>
      <c r="K21" s="1055"/>
      <c r="L21" s="1132" t="e">
        <f ca="1">MERGEVALUE(A21)&amp;"."&amp;MERGEVALUE(B21)&amp;"."&amp;MERGEVALUE(C21)</f>
        <v>#NAME?</v>
      </c>
      <c r="M21" s="230" t="s">
        <v>391</v>
      </c>
      <c r="N21" s="236"/>
      <c r="O21" s="4253"/>
      <c r="P21" s="4253"/>
      <c r="Q21" s="4253"/>
      <c r="R21" s="4253"/>
      <c r="S21" s="4253"/>
      <c r="T21" s="4253"/>
      <c r="U21" s="4253"/>
      <c r="V21" s="4253"/>
      <c r="W21" s="4253"/>
      <c r="X21" s="271" t="s">
        <v>392</v>
      </c>
    </row>
    <row r="22" spans="1:29" ht="14.25" customHeight="1">
      <c r="A22" s="4073"/>
      <c r="B22" s="4073"/>
      <c r="C22" s="4073"/>
      <c r="D22" s="4073">
        <v>1</v>
      </c>
      <c r="E22" s="444"/>
      <c r="F22" s="444"/>
      <c r="G22" s="314"/>
      <c r="H22" s="1126"/>
      <c r="I22" s="289"/>
      <c r="J22" s="287"/>
      <c r="K22" s="1055"/>
      <c r="L22" s="1132" t="e">
        <f ca="1">MERGEVALUE(A22)&amp;"."&amp;MERGEVALUE(B22)&amp;"."&amp;MERGEVALUE(C22)&amp;"."&amp;MERGEVALUE(D22)</f>
        <v>#NAME?</v>
      </c>
      <c r="M22" s="231" t="s">
        <v>393</v>
      </c>
      <c r="N22" s="236"/>
      <c r="O22" s="4253"/>
      <c r="P22" s="4253"/>
      <c r="Q22" s="4253"/>
      <c r="R22" s="4253"/>
      <c r="S22" s="4253"/>
      <c r="T22" s="4253"/>
      <c r="U22" s="4253"/>
      <c r="V22" s="4253"/>
      <c r="W22" s="4253"/>
      <c r="X22" s="264" t="s">
        <v>2156</v>
      </c>
    </row>
    <row r="23" spans="1:29" ht="22.5" customHeight="1">
      <c r="A23" s="4073"/>
      <c r="B23" s="4073"/>
      <c r="C23" s="4073"/>
      <c r="D23" s="4073"/>
      <c r="E23" s="444">
        <v>1</v>
      </c>
      <c r="F23" s="444"/>
      <c r="G23" s="314"/>
      <c r="H23" s="1126"/>
      <c r="I23" s="289"/>
      <c r="J23" s="287"/>
      <c r="K23" s="382"/>
      <c r="L23" s="1132" t="e">
        <f ca="1">MERGEVALUE(A23)&amp;"."&amp;MERGEVALUE(B23)&amp;"."&amp;MERGEVALUE(C23)&amp;"."&amp;MERGEVALUE(D23)&amp;"."&amp;MERGEVALUE(E23)</f>
        <v>#NAME?</v>
      </c>
      <c r="M23" s="307"/>
      <c r="N23" s="1129"/>
      <c r="O23" s="309"/>
      <c r="P23" s="310"/>
      <c r="Q23" s="224"/>
      <c r="R23" s="224"/>
      <c r="S23" s="1644"/>
      <c r="T23" s="1122" t="s">
        <v>55</v>
      </c>
      <c r="U23" s="1165"/>
      <c r="V23" s="1122" t="s">
        <v>55</v>
      </c>
      <c r="W23" s="1166"/>
      <c r="X23" s="3990" t="s">
        <v>2157</v>
      </c>
      <c r="Y23" s="437" t="e">
        <f ca="1">STRCHECKDATETWO(N23:W23)</f>
        <v>#NAME?</v>
      </c>
    </row>
    <row r="24" spans="1:29" ht="14.25" hidden="1" customHeight="1">
      <c r="A24" s="4073"/>
      <c r="B24" s="4073"/>
      <c r="C24" s="4073"/>
      <c r="D24" s="4073"/>
      <c r="E24" s="444"/>
      <c r="F24" s="444"/>
      <c r="G24" s="314"/>
      <c r="H24" s="1126"/>
      <c r="I24" s="289"/>
      <c r="J24" s="287"/>
      <c r="K24" s="382"/>
      <c r="L24" s="1131"/>
      <c r="M24" s="232"/>
      <c r="N24" s="219"/>
      <c r="O24" s="219"/>
      <c r="P24" s="219"/>
      <c r="Q24" s="219"/>
      <c r="R24" s="255" t="str">
        <f>S23&amp;"-"&amp;U23</f>
        <v>-</v>
      </c>
      <c r="S24" s="240"/>
      <c r="T24" s="237"/>
      <c r="U24" s="240"/>
      <c r="V24" s="219"/>
      <c r="W24" s="1167"/>
      <c r="X24" s="3991"/>
    </row>
    <row r="25" spans="1:29" ht="14.25" customHeight="1">
      <c r="A25" s="4073"/>
      <c r="B25" s="4073"/>
      <c r="C25" s="4073"/>
      <c r="D25" s="4073"/>
      <c r="E25" s="444"/>
      <c r="F25" s="444"/>
      <c r="G25" s="314"/>
      <c r="H25" s="1126"/>
      <c r="I25" s="289"/>
      <c r="J25" s="287"/>
      <c r="K25" s="382"/>
      <c r="L25" s="228"/>
      <c r="M25" s="292" t="s">
        <v>458</v>
      </c>
      <c r="N25" s="291"/>
      <c r="O25" s="248"/>
      <c r="P25" s="248"/>
      <c r="Q25" s="248"/>
      <c r="R25" s="248"/>
      <c r="S25" s="252"/>
      <c r="T25" s="295"/>
      <c r="U25" s="294"/>
      <c r="V25" s="291"/>
      <c r="W25" s="291"/>
      <c r="X25" s="3992"/>
    </row>
    <row r="26" spans="1:29" s="3868" customFormat="1" ht="14.25" customHeight="1">
      <c r="A26" s="4073"/>
      <c r="B26" s="4073"/>
      <c r="C26" s="4073"/>
      <c r="D26" s="313"/>
      <c r="E26" s="313"/>
      <c r="F26" s="313"/>
      <c r="G26" s="314"/>
      <c r="H26" s="313"/>
      <c r="I26" s="289"/>
      <c r="J26" s="304"/>
      <c r="K26" s="306"/>
      <c r="L26" s="228"/>
      <c r="M26" s="300" t="s">
        <v>569</v>
      </c>
      <c r="N26" s="291"/>
      <c r="O26" s="248"/>
      <c r="P26" s="248"/>
      <c r="Q26" s="248"/>
      <c r="R26" s="248"/>
      <c r="S26" s="252"/>
      <c r="T26" s="295"/>
      <c r="U26" s="294"/>
      <c r="V26" s="291"/>
      <c r="W26" s="295"/>
      <c r="X26" s="1168"/>
      <c r="Y26" s="311"/>
      <c r="Z26" s="311"/>
      <c r="AA26" s="311"/>
      <c r="AB26" s="311"/>
      <c r="AC26" s="311"/>
    </row>
    <row r="27" spans="1:29" s="3868" customFormat="1" ht="14.25" customHeight="1">
      <c r="A27" s="4073"/>
      <c r="B27" s="4073"/>
      <c r="C27" s="313"/>
      <c r="D27" s="313"/>
      <c r="E27" s="313"/>
      <c r="F27" s="313"/>
      <c r="G27" s="314"/>
      <c r="H27" s="313"/>
      <c r="I27" s="285"/>
      <c r="J27" s="304"/>
      <c r="K27" s="306"/>
      <c r="L27" s="228"/>
      <c r="M27" s="291" t="s">
        <v>2135</v>
      </c>
      <c r="N27" s="291"/>
      <c r="O27" s="248"/>
      <c r="P27" s="248"/>
      <c r="Q27" s="248"/>
      <c r="R27" s="248"/>
      <c r="S27" s="252"/>
      <c r="T27" s="295"/>
      <c r="U27" s="294"/>
      <c r="V27" s="291"/>
      <c r="W27" s="295"/>
      <c r="X27" s="250"/>
      <c r="Y27" s="311"/>
      <c r="Z27" s="311"/>
      <c r="AA27" s="311"/>
      <c r="AB27" s="311"/>
      <c r="AC27" s="311"/>
    </row>
    <row r="28" spans="1:29" s="3868" customFormat="1" ht="14.25" customHeight="1">
      <c r="A28" s="4073"/>
      <c r="B28" s="313"/>
      <c r="C28" s="313"/>
      <c r="D28" s="313"/>
      <c r="E28" s="313"/>
      <c r="F28" s="313"/>
      <c r="G28" s="314"/>
      <c r="H28" s="313"/>
      <c r="I28" s="285"/>
      <c r="J28" s="304"/>
      <c r="K28" s="306"/>
      <c r="L28" s="228"/>
      <c r="M28" s="349" t="s">
        <v>102</v>
      </c>
      <c r="N28" s="291"/>
      <c r="O28" s="248"/>
      <c r="P28" s="248"/>
      <c r="Q28" s="248"/>
      <c r="R28" s="248"/>
      <c r="S28" s="252"/>
      <c r="T28" s="295"/>
      <c r="U28" s="294"/>
      <c r="V28" s="291"/>
      <c r="W28" s="295"/>
      <c r="X28" s="250"/>
      <c r="Y28" s="311"/>
      <c r="Z28" s="311"/>
      <c r="AA28" s="311"/>
      <c r="AB28" s="311"/>
      <c r="AC28" s="311"/>
    </row>
    <row r="29" spans="1:29" s="3868" customFormat="1" ht="14.25" customHeight="1">
      <c r="G29" s="293"/>
      <c r="H29" s="306"/>
      <c r="I29" s="303"/>
      <c r="J29" s="304"/>
      <c r="L29" s="228"/>
      <c r="M29" s="350" t="s">
        <v>169</v>
      </c>
      <c r="N29" s="291"/>
      <c r="O29" s="248"/>
      <c r="P29" s="248"/>
      <c r="Q29" s="248"/>
      <c r="R29" s="248"/>
      <c r="S29" s="252"/>
      <c r="T29" s="295"/>
      <c r="U29" s="294"/>
      <c r="V29" s="291"/>
      <c r="W29" s="295"/>
      <c r="X29" s="250"/>
      <c r="Y29" s="311"/>
      <c r="Z29" s="311"/>
      <c r="AA29" s="311"/>
      <c r="AB29" s="311"/>
      <c r="AC29" s="311"/>
    </row>
    <row r="31" spans="1:29" ht="14.25" customHeight="1">
      <c r="L31" s="2">
        <v>1</v>
      </c>
      <c r="M31" s="4094" t="s">
        <v>2158</v>
      </c>
      <c r="N31" s="4094"/>
      <c r="O31" s="4094"/>
      <c r="P31" s="4094"/>
      <c r="Q31" s="4094"/>
      <c r="R31" s="4094"/>
      <c r="S31" s="4094"/>
      <c r="T31" s="4094"/>
      <c r="U31" s="4094"/>
      <c r="V31" s="4094"/>
      <c r="W31" s="4094"/>
      <c r="X31" s="4094"/>
      <c r="Y31" s="1169"/>
      <c r="Z31" s="297"/>
      <c r="AA31" s="297"/>
      <c r="AB31" s="297"/>
      <c r="AC31" s="297"/>
    </row>
    <row r="32" spans="1:29" ht="14.25" customHeight="1">
      <c r="M32" s="1170"/>
      <c r="N32" s="1170"/>
      <c r="O32" s="1170"/>
      <c r="P32" s="1170"/>
      <c r="Q32" s="1170"/>
      <c r="R32" s="1170"/>
      <c r="S32" s="1170"/>
      <c r="T32" s="1170"/>
      <c r="U32" s="1170"/>
      <c r="V32" s="1170"/>
      <c r="W32" s="1170"/>
      <c r="X32" s="1170"/>
      <c r="Y32" s="436"/>
      <c r="Z32" s="436"/>
      <c r="AA32" s="436"/>
      <c r="AB32" s="436"/>
      <c r="AC32" s="436"/>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0" t="s">
        <v>2159</v>
      </c>
      <c r="B1" s="681" t="s">
        <v>2160</v>
      </c>
      <c r="C1" s="4342" t="s">
        <v>2161</v>
      </c>
      <c r="D1" s="4343"/>
      <c r="E1" s="753" t="s">
        <v>2162</v>
      </c>
    </row>
    <row r="2" spans="1:5" ht="11.25" customHeight="1">
      <c r="A2" s="674"/>
      <c r="B2" s="682" t="s">
        <v>22</v>
      </c>
      <c r="C2" s="670"/>
      <c r="D2" s="681"/>
      <c r="E2" s="753"/>
    </row>
    <row r="3" spans="1:5" ht="11.25" customHeight="1">
      <c r="A3" s="685"/>
      <c r="B3" s="683" t="s">
        <v>29</v>
      </c>
      <c r="C3" s="670"/>
      <c r="D3" s="681"/>
      <c r="E3" s="753"/>
    </row>
    <row r="4" spans="1:5" ht="11.25" customHeight="1">
      <c r="A4" s="686"/>
      <c r="B4" s="683" t="s">
        <v>1656</v>
      </c>
      <c r="C4" s="670"/>
      <c r="D4" s="681"/>
      <c r="E4" s="753"/>
    </row>
    <row r="5" spans="1:5" ht="11.25" customHeight="1">
      <c r="A5" s="698"/>
      <c r="B5" s="683" t="s">
        <v>1650</v>
      </c>
      <c r="C5" s="673" t="s">
        <v>1898</v>
      </c>
      <c r="D5" s="793" t="s">
        <v>2163</v>
      </c>
      <c r="E5" s="753"/>
    </row>
    <row r="6" spans="1:5" s="3868" customFormat="1" ht="11.25" customHeight="1">
      <c r="A6" s="684"/>
      <c r="B6" s="683" t="s">
        <v>1660</v>
      </c>
      <c r="C6" s="670"/>
      <c r="D6" s="681"/>
      <c r="E6" s="753"/>
    </row>
    <row r="7" spans="1:5" ht="11.25" customHeight="1">
      <c r="A7" s="672"/>
      <c r="B7" s="683" t="s">
        <v>1667</v>
      </c>
      <c r="C7" s="670"/>
      <c r="D7" s="681"/>
      <c r="E7" s="753"/>
    </row>
    <row r="8" spans="1:5" ht="11.25" customHeight="1">
      <c r="A8" s="673"/>
      <c r="B8" s="683" t="s">
        <v>1663</v>
      </c>
      <c r="C8" s="670"/>
      <c r="D8" s="681"/>
      <c r="E8" s="753"/>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78"/>
  <sheetViews>
    <sheetView showGridLines="0" workbookViewId="0"/>
  </sheetViews>
  <sheetFormatPr defaultColWidth="9.140625" defaultRowHeight="11.25" customHeight="1"/>
  <cols>
    <col min="1" max="2" width="9.140625" style="3892"/>
    <col min="3" max="3" width="20.7109375" style="3892" customWidth="1"/>
    <col min="4" max="4" width="25.140625" style="3892" customWidth="1"/>
    <col min="5" max="9" width="9.140625" style="3892"/>
  </cols>
  <sheetData>
    <row r="1" spans="1:9" ht="11.25" customHeight="1">
      <c r="A1" s="5" t="s">
        <v>2164</v>
      </c>
      <c r="B1" s="5" t="s">
        <v>2165</v>
      </c>
      <c r="C1" s="5" t="s">
        <v>2166</v>
      </c>
      <c r="D1" s="5" t="s">
        <v>2167</v>
      </c>
      <c r="E1" s="5" t="s">
        <v>2168</v>
      </c>
      <c r="F1" s="5" t="s">
        <v>2169</v>
      </c>
      <c r="G1" s="5" t="s">
        <v>2170</v>
      </c>
      <c r="H1" s="5" t="s">
        <v>2171</v>
      </c>
      <c r="I1" s="5" t="s">
        <v>2172</v>
      </c>
    </row>
    <row r="2" spans="1:9" ht="11.25" customHeight="1">
      <c r="A2" s="3893" t="s">
        <v>2173</v>
      </c>
      <c r="B2" s="3893" t="s">
        <v>14</v>
      </c>
      <c r="C2" s="3893" t="s">
        <v>2174</v>
      </c>
      <c r="D2" s="3893" t="s">
        <v>2175</v>
      </c>
      <c r="E2" s="3893" t="s">
        <v>2176</v>
      </c>
      <c r="F2" s="3893" t="s">
        <v>49</v>
      </c>
      <c r="G2" s="3893" t="s">
        <v>24</v>
      </c>
      <c r="H2" s="3893" t="s">
        <v>24</v>
      </c>
      <c r="I2" s="3893" t="s">
        <v>705</v>
      </c>
    </row>
    <row r="3" spans="1:9" ht="11.25" customHeight="1">
      <c r="A3" s="3893" t="s">
        <v>2173</v>
      </c>
      <c r="B3" s="3893" t="s">
        <v>14</v>
      </c>
      <c r="C3" s="3893" t="s">
        <v>2177</v>
      </c>
      <c r="D3" s="3893" t="s">
        <v>2178</v>
      </c>
      <c r="E3" s="3893" t="s">
        <v>2179</v>
      </c>
      <c r="F3" s="3893" t="s">
        <v>2180</v>
      </c>
      <c r="G3" s="3893" t="s">
        <v>24</v>
      </c>
      <c r="H3" s="3893" t="s">
        <v>24</v>
      </c>
      <c r="I3" s="3893" t="s">
        <v>705</v>
      </c>
    </row>
    <row r="4" spans="1:9" ht="11.25" customHeight="1">
      <c r="A4" s="3893" t="s">
        <v>2173</v>
      </c>
      <c r="B4" s="3893" t="s">
        <v>14</v>
      </c>
      <c r="C4" s="3893" t="s">
        <v>2181</v>
      </c>
      <c r="D4" s="3893" t="s">
        <v>2182</v>
      </c>
      <c r="E4" s="3893" t="s">
        <v>2183</v>
      </c>
      <c r="F4" s="3893" t="s">
        <v>2184</v>
      </c>
      <c r="G4" s="3893" t="s">
        <v>24</v>
      </c>
      <c r="H4" s="3893" t="s">
        <v>24</v>
      </c>
      <c r="I4" s="3893" t="s">
        <v>705</v>
      </c>
    </row>
    <row r="5" spans="1:9" ht="11.25" customHeight="1">
      <c r="A5" s="3893" t="s">
        <v>2173</v>
      </c>
      <c r="B5" s="3893" t="s">
        <v>14</v>
      </c>
      <c r="C5" s="3893" t="s">
        <v>2185</v>
      </c>
      <c r="D5" s="3893" t="s">
        <v>2186</v>
      </c>
      <c r="E5" s="3893" t="s">
        <v>2187</v>
      </c>
      <c r="F5" s="3893" t="s">
        <v>2188</v>
      </c>
      <c r="G5" s="3893" t="s">
        <v>24</v>
      </c>
      <c r="H5" s="3893" t="s">
        <v>24</v>
      </c>
      <c r="I5" s="3893" t="s">
        <v>705</v>
      </c>
    </row>
    <row r="6" spans="1:9" ht="11.25" customHeight="1">
      <c r="A6" s="3893" t="s">
        <v>2173</v>
      </c>
      <c r="B6" s="3893" t="s">
        <v>14</v>
      </c>
      <c r="C6" s="3893" t="s">
        <v>2189</v>
      </c>
      <c r="D6" s="3893" t="s">
        <v>2190</v>
      </c>
      <c r="E6" s="3893" t="s">
        <v>2191</v>
      </c>
      <c r="F6" s="3893" t="s">
        <v>2192</v>
      </c>
      <c r="G6" s="3893" t="s">
        <v>24</v>
      </c>
      <c r="H6" s="3893" t="s">
        <v>24</v>
      </c>
      <c r="I6" s="3893" t="s">
        <v>705</v>
      </c>
    </row>
    <row r="7" spans="1:9" ht="11.25" customHeight="1">
      <c r="A7" s="3893" t="s">
        <v>2173</v>
      </c>
      <c r="B7" s="3893" t="s">
        <v>14</v>
      </c>
      <c r="C7" s="3893" t="s">
        <v>2193</v>
      </c>
      <c r="D7" s="3893" t="s">
        <v>2194</v>
      </c>
      <c r="E7" s="3893" t="s">
        <v>2195</v>
      </c>
      <c r="F7" s="3893" t="s">
        <v>49</v>
      </c>
      <c r="G7" s="3893" t="s">
        <v>24</v>
      </c>
      <c r="H7" s="3893" t="s">
        <v>24</v>
      </c>
      <c r="I7" s="3893" t="s">
        <v>705</v>
      </c>
    </row>
    <row r="8" spans="1:9" ht="11.25" customHeight="1">
      <c r="A8" s="3893" t="s">
        <v>2173</v>
      </c>
      <c r="B8" s="3893" t="s">
        <v>14</v>
      </c>
      <c r="C8" s="3893" t="s">
        <v>2196</v>
      </c>
      <c r="D8" s="3893" t="s">
        <v>2197</v>
      </c>
      <c r="E8" s="3893" t="s">
        <v>2198</v>
      </c>
      <c r="F8" s="3893" t="s">
        <v>2199</v>
      </c>
      <c r="G8" s="3893" t="s">
        <v>24</v>
      </c>
      <c r="H8" s="3893" t="s">
        <v>24</v>
      </c>
      <c r="I8" s="3893" t="s">
        <v>705</v>
      </c>
    </row>
    <row r="9" spans="1:9" ht="11.25" customHeight="1">
      <c r="A9" s="3893" t="s">
        <v>2173</v>
      </c>
      <c r="B9" s="3893" t="s">
        <v>14</v>
      </c>
      <c r="C9" s="3893" t="s">
        <v>2200</v>
      </c>
      <c r="D9" s="3893" t="s">
        <v>2201</v>
      </c>
      <c r="E9" s="3893" t="s">
        <v>2202</v>
      </c>
      <c r="F9" s="3893" t="s">
        <v>2203</v>
      </c>
      <c r="G9" s="3893" t="s">
        <v>24</v>
      </c>
      <c r="H9" s="3893" t="s">
        <v>24</v>
      </c>
      <c r="I9" s="3893" t="s">
        <v>705</v>
      </c>
    </row>
    <row r="10" spans="1:9" ht="11.25" customHeight="1">
      <c r="A10" s="3893" t="s">
        <v>2173</v>
      </c>
      <c r="B10" s="3893" t="s">
        <v>14</v>
      </c>
      <c r="C10" s="3893" t="s">
        <v>2204</v>
      </c>
      <c r="D10" s="3893" t="s">
        <v>2205</v>
      </c>
      <c r="E10" s="3893" t="s">
        <v>2206</v>
      </c>
      <c r="F10" s="3893" t="s">
        <v>49</v>
      </c>
      <c r="G10" s="3893" t="s">
        <v>24</v>
      </c>
      <c r="H10" s="3893" t="s">
        <v>24</v>
      </c>
      <c r="I10" s="3893" t="s">
        <v>705</v>
      </c>
    </row>
    <row r="11" spans="1:9" ht="11.25" customHeight="1">
      <c r="A11" s="3893" t="s">
        <v>2173</v>
      </c>
      <c r="B11" s="3893" t="s">
        <v>14</v>
      </c>
      <c r="C11" s="3893" t="s">
        <v>2207</v>
      </c>
      <c r="D11" s="3893" t="s">
        <v>2208</v>
      </c>
      <c r="E11" s="3893" t="s">
        <v>2209</v>
      </c>
      <c r="F11" s="3893" t="s">
        <v>2210</v>
      </c>
      <c r="G11" s="3893" t="s">
        <v>24</v>
      </c>
      <c r="H11" s="3893" t="s">
        <v>24</v>
      </c>
      <c r="I11" s="3893" t="s">
        <v>705</v>
      </c>
    </row>
    <row r="12" spans="1:9" ht="11.25" customHeight="1">
      <c r="A12" s="3893" t="s">
        <v>2173</v>
      </c>
      <c r="B12" s="3893" t="s">
        <v>14</v>
      </c>
      <c r="C12" s="3893" t="s">
        <v>2211</v>
      </c>
      <c r="D12" s="3893" t="s">
        <v>2212</v>
      </c>
      <c r="E12" s="3893" t="s">
        <v>2213</v>
      </c>
      <c r="F12" s="3893" t="s">
        <v>2214</v>
      </c>
      <c r="G12" s="3893" t="s">
        <v>24</v>
      </c>
      <c r="H12" s="3893" t="s">
        <v>24</v>
      </c>
      <c r="I12" s="3893" t="s">
        <v>705</v>
      </c>
    </row>
    <row r="13" spans="1:9" ht="11.25" customHeight="1">
      <c r="A13" s="3893" t="s">
        <v>2173</v>
      </c>
      <c r="B13" s="3893" t="s">
        <v>14</v>
      </c>
      <c r="C13" s="3893" t="s">
        <v>2215</v>
      </c>
      <c r="D13" s="3893" t="s">
        <v>2216</v>
      </c>
      <c r="E13" s="3893" t="s">
        <v>2217</v>
      </c>
      <c r="F13" s="3893" t="s">
        <v>2214</v>
      </c>
      <c r="G13" s="3893" t="s">
        <v>24</v>
      </c>
      <c r="H13" s="3893" t="s">
        <v>24</v>
      </c>
      <c r="I13" s="3893" t="s">
        <v>705</v>
      </c>
    </row>
    <row r="14" spans="1:9" ht="11.25" customHeight="1">
      <c r="A14" s="3893" t="s">
        <v>2173</v>
      </c>
      <c r="B14" s="3893" t="s">
        <v>14</v>
      </c>
      <c r="C14" s="3893" t="s">
        <v>2218</v>
      </c>
      <c r="D14" s="3893" t="s">
        <v>2219</v>
      </c>
      <c r="E14" s="3893" t="s">
        <v>2220</v>
      </c>
      <c r="F14" s="3893" t="s">
        <v>2221</v>
      </c>
      <c r="G14" s="3893" t="s">
        <v>24</v>
      </c>
      <c r="H14" s="3893" t="s">
        <v>24</v>
      </c>
      <c r="I14" s="3893" t="s">
        <v>705</v>
      </c>
    </row>
    <row r="15" spans="1:9" ht="11.25" customHeight="1">
      <c r="A15" s="3893" t="s">
        <v>2173</v>
      </c>
      <c r="B15" s="3893" t="s">
        <v>14</v>
      </c>
      <c r="C15" s="3893" t="s">
        <v>2222</v>
      </c>
      <c r="D15" s="3893" t="s">
        <v>2223</v>
      </c>
      <c r="E15" s="3893" t="s">
        <v>2224</v>
      </c>
      <c r="F15" s="3893" t="s">
        <v>2188</v>
      </c>
      <c r="G15" s="3893" t="s">
        <v>24</v>
      </c>
      <c r="H15" s="3893" t="s">
        <v>24</v>
      </c>
      <c r="I15" s="3893" t="s">
        <v>705</v>
      </c>
    </row>
    <row r="16" spans="1:9" ht="11.25" customHeight="1">
      <c r="A16" s="3893" t="s">
        <v>2173</v>
      </c>
      <c r="B16" s="3893" t="s">
        <v>14</v>
      </c>
      <c r="C16" s="3893" t="s">
        <v>2225</v>
      </c>
      <c r="D16" s="3893" t="s">
        <v>2223</v>
      </c>
      <c r="E16" s="3893" t="s">
        <v>2226</v>
      </c>
      <c r="F16" s="3893" t="s">
        <v>2227</v>
      </c>
      <c r="G16" s="3893" t="s">
        <v>24</v>
      </c>
      <c r="H16" s="3893" t="s">
        <v>24</v>
      </c>
      <c r="I16" s="3893" t="s">
        <v>705</v>
      </c>
    </row>
    <row r="17" spans="1:9" ht="11.25" customHeight="1">
      <c r="A17" s="3893" t="s">
        <v>2173</v>
      </c>
      <c r="B17" s="3893" t="s">
        <v>14</v>
      </c>
      <c r="C17" s="3893" t="s">
        <v>2228</v>
      </c>
      <c r="D17" s="3893" t="s">
        <v>2229</v>
      </c>
      <c r="E17" s="3893" t="s">
        <v>2230</v>
      </c>
      <c r="F17" s="3893" t="s">
        <v>2231</v>
      </c>
      <c r="G17" s="3893" t="s">
        <v>24</v>
      </c>
      <c r="H17" s="3893" t="s">
        <v>24</v>
      </c>
      <c r="I17" s="3893" t="s">
        <v>705</v>
      </c>
    </row>
    <row r="18" spans="1:9" ht="11.25" customHeight="1">
      <c r="A18" s="3893" t="s">
        <v>2173</v>
      </c>
      <c r="B18" s="3893" t="s">
        <v>14</v>
      </c>
      <c r="C18" s="3893" t="s">
        <v>2232</v>
      </c>
      <c r="D18" s="3893" t="s">
        <v>2233</v>
      </c>
      <c r="E18" s="3893" t="s">
        <v>2234</v>
      </c>
      <c r="F18" s="3893" t="s">
        <v>2210</v>
      </c>
      <c r="G18" s="3893" t="s">
        <v>24</v>
      </c>
      <c r="H18" s="3893" t="s">
        <v>24</v>
      </c>
      <c r="I18" s="3893" t="s">
        <v>705</v>
      </c>
    </row>
    <row r="19" spans="1:9" ht="11.25" customHeight="1">
      <c r="A19" s="3893" t="s">
        <v>2173</v>
      </c>
      <c r="B19" s="3893" t="s">
        <v>14</v>
      </c>
      <c r="C19" s="3893" t="s">
        <v>2235</v>
      </c>
      <c r="D19" s="3893" t="s">
        <v>2236</v>
      </c>
      <c r="E19" s="3893" t="s">
        <v>2237</v>
      </c>
      <c r="F19" s="3893" t="s">
        <v>49</v>
      </c>
      <c r="G19" s="3893" t="s">
        <v>24</v>
      </c>
      <c r="H19" s="3893" t="s">
        <v>24</v>
      </c>
      <c r="I19" s="3893" t="s">
        <v>705</v>
      </c>
    </row>
    <row r="20" spans="1:9" ht="11.25" customHeight="1">
      <c r="A20" s="3893" t="s">
        <v>2173</v>
      </c>
      <c r="B20" s="3893" t="s">
        <v>14</v>
      </c>
      <c r="C20" s="3893" t="s">
        <v>2238</v>
      </c>
      <c r="D20" s="3893" t="s">
        <v>2239</v>
      </c>
      <c r="E20" s="3893" t="s">
        <v>2240</v>
      </c>
      <c r="F20" s="3893" t="s">
        <v>2241</v>
      </c>
      <c r="G20" s="3893" t="s">
        <v>2242</v>
      </c>
      <c r="H20" s="3893" t="s">
        <v>24</v>
      </c>
      <c r="I20" s="3893" t="s">
        <v>705</v>
      </c>
    </row>
    <row r="21" spans="1:9" ht="11.25" customHeight="1">
      <c r="A21" s="3893" t="s">
        <v>2173</v>
      </c>
      <c r="B21" s="3893" t="s">
        <v>14</v>
      </c>
      <c r="C21" s="3893" t="s">
        <v>2243</v>
      </c>
      <c r="D21" s="3893" t="s">
        <v>2244</v>
      </c>
      <c r="E21" s="3893" t="s">
        <v>2245</v>
      </c>
      <c r="F21" s="3893" t="s">
        <v>2246</v>
      </c>
      <c r="G21" s="3893" t="s">
        <v>2247</v>
      </c>
      <c r="H21" s="3893" t="s">
        <v>24</v>
      </c>
      <c r="I21" s="3893" t="s">
        <v>705</v>
      </c>
    </row>
    <row r="22" spans="1:9" ht="11.25" customHeight="1">
      <c r="A22" s="3893" t="s">
        <v>2173</v>
      </c>
      <c r="B22" s="3893" t="s">
        <v>14</v>
      </c>
      <c r="C22" s="3893" t="s">
        <v>2248</v>
      </c>
      <c r="D22" s="3893" t="s">
        <v>2249</v>
      </c>
      <c r="E22" s="3893" t="s">
        <v>2250</v>
      </c>
      <c r="F22" s="3893" t="s">
        <v>2192</v>
      </c>
      <c r="G22" s="3893" t="s">
        <v>2251</v>
      </c>
      <c r="H22" s="3893" t="s">
        <v>24</v>
      </c>
      <c r="I22" s="3893" t="s">
        <v>705</v>
      </c>
    </row>
    <row r="23" spans="1:9" ht="11.25" customHeight="1">
      <c r="A23" s="3893" t="s">
        <v>2173</v>
      </c>
      <c r="B23" s="3893" t="s">
        <v>14</v>
      </c>
      <c r="C23" s="3893" t="s">
        <v>2252</v>
      </c>
      <c r="D23" s="3893" t="s">
        <v>2253</v>
      </c>
      <c r="E23" s="3893" t="s">
        <v>2254</v>
      </c>
      <c r="F23" s="3893" t="s">
        <v>2255</v>
      </c>
      <c r="G23" s="3893" t="s">
        <v>2256</v>
      </c>
      <c r="H23" s="3893" t="s">
        <v>24</v>
      </c>
      <c r="I23" s="3893" t="s">
        <v>705</v>
      </c>
    </row>
    <row r="24" spans="1:9" ht="11.25" customHeight="1">
      <c r="A24" s="3893" t="s">
        <v>2173</v>
      </c>
      <c r="B24" s="3893" t="s">
        <v>14</v>
      </c>
      <c r="C24" s="3893" t="s">
        <v>2257</v>
      </c>
      <c r="D24" s="3893" t="s">
        <v>2258</v>
      </c>
      <c r="E24" s="3893" t="s">
        <v>2259</v>
      </c>
      <c r="F24" s="3893" t="s">
        <v>2260</v>
      </c>
      <c r="G24" s="3893" t="s">
        <v>24</v>
      </c>
      <c r="H24" s="3893" t="s">
        <v>24</v>
      </c>
      <c r="I24" s="3893" t="s">
        <v>705</v>
      </c>
    </row>
    <row r="25" spans="1:9" ht="11.25" customHeight="1">
      <c r="A25" s="3893" t="s">
        <v>2173</v>
      </c>
      <c r="B25" s="3893" t="s">
        <v>14</v>
      </c>
      <c r="C25" s="3893" t="s">
        <v>2261</v>
      </c>
      <c r="D25" s="3893" t="s">
        <v>2262</v>
      </c>
      <c r="E25" s="3893" t="s">
        <v>2263</v>
      </c>
      <c r="F25" s="3893" t="s">
        <v>2184</v>
      </c>
      <c r="G25" s="3893" t="s">
        <v>24</v>
      </c>
      <c r="H25" s="3893" t="s">
        <v>24</v>
      </c>
      <c r="I25" s="3893" t="s">
        <v>705</v>
      </c>
    </row>
    <row r="26" spans="1:9" ht="11.25" customHeight="1">
      <c r="A26" s="3893" t="s">
        <v>2173</v>
      </c>
      <c r="B26" s="3893" t="s">
        <v>14</v>
      </c>
      <c r="C26" s="3893" t="s">
        <v>2264</v>
      </c>
      <c r="D26" s="3893" t="s">
        <v>2262</v>
      </c>
      <c r="E26" s="3893" t="s">
        <v>2265</v>
      </c>
      <c r="F26" s="3893" t="s">
        <v>2246</v>
      </c>
      <c r="G26" s="3893" t="s">
        <v>2266</v>
      </c>
      <c r="H26" s="3893" t="s">
        <v>24</v>
      </c>
      <c r="I26" s="3893" t="s">
        <v>705</v>
      </c>
    </row>
    <row r="27" spans="1:9" ht="11.25" customHeight="1">
      <c r="A27" s="3893" t="s">
        <v>2173</v>
      </c>
      <c r="B27" s="3893" t="s">
        <v>14</v>
      </c>
      <c r="C27" s="3893" t="s">
        <v>2267</v>
      </c>
      <c r="D27" s="3893" t="s">
        <v>2268</v>
      </c>
      <c r="E27" s="3893" t="s">
        <v>2269</v>
      </c>
      <c r="F27" s="3893" t="s">
        <v>2246</v>
      </c>
      <c r="G27" s="3893" t="s">
        <v>2270</v>
      </c>
      <c r="H27" s="3893" t="s">
        <v>24</v>
      </c>
      <c r="I27" s="3893" t="s">
        <v>705</v>
      </c>
    </row>
    <row r="28" spans="1:9" ht="11.25" customHeight="1">
      <c r="A28" s="3893" t="s">
        <v>2173</v>
      </c>
      <c r="B28" s="3893" t="s">
        <v>14</v>
      </c>
      <c r="C28" s="3893" t="s">
        <v>2271</v>
      </c>
      <c r="D28" s="3893" t="s">
        <v>2272</v>
      </c>
      <c r="E28" s="3893" t="s">
        <v>2273</v>
      </c>
      <c r="F28" s="3893" t="s">
        <v>2184</v>
      </c>
      <c r="G28" s="3893" t="s">
        <v>24</v>
      </c>
      <c r="H28" s="3893" t="s">
        <v>24</v>
      </c>
      <c r="I28" s="3893" t="s">
        <v>705</v>
      </c>
    </row>
    <row r="29" spans="1:9" ht="11.25" customHeight="1">
      <c r="A29" s="3893" t="s">
        <v>2173</v>
      </c>
      <c r="B29" s="3893" t="s">
        <v>14</v>
      </c>
      <c r="C29" s="3893" t="s">
        <v>2274</v>
      </c>
      <c r="D29" s="3893" t="s">
        <v>2275</v>
      </c>
      <c r="E29" s="3893" t="s">
        <v>2276</v>
      </c>
      <c r="F29" s="3893" t="s">
        <v>2255</v>
      </c>
      <c r="G29" s="3893" t="s">
        <v>24</v>
      </c>
      <c r="H29" s="3893" t="s">
        <v>24</v>
      </c>
      <c r="I29" s="3893" t="s">
        <v>705</v>
      </c>
    </row>
    <row r="30" spans="1:9" ht="11.25" customHeight="1">
      <c r="A30" s="3893" t="s">
        <v>2173</v>
      </c>
      <c r="B30" s="3893" t="s">
        <v>14</v>
      </c>
      <c r="C30" s="3893" t="s">
        <v>2277</v>
      </c>
      <c r="D30" s="3893" t="s">
        <v>2278</v>
      </c>
      <c r="E30" s="3893" t="s">
        <v>2279</v>
      </c>
      <c r="F30" s="3893" t="s">
        <v>2280</v>
      </c>
      <c r="G30" s="3893" t="s">
        <v>24</v>
      </c>
      <c r="H30" s="3893" t="s">
        <v>24</v>
      </c>
      <c r="I30" s="3893" t="s">
        <v>705</v>
      </c>
    </row>
    <row r="31" spans="1:9" ht="11.25" customHeight="1">
      <c r="A31" s="3893" t="s">
        <v>2173</v>
      </c>
      <c r="B31" s="3893" t="s">
        <v>14</v>
      </c>
      <c r="C31" s="3893" t="s">
        <v>2281</v>
      </c>
      <c r="D31" s="3893" t="s">
        <v>2282</v>
      </c>
      <c r="E31" s="3893" t="s">
        <v>2283</v>
      </c>
      <c r="F31" s="3893" t="s">
        <v>2214</v>
      </c>
      <c r="G31" s="3893" t="s">
        <v>2284</v>
      </c>
      <c r="H31" s="3893" t="s">
        <v>24</v>
      </c>
      <c r="I31" s="3893" t="s">
        <v>705</v>
      </c>
    </row>
    <row r="32" spans="1:9" ht="11.25" customHeight="1">
      <c r="A32" s="3893" t="s">
        <v>2173</v>
      </c>
      <c r="B32" s="3893" t="s">
        <v>14</v>
      </c>
      <c r="C32" s="3893" t="s">
        <v>2285</v>
      </c>
      <c r="D32" s="3893" t="s">
        <v>2286</v>
      </c>
      <c r="E32" s="3893" t="s">
        <v>2287</v>
      </c>
      <c r="F32" s="3893" t="s">
        <v>2255</v>
      </c>
      <c r="G32" s="3893" t="s">
        <v>2288</v>
      </c>
      <c r="H32" s="3893" t="s">
        <v>24</v>
      </c>
      <c r="I32" s="3893" t="s">
        <v>705</v>
      </c>
    </row>
    <row r="33" spans="1:9" ht="11.25" customHeight="1">
      <c r="A33" s="3893" t="s">
        <v>2173</v>
      </c>
      <c r="B33" s="3893" t="s">
        <v>14</v>
      </c>
      <c r="C33" s="3893" t="s">
        <v>2289</v>
      </c>
      <c r="D33" s="3893" t="s">
        <v>2290</v>
      </c>
      <c r="E33" s="3893" t="s">
        <v>2291</v>
      </c>
      <c r="F33" s="3893" t="s">
        <v>2214</v>
      </c>
      <c r="G33" s="3893" t="s">
        <v>2292</v>
      </c>
      <c r="H33" s="3893" t="s">
        <v>24</v>
      </c>
      <c r="I33" s="3893" t="s">
        <v>705</v>
      </c>
    </row>
    <row r="34" spans="1:9" ht="11.25" customHeight="1">
      <c r="A34" s="3893" t="s">
        <v>2173</v>
      </c>
      <c r="B34" s="3893" t="s">
        <v>14</v>
      </c>
      <c r="C34" s="3893" t="s">
        <v>2293</v>
      </c>
      <c r="D34" s="3893" t="s">
        <v>2294</v>
      </c>
      <c r="E34" s="3893" t="s">
        <v>2295</v>
      </c>
      <c r="F34" s="3893" t="s">
        <v>2192</v>
      </c>
      <c r="G34" s="3893" t="s">
        <v>2296</v>
      </c>
      <c r="H34" s="3893" t="s">
        <v>24</v>
      </c>
      <c r="I34" s="3893" t="s">
        <v>705</v>
      </c>
    </row>
    <row r="35" spans="1:9" ht="11.25" customHeight="1">
      <c r="A35" s="3893" t="s">
        <v>2173</v>
      </c>
      <c r="B35" s="3893" t="s">
        <v>14</v>
      </c>
      <c r="C35" s="3893" t="s">
        <v>2297</v>
      </c>
      <c r="D35" s="3893" t="s">
        <v>2298</v>
      </c>
      <c r="E35" s="3893" t="s">
        <v>2299</v>
      </c>
      <c r="F35" s="3893" t="s">
        <v>2300</v>
      </c>
      <c r="G35" s="3893" t="s">
        <v>24</v>
      </c>
      <c r="H35" s="3893" t="s">
        <v>24</v>
      </c>
      <c r="I35" s="3893" t="s">
        <v>705</v>
      </c>
    </row>
    <row r="36" spans="1:9" ht="11.25" customHeight="1">
      <c r="A36" s="3893" t="s">
        <v>2173</v>
      </c>
      <c r="B36" s="3893" t="s">
        <v>14</v>
      </c>
      <c r="C36" s="3893" t="s">
        <v>2301</v>
      </c>
      <c r="D36" s="3893" t="s">
        <v>2302</v>
      </c>
      <c r="E36" s="3893" t="s">
        <v>2303</v>
      </c>
      <c r="F36" s="3893" t="s">
        <v>2199</v>
      </c>
      <c r="G36" s="3893" t="s">
        <v>24</v>
      </c>
      <c r="H36" s="3893" t="s">
        <v>24</v>
      </c>
      <c r="I36" s="3893" t="s">
        <v>705</v>
      </c>
    </row>
    <row r="37" spans="1:9" ht="11.25" customHeight="1">
      <c r="A37" s="3893" t="s">
        <v>2173</v>
      </c>
      <c r="B37" s="3893" t="s">
        <v>14</v>
      </c>
      <c r="C37" s="3893" t="s">
        <v>2304</v>
      </c>
      <c r="D37" s="3893" t="s">
        <v>2305</v>
      </c>
      <c r="E37" s="3893" t="s">
        <v>2306</v>
      </c>
      <c r="F37" s="3893" t="s">
        <v>2184</v>
      </c>
      <c r="G37" s="3893" t="s">
        <v>24</v>
      </c>
      <c r="H37" s="3893" t="s">
        <v>24</v>
      </c>
      <c r="I37" s="3893" t="s">
        <v>705</v>
      </c>
    </row>
    <row r="38" spans="1:9" ht="11.25" customHeight="1">
      <c r="A38" s="3893" t="s">
        <v>2173</v>
      </c>
      <c r="B38" s="3893" t="s">
        <v>14</v>
      </c>
      <c r="C38" s="3893" t="s">
        <v>2307</v>
      </c>
      <c r="D38" s="3893" t="s">
        <v>2308</v>
      </c>
      <c r="E38" s="3893" t="s">
        <v>2309</v>
      </c>
      <c r="F38" s="3893" t="s">
        <v>2210</v>
      </c>
      <c r="G38" s="3893" t="s">
        <v>24</v>
      </c>
      <c r="H38" s="3893" t="s">
        <v>24</v>
      </c>
      <c r="I38" s="3893" t="s">
        <v>705</v>
      </c>
    </row>
    <row r="39" spans="1:9" ht="11.25" customHeight="1">
      <c r="A39" s="3893" t="s">
        <v>2173</v>
      </c>
      <c r="B39" s="3893" t="s">
        <v>14</v>
      </c>
      <c r="C39" s="3893" t="s">
        <v>2310</v>
      </c>
      <c r="D39" s="3893" t="s">
        <v>2311</v>
      </c>
      <c r="E39" s="3893" t="s">
        <v>2312</v>
      </c>
      <c r="F39" s="3893" t="s">
        <v>2188</v>
      </c>
      <c r="G39" s="3893" t="s">
        <v>24</v>
      </c>
      <c r="H39" s="3893" t="s">
        <v>24</v>
      </c>
      <c r="I39" s="3893" t="s">
        <v>705</v>
      </c>
    </row>
    <row r="40" spans="1:9" ht="11.25" customHeight="1">
      <c r="A40" s="3893" t="s">
        <v>2173</v>
      </c>
      <c r="B40" s="3893" t="s">
        <v>14</v>
      </c>
      <c r="C40" s="3893" t="s">
        <v>2313</v>
      </c>
      <c r="D40" s="3893" t="s">
        <v>2314</v>
      </c>
      <c r="E40" s="3893" t="s">
        <v>2202</v>
      </c>
      <c r="F40" s="3893" t="s">
        <v>2315</v>
      </c>
      <c r="G40" s="3893" t="s">
        <v>24</v>
      </c>
      <c r="H40" s="3893" t="s">
        <v>24</v>
      </c>
      <c r="I40" s="3893" t="s">
        <v>705</v>
      </c>
    </row>
    <row r="41" spans="1:9" ht="11.25" customHeight="1">
      <c r="A41" s="3893" t="s">
        <v>2173</v>
      </c>
      <c r="B41" s="3893" t="s">
        <v>14</v>
      </c>
      <c r="C41" s="3893" t="s">
        <v>2316</v>
      </c>
      <c r="D41" s="3893" t="s">
        <v>2317</v>
      </c>
      <c r="E41" s="3893" t="s">
        <v>2318</v>
      </c>
      <c r="F41" s="3893" t="s">
        <v>2246</v>
      </c>
      <c r="G41" s="3893" t="s">
        <v>2319</v>
      </c>
      <c r="H41" s="3893" t="s">
        <v>24</v>
      </c>
      <c r="I41" s="3893" t="s">
        <v>705</v>
      </c>
    </row>
    <row r="42" spans="1:9" ht="11.25" customHeight="1">
      <c r="A42" s="3893" t="s">
        <v>2173</v>
      </c>
      <c r="B42" s="3893" t="s">
        <v>14</v>
      </c>
      <c r="C42" s="3893" t="s">
        <v>2320</v>
      </c>
      <c r="D42" s="3893" t="s">
        <v>2321</v>
      </c>
      <c r="E42" s="3893" t="s">
        <v>2322</v>
      </c>
      <c r="F42" s="3893" t="s">
        <v>2231</v>
      </c>
      <c r="G42" s="3893" t="s">
        <v>2323</v>
      </c>
      <c r="H42" s="3893" t="s">
        <v>24</v>
      </c>
      <c r="I42" s="3893" t="s">
        <v>705</v>
      </c>
    </row>
    <row r="43" spans="1:9" ht="11.25" customHeight="1">
      <c r="A43" s="3893" t="s">
        <v>2173</v>
      </c>
      <c r="B43" s="3893" t="s">
        <v>14</v>
      </c>
      <c r="C43" s="3893" t="s">
        <v>2324</v>
      </c>
      <c r="D43" s="3893" t="s">
        <v>2325</v>
      </c>
      <c r="E43" s="3893" t="s">
        <v>2326</v>
      </c>
      <c r="F43" s="3893" t="s">
        <v>2327</v>
      </c>
      <c r="G43" s="3893" t="s">
        <v>2328</v>
      </c>
      <c r="H43" s="3893" t="s">
        <v>24</v>
      </c>
      <c r="I43" s="3893" t="s">
        <v>705</v>
      </c>
    </row>
    <row r="44" spans="1:9" ht="11.25" customHeight="1">
      <c r="A44" s="3893" t="s">
        <v>2173</v>
      </c>
      <c r="B44" s="3893" t="s">
        <v>14</v>
      </c>
      <c r="C44" s="3893" t="s">
        <v>2329</v>
      </c>
      <c r="D44" s="3893" t="s">
        <v>2330</v>
      </c>
      <c r="E44" s="3893" t="s">
        <v>2331</v>
      </c>
      <c r="F44" s="3893" t="s">
        <v>49</v>
      </c>
      <c r="G44" s="3893" t="s">
        <v>24</v>
      </c>
      <c r="H44" s="3893" t="s">
        <v>24</v>
      </c>
      <c r="I44" s="3893" t="s">
        <v>705</v>
      </c>
    </row>
    <row r="45" spans="1:9" ht="11.25" customHeight="1">
      <c r="A45" s="3893" t="s">
        <v>2173</v>
      </c>
      <c r="B45" s="3893" t="s">
        <v>14</v>
      </c>
      <c r="C45" s="3893" t="s">
        <v>2332</v>
      </c>
      <c r="D45" s="3893" t="s">
        <v>2330</v>
      </c>
      <c r="E45" s="3893" t="s">
        <v>2331</v>
      </c>
      <c r="F45" s="3893" t="s">
        <v>2333</v>
      </c>
      <c r="G45" s="3893" t="s">
        <v>24</v>
      </c>
      <c r="H45" s="3893" t="s">
        <v>24</v>
      </c>
      <c r="I45" s="3893" t="s">
        <v>705</v>
      </c>
    </row>
    <row r="46" spans="1:9" ht="11.25" customHeight="1">
      <c r="A46" s="3893" t="s">
        <v>2173</v>
      </c>
      <c r="B46" s="3893" t="s">
        <v>14</v>
      </c>
      <c r="C46" s="3893" t="s">
        <v>2334</v>
      </c>
      <c r="D46" s="3893" t="s">
        <v>2335</v>
      </c>
      <c r="E46" s="3893" t="s">
        <v>2336</v>
      </c>
      <c r="F46" s="3893" t="s">
        <v>2214</v>
      </c>
      <c r="G46" s="3893" t="s">
        <v>24</v>
      </c>
      <c r="H46" s="3893" t="s">
        <v>24</v>
      </c>
      <c r="I46" s="3893" t="s">
        <v>705</v>
      </c>
    </row>
    <row r="47" spans="1:9" ht="11.25" customHeight="1">
      <c r="A47" s="3893" t="s">
        <v>2173</v>
      </c>
      <c r="B47" s="3893" t="s">
        <v>14</v>
      </c>
      <c r="C47" s="3893" t="s">
        <v>2337</v>
      </c>
      <c r="D47" s="3893" t="s">
        <v>2338</v>
      </c>
      <c r="E47" s="3893" t="s">
        <v>2339</v>
      </c>
      <c r="F47" s="3893" t="s">
        <v>2327</v>
      </c>
      <c r="G47" s="3893" t="s">
        <v>2340</v>
      </c>
      <c r="H47" s="3893" t="s">
        <v>24</v>
      </c>
      <c r="I47" s="3893" t="s">
        <v>705</v>
      </c>
    </row>
    <row r="48" spans="1:9" ht="11.25" customHeight="1">
      <c r="A48" s="3893" t="s">
        <v>2173</v>
      </c>
      <c r="B48" s="3893" t="s">
        <v>14</v>
      </c>
      <c r="C48" s="3893" t="s">
        <v>2341</v>
      </c>
      <c r="D48" s="3893" t="s">
        <v>2342</v>
      </c>
      <c r="E48" s="3893" t="s">
        <v>2343</v>
      </c>
      <c r="F48" s="3893" t="s">
        <v>2327</v>
      </c>
      <c r="G48" s="3893" t="s">
        <v>24</v>
      </c>
      <c r="H48" s="3893" t="s">
        <v>24</v>
      </c>
      <c r="I48" s="3893" t="s">
        <v>705</v>
      </c>
    </row>
    <row r="49" spans="1:9" ht="11.25" customHeight="1">
      <c r="A49" s="3893" t="s">
        <v>2173</v>
      </c>
      <c r="B49" s="3893" t="s">
        <v>14</v>
      </c>
      <c r="C49" s="3893" t="s">
        <v>2344</v>
      </c>
      <c r="D49" s="3893" t="s">
        <v>2345</v>
      </c>
      <c r="E49" s="3893" t="s">
        <v>2346</v>
      </c>
      <c r="F49" s="3893" t="s">
        <v>2184</v>
      </c>
      <c r="G49" s="3893" t="s">
        <v>24</v>
      </c>
      <c r="H49" s="3893" t="s">
        <v>24</v>
      </c>
      <c r="I49" s="3893" t="s">
        <v>705</v>
      </c>
    </row>
    <row r="50" spans="1:9" ht="11.25" customHeight="1">
      <c r="A50" s="3893" t="s">
        <v>2173</v>
      </c>
      <c r="B50" s="3893" t="s">
        <v>14</v>
      </c>
      <c r="C50" s="3893" t="s">
        <v>2347</v>
      </c>
      <c r="D50" s="3893" t="s">
        <v>2348</v>
      </c>
      <c r="E50" s="3893" t="s">
        <v>2349</v>
      </c>
      <c r="F50" s="3893" t="s">
        <v>49</v>
      </c>
      <c r="G50" s="3893" t="s">
        <v>24</v>
      </c>
      <c r="H50" s="3893" t="s">
        <v>24</v>
      </c>
      <c r="I50" s="3893" t="s">
        <v>705</v>
      </c>
    </row>
    <row r="51" spans="1:9" ht="11.25" customHeight="1">
      <c r="A51" s="3893" t="s">
        <v>2173</v>
      </c>
      <c r="B51" s="3893" t="s">
        <v>14</v>
      </c>
      <c r="C51" s="3893" t="s">
        <v>2350</v>
      </c>
      <c r="D51" s="3893" t="s">
        <v>2351</v>
      </c>
      <c r="E51" s="3893" t="s">
        <v>2352</v>
      </c>
      <c r="F51" s="3893" t="s">
        <v>2231</v>
      </c>
      <c r="G51" s="3893" t="s">
        <v>24</v>
      </c>
      <c r="H51" s="3893" t="s">
        <v>24</v>
      </c>
      <c r="I51" s="3893" t="s">
        <v>705</v>
      </c>
    </row>
    <row r="52" spans="1:9" ht="11.25" customHeight="1">
      <c r="A52" s="3893" t="s">
        <v>2173</v>
      </c>
      <c r="B52" s="3893" t="s">
        <v>14</v>
      </c>
      <c r="C52" s="3893" t="s">
        <v>2353</v>
      </c>
      <c r="D52" s="3893" t="s">
        <v>2354</v>
      </c>
      <c r="E52" s="3893" t="s">
        <v>2355</v>
      </c>
      <c r="F52" s="3893" t="s">
        <v>2255</v>
      </c>
      <c r="G52" s="3893" t="s">
        <v>24</v>
      </c>
      <c r="H52" s="3893" t="s">
        <v>24</v>
      </c>
      <c r="I52" s="3893" t="s">
        <v>705</v>
      </c>
    </row>
    <row r="53" spans="1:9" ht="11.25" customHeight="1">
      <c r="A53" s="3893" t="s">
        <v>2173</v>
      </c>
      <c r="B53" s="3893" t="s">
        <v>14</v>
      </c>
      <c r="C53" s="3893" t="s">
        <v>2356</v>
      </c>
      <c r="D53" s="3893" t="s">
        <v>2357</v>
      </c>
      <c r="E53" s="3893" t="s">
        <v>2358</v>
      </c>
      <c r="F53" s="3893" t="s">
        <v>2227</v>
      </c>
      <c r="G53" s="3893" t="s">
        <v>2359</v>
      </c>
      <c r="H53" s="3893" t="s">
        <v>24</v>
      </c>
      <c r="I53" s="3893" t="s">
        <v>705</v>
      </c>
    </row>
    <row r="54" spans="1:9" ht="11.25" customHeight="1">
      <c r="A54" s="3893" t="s">
        <v>2173</v>
      </c>
      <c r="B54" s="3893" t="s">
        <v>14</v>
      </c>
      <c r="C54" s="3893" t="s">
        <v>2360</v>
      </c>
      <c r="D54" s="3893" t="s">
        <v>2361</v>
      </c>
      <c r="E54" s="3893" t="s">
        <v>2362</v>
      </c>
      <c r="F54" s="3893" t="s">
        <v>2227</v>
      </c>
      <c r="G54" s="3893" t="s">
        <v>24</v>
      </c>
      <c r="H54" s="3893" t="s">
        <v>24</v>
      </c>
      <c r="I54" s="3893" t="s">
        <v>705</v>
      </c>
    </row>
    <row r="55" spans="1:9" ht="11.25" customHeight="1">
      <c r="A55" s="3893" t="s">
        <v>2173</v>
      </c>
      <c r="B55" s="3893" t="s">
        <v>14</v>
      </c>
      <c r="C55" s="3893" t="s">
        <v>2363</v>
      </c>
      <c r="D55" s="3893" t="s">
        <v>2364</v>
      </c>
      <c r="E55" s="3893" t="s">
        <v>2365</v>
      </c>
      <c r="F55" s="3893" t="s">
        <v>2366</v>
      </c>
      <c r="G55" s="3893" t="s">
        <v>24</v>
      </c>
      <c r="H55" s="3893" t="s">
        <v>24</v>
      </c>
      <c r="I55" s="3893" t="s">
        <v>705</v>
      </c>
    </row>
    <row r="56" spans="1:9" ht="11.25" customHeight="1">
      <c r="A56" s="3893" t="s">
        <v>2173</v>
      </c>
      <c r="B56" s="3893" t="s">
        <v>14</v>
      </c>
      <c r="C56" s="3893" t="s">
        <v>2367</v>
      </c>
      <c r="D56" s="3893" t="s">
        <v>2368</v>
      </c>
      <c r="E56" s="3893" t="s">
        <v>2369</v>
      </c>
      <c r="F56" s="3893" t="s">
        <v>2184</v>
      </c>
      <c r="G56" s="3893" t="s">
        <v>24</v>
      </c>
      <c r="H56" s="3893" t="s">
        <v>24</v>
      </c>
      <c r="I56" s="3893" t="s">
        <v>705</v>
      </c>
    </row>
    <row r="57" spans="1:9" ht="11.25" customHeight="1">
      <c r="A57" s="3893" t="s">
        <v>2173</v>
      </c>
      <c r="B57" s="3893" t="s">
        <v>14</v>
      </c>
      <c r="C57" s="3893" t="s">
        <v>2370</v>
      </c>
      <c r="D57" s="3893" t="s">
        <v>2371</v>
      </c>
      <c r="E57" s="3893" t="s">
        <v>2372</v>
      </c>
      <c r="F57" s="3893" t="s">
        <v>49</v>
      </c>
      <c r="G57" s="3893" t="s">
        <v>24</v>
      </c>
      <c r="H57" s="3893" t="s">
        <v>24</v>
      </c>
      <c r="I57" s="3893" t="s">
        <v>705</v>
      </c>
    </row>
    <row r="58" spans="1:9" ht="11.25" customHeight="1">
      <c r="A58" s="3893" t="s">
        <v>2173</v>
      </c>
      <c r="B58" s="3893" t="s">
        <v>14</v>
      </c>
      <c r="C58" s="3893" t="s">
        <v>2373</v>
      </c>
      <c r="D58" s="3893" t="s">
        <v>2374</v>
      </c>
      <c r="E58" s="3893" t="s">
        <v>2375</v>
      </c>
      <c r="F58" s="3893" t="s">
        <v>49</v>
      </c>
      <c r="G58" s="3893" t="s">
        <v>2376</v>
      </c>
      <c r="H58" s="3893" t="s">
        <v>24</v>
      </c>
      <c r="I58" s="3893" t="s">
        <v>705</v>
      </c>
    </row>
    <row r="59" spans="1:9" ht="11.25" customHeight="1">
      <c r="A59" s="3893" t="s">
        <v>2173</v>
      </c>
      <c r="B59" s="3893" t="s">
        <v>14</v>
      </c>
      <c r="C59" s="3893" t="s">
        <v>2377</v>
      </c>
      <c r="D59" s="3893" t="s">
        <v>2378</v>
      </c>
      <c r="E59" s="3893" t="s">
        <v>2379</v>
      </c>
      <c r="F59" s="3893" t="s">
        <v>2380</v>
      </c>
      <c r="G59" s="3893" t="s">
        <v>24</v>
      </c>
      <c r="H59" s="3893" t="s">
        <v>24</v>
      </c>
      <c r="I59" s="3893" t="s">
        <v>705</v>
      </c>
    </row>
    <row r="60" spans="1:9" ht="11.25" customHeight="1">
      <c r="A60" s="3893" t="s">
        <v>2173</v>
      </c>
      <c r="B60" s="3893" t="s">
        <v>14</v>
      </c>
      <c r="C60" s="3893" t="s">
        <v>2381</v>
      </c>
      <c r="D60" s="3893" t="s">
        <v>2382</v>
      </c>
      <c r="E60" s="3893" t="s">
        <v>2383</v>
      </c>
      <c r="F60" s="3893" t="s">
        <v>49</v>
      </c>
      <c r="G60" s="3893" t="s">
        <v>2384</v>
      </c>
      <c r="H60" s="3893" t="s">
        <v>24</v>
      </c>
      <c r="I60" s="3893" t="s">
        <v>705</v>
      </c>
    </row>
    <row r="61" spans="1:9" ht="11.25" customHeight="1">
      <c r="A61" s="3893" t="s">
        <v>2173</v>
      </c>
      <c r="B61" s="3893" t="s">
        <v>14</v>
      </c>
      <c r="C61" s="3893" t="s">
        <v>2385</v>
      </c>
      <c r="D61" s="3893" t="s">
        <v>2386</v>
      </c>
      <c r="E61" s="3893" t="s">
        <v>2387</v>
      </c>
      <c r="F61" s="3893" t="s">
        <v>2246</v>
      </c>
      <c r="G61" s="3893" t="s">
        <v>24</v>
      </c>
      <c r="H61" s="3893" t="s">
        <v>24</v>
      </c>
      <c r="I61" s="3893" t="s">
        <v>705</v>
      </c>
    </row>
    <row r="62" spans="1:9" ht="11.25" customHeight="1">
      <c r="A62" s="3893" t="s">
        <v>2173</v>
      </c>
      <c r="B62" s="3893" t="s">
        <v>14</v>
      </c>
      <c r="C62" s="3893" t="s">
        <v>2388</v>
      </c>
      <c r="D62" s="3893" t="s">
        <v>2389</v>
      </c>
      <c r="E62" s="3893" t="s">
        <v>2390</v>
      </c>
      <c r="F62" s="3893" t="s">
        <v>2380</v>
      </c>
      <c r="G62" s="3893" t="s">
        <v>24</v>
      </c>
      <c r="H62" s="3893" t="s">
        <v>24</v>
      </c>
      <c r="I62" s="3893" t="s">
        <v>705</v>
      </c>
    </row>
    <row r="63" spans="1:9" ht="11.25" customHeight="1">
      <c r="A63" s="3893" t="s">
        <v>2173</v>
      </c>
      <c r="B63" s="3893" t="s">
        <v>14</v>
      </c>
      <c r="C63" s="3893" t="s">
        <v>2391</v>
      </c>
      <c r="D63" s="3893" t="s">
        <v>2392</v>
      </c>
      <c r="E63" s="3893" t="s">
        <v>2393</v>
      </c>
      <c r="F63" s="3893" t="s">
        <v>2280</v>
      </c>
      <c r="G63" s="3893" t="s">
        <v>24</v>
      </c>
      <c r="H63" s="3893" t="s">
        <v>24</v>
      </c>
      <c r="I63" s="3893" t="s">
        <v>705</v>
      </c>
    </row>
    <row r="64" spans="1:9" ht="11.25" customHeight="1">
      <c r="A64" s="3893" t="s">
        <v>2173</v>
      </c>
      <c r="B64" s="3893" t="s">
        <v>14</v>
      </c>
      <c r="C64" s="3893" t="s">
        <v>2394</v>
      </c>
      <c r="D64" s="3893" t="s">
        <v>2395</v>
      </c>
      <c r="E64" s="3893" t="s">
        <v>2396</v>
      </c>
      <c r="F64" s="3893" t="s">
        <v>2260</v>
      </c>
      <c r="G64" s="3893" t="s">
        <v>2397</v>
      </c>
      <c r="H64" s="3893" t="s">
        <v>24</v>
      </c>
      <c r="I64" s="3893" t="s">
        <v>705</v>
      </c>
    </row>
    <row r="65" spans="1:9" ht="11.25" customHeight="1">
      <c r="A65" s="3893" t="s">
        <v>2173</v>
      </c>
      <c r="B65" s="3893" t="s">
        <v>14</v>
      </c>
      <c r="C65" s="3893" t="s">
        <v>2398</v>
      </c>
      <c r="D65" s="3893" t="s">
        <v>44</v>
      </c>
      <c r="E65" s="3893" t="s">
        <v>47</v>
      </c>
      <c r="F65" s="3893" t="s">
        <v>49</v>
      </c>
      <c r="G65" s="3893" t="s">
        <v>24</v>
      </c>
      <c r="H65" s="3893" t="s">
        <v>24</v>
      </c>
      <c r="I65" s="3893" t="s">
        <v>705</v>
      </c>
    </row>
    <row r="66" spans="1:9" ht="11.25" customHeight="1">
      <c r="A66" s="3893" t="s">
        <v>2173</v>
      </c>
      <c r="B66" s="3893" t="s">
        <v>14</v>
      </c>
      <c r="C66" s="3893" t="s">
        <v>2399</v>
      </c>
      <c r="D66" s="3893" t="s">
        <v>2400</v>
      </c>
      <c r="E66" s="3893" t="s">
        <v>2401</v>
      </c>
      <c r="F66" s="3893" t="s">
        <v>2210</v>
      </c>
      <c r="G66" s="3893" t="s">
        <v>24</v>
      </c>
      <c r="H66" s="3893" t="s">
        <v>24</v>
      </c>
      <c r="I66" s="3893" t="s">
        <v>705</v>
      </c>
    </row>
    <row r="67" spans="1:9" ht="11.25" customHeight="1">
      <c r="A67" s="3893" t="s">
        <v>2173</v>
      </c>
      <c r="B67" s="3893" t="s">
        <v>14</v>
      </c>
      <c r="C67" s="3893" t="s">
        <v>2402</v>
      </c>
      <c r="D67" s="3893" t="s">
        <v>2403</v>
      </c>
      <c r="E67" s="3893" t="s">
        <v>2404</v>
      </c>
      <c r="F67" s="3893" t="s">
        <v>49</v>
      </c>
      <c r="G67" s="3893" t="s">
        <v>2405</v>
      </c>
      <c r="H67" s="3893" t="s">
        <v>24</v>
      </c>
      <c r="I67" s="3893" t="s">
        <v>705</v>
      </c>
    </row>
    <row r="68" spans="1:9" ht="11.25" customHeight="1">
      <c r="A68" s="3893" t="s">
        <v>2173</v>
      </c>
      <c r="B68" s="3893" t="s">
        <v>14</v>
      </c>
      <c r="C68" s="3893" t="s">
        <v>2406</v>
      </c>
      <c r="D68" s="3893" t="s">
        <v>2407</v>
      </c>
      <c r="E68" s="3893" t="s">
        <v>2408</v>
      </c>
      <c r="F68" s="3893" t="s">
        <v>2409</v>
      </c>
      <c r="G68" s="3893" t="s">
        <v>24</v>
      </c>
      <c r="H68" s="3893" t="s">
        <v>24</v>
      </c>
      <c r="I68" s="3893" t="s">
        <v>705</v>
      </c>
    </row>
    <row r="69" spans="1:9" ht="11.25" customHeight="1">
      <c r="A69" s="3893" t="s">
        <v>2173</v>
      </c>
      <c r="B69" s="3893" t="s">
        <v>14</v>
      </c>
      <c r="C69" s="3893" t="s">
        <v>2410</v>
      </c>
      <c r="D69" s="3893" t="s">
        <v>2411</v>
      </c>
      <c r="E69" s="3893" t="s">
        <v>2408</v>
      </c>
      <c r="F69" s="3893" t="s">
        <v>2412</v>
      </c>
      <c r="G69" s="3893" t="s">
        <v>24</v>
      </c>
      <c r="H69" s="3893" t="s">
        <v>24</v>
      </c>
      <c r="I69" s="3893" t="s">
        <v>705</v>
      </c>
    </row>
    <row r="70" spans="1:9" ht="11.25" customHeight="1">
      <c r="A70" s="3893" t="s">
        <v>2173</v>
      </c>
      <c r="B70" s="3893" t="s">
        <v>14</v>
      </c>
      <c r="C70" s="3893" t="s">
        <v>2413</v>
      </c>
      <c r="D70" s="3893" t="s">
        <v>2414</v>
      </c>
      <c r="E70" s="3893" t="s">
        <v>2415</v>
      </c>
      <c r="F70" s="3893" t="s">
        <v>2246</v>
      </c>
      <c r="G70" s="3893" t="s">
        <v>24</v>
      </c>
      <c r="H70" s="3893" t="s">
        <v>24</v>
      </c>
      <c r="I70" s="3893" t="s">
        <v>705</v>
      </c>
    </row>
    <row r="71" spans="1:9" ht="11.25" customHeight="1">
      <c r="A71" s="3893" t="s">
        <v>2173</v>
      </c>
      <c r="B71" s="3893" t="s">
        <v>14</v>
      </c>
      <c r="C71" s="3893" t="s">
        <v>2416</v>
      </c>
      <c r="D71" s="3893" t="s">
        <v>2417</v>
      </c>
      <c r="E71" s="3893" t="s">
        <v>2418</v>
      </c>
      <c r="F71" s="3893" t="s">
        <v>49</v>
      </c>
      <c r="G71" s="3893" t="s">
        <v>2419</v>
      </c>
      <c r="H71" s="3893" t="s">
        <v>24</v>
      </c>
      <c r="I71" s="3893" t="s">
        <v>705</v>
      </c>
    </row>
    <row r="72" spans="1:9" ht="11.25" customHeight="1">
      <c r="A72" s="3893" t="s">
        <v>2173</v>
      </c>
      <c r="B72" s="3893" t="s">
        <v>14</v>
      </c>
      <c r="C72" s="3893" t="s">
        <v>2420</v>
      </c>
      <c r="D72" s="3893" t="s">
        <v>2421</v>
      </c>
      <c r="E72" s="3893" t="s">
        <v>2422</v>
      </c>
      <c r="F72" s="3893" t="s">
        <v>2327</v>
      </c>
      <c r="G72" s="3893" t="s">
        <v>24</v>
      </c>
      <c r="H72" s="3893" t="s">
        <v>24</v>
      </c>
      <c r="I72" s="3893" t="s">
        <v>705</v>
      </c>
    </row>
    <row r="73" spans="1:9" ht="11.25" customHeight="1">
      <c r="A73" s="3893" t="s">
        <v>2173</v>
      </c>
      <c r="B73" s="3893" t="s">
        <v>14</v>
      </c>
      <c r="C73" s="3893" t="s">
        <v>2423</v>
      </c>
      <c r="D73" s="3893" t="s">
        <v>2424</v>
      </c>
      <c r="E73" s="3893" t="s">
        <v>2425</v>
      </c>
      <c r="F73" s="3893" t="s">
        <v>2280</v>
      </c>
      <c r="G73" s="3893" t="s">
        <v>2426</v>
      </c>
      <c r="H73" s="3893" t="s">
        <v>24</v>
      </c>
      <c r="I73" s="3893" t="s">
        <v>705</v>
      </c>
    </row>
    <row r="74" spans="1:9" ht="11.25" customHeight="1">
      <c r="A74" s="3893" t="s">
        <v>2173</v>
      </c>
      <c r="B74" s="3893" t="s">
        <v>14</v>
      </c>
      <c r="C74" s="3893" t="s">
        <v>2427</v>
      </c>
      <c r="D74" s="3893" t="s">
        <v>2428</v>
      </c>
      <c r="E74" s="3893" t="s">
        <v>2429</v>
      </c>
      <c r="F74" s="3893" t="s">
        <v>2280</v>
      </c>
      <c r="G74" s="3893" t="s">
        <v>2430</v>
      </c>
      <c r="H74" s="3893" t="s">
        <v>24</v>
      </c>
      <c r="I74" s="3893" t="s">
        <v>705</v>
      </c>
    </row>
    <row r="75" spans="1:9" ht="11.25" customHeight="1">
      <c r="A75" s="3893" t="s">
        <v>2173</v>
      </c>
      <c r="B75" s="3893" t="s">
        <v>14</v>
      </c>
      <c r="C75" s="3893" t="s">
        <v>2431</v>
      </c>
      <c r="D75" s="3893" t="s">
        <v>2432</v>
      </c>
      <c r="E75" s="3893" t="s">
        <v>2433</v>
      </c>
      <c r="F75" s="3893" t="s">
        <v>2210</v>
      </c>
      <c r="G75" s="3893" t="s">
        <v>2434</v>
      </c>
      <c r="H75" s="3893" t="s">
        <v>24</v>
      </c>
      <c r="I75" s="3893" t="s">
        <v>705</v>
      </c>
    </row>
    <row r="76" spans="1:9" ht="11.25" customHeight="1">
      <c r="A76" s="3893" t="s">
        <v>2173</v>
      </c>
      <c r="B76" s="3893" t="s">
        <v>14</v>
      </c>
      <c r="C76" s="3893" t="s">
        <v>2435</v>
      </c>
      <c r="D76" s="3893" t="s">
        <v>2436</v>
      </c>
      <c r="E76" s="3893" t="s">
        <v>2437</v>
      </c>
      <c r="F76" s="3893" t="s">
        <v>49</v>
      </c>
      <c r="G76" s="3893" t="s">
        <v>24</v>
      </c>
      <c r="H76" s="3893" t="s">
        <v>24</v>
      </c>
      <c r="I76" s="3893" t="s">
        <v>705</v>
      </c>
    </row>
    <row r="77" spans="1:9" ht="11.25" customHeight="1">
      <c r="A77" s="3893" t="s">
        <v>2173</v>
      </c>
      <c r="B77" s="3893" t="s">
        <v>14</v>
      </c>
      <c r="C77" s="3893" t="s">
        <v>2438</v>
      </c>
      <c r="D77" s="3893" t="s">
        <v>2439</v>
      </c>
      <c r="E77" s="3893" t="s">
        <v>2440</v>
      </c>
      <c r="F77" s="3893" t="s">
        <v>2246</v>
      </c>
      <c r="G77" s="3893" t="s">
        <v>24</v>
      </c>
      <c r="H77" s="3893" t="s">
        <v>24</v>
      </c>
      <c r="I77" s="3893" t="s">
        <v>705</v>
      </c>
    </row>
    <row r="78" spans="1:9" ht="11.25" customHeight="1">
      <c r="A78" s="3893" t="s">
        <v>2173</v>
      </c>
      <c r="B78" s="3893" t="s">
        <v>14</v>
      </c>
      <c r="C78" s="3893" t="s">
        <v>24</v>
      </c>
      <c r="D78" s="3893" t="s">
        <v>2441</v>
      </c>
      <c r="E78" s="3893" t="s">
        <v>2442</v>
      </c>
      <c r="F78" s="3893" t="s">
        <v>49</v>
      </c>
      <c r="G78" s="3893" t="s">
        <v>24</v>
      </c>
      <c r="H78" s="3893" t="s">
        <v>24</v>
      </c>
      <c r="I78" s="3893" t="s">
        <v>705</v>
      </c>
    </row>
    <row r="79" spans="1:9" ht="11.25" customHeight="1">
      <c r="A79" s="3893" t="s">
        <v>2173</v>
      </c>
      <c r="B79" s="3893" t="s">
        <v>14</v>
      </c>
      <c r="C79" s="3893" t="s">
        <v>2443</v>
      </c>
      <c r="D79" s="3893" t="s">
        <v>2444</v>
      </c>
      <c r="E79" s="3893" t="s">
        <v>2445</v>
      </c>
      <c r="F79" s="3893" t="s">
        <v>2255</v>
      </c>
      <c r="G79" s="3893" t="s">
        <v>24</v>
      </c>
      <c r="H79" s="3893" t="s">
        <v>24</v>
      </c>
      <c r="I79" s="3893" t="s">
        <v>705</v>
      </c>
    </row>
    <row r="80" spans="1:9" ht="11.25" customHeight="1">
      <c r="A80" s="3893" t="s">
        <v>2173</v>
      </c>
      <c r="B80" s="3893" t="s">
        <v>14</v>
      </c>
      <c r="C80" s="3893" t="s">
        <v>2446</v>
      </c>
      <c r="D80" s="3893" t="s">
        <v>2447</v>
      </c>
      <c r="E80" s="3893" t="s">
        <v>2448</v>
      </c>
      <c r="F80" s="3893" t="s">
        <v>2449</v>
      </c>
      <c r="G80" s="3893" t="s">
        <v>24</v>
      </c>
      <c r="H80" s="3893" t="s">
        <v>24</v>
      </c>
      <c r="I80" s="3893" t="s">
        <v>705</v>
      </c>
    </row>
    <row r="81" spans="1:9" ht="11.25" customHeight="1">
      <c r="A81" s="3893" t="s">
        <v>2173</v>
      </c>
      <c r="B81" s="3893" t="s">
        <v>14</v>
      </c>
      <c r="C81" s="3893" t="s">
        <v>2450</v>
      </c>
      <c r="D81" s="3893" t="s">
        <v>2451</v>
      </c>
      <c r="E81" s="3893" t="s">
        <v>2448</v>
      </c>
      <c r="F81" s="3893" t="s">
        <v>2452</v>
      </c>
      <c r="G81" s="3893" t="s">
        <v>2453</v>
      </c>
      <c r="H81" s="3893" t="s">
        <v>24</v>
      </c>
      <c r="I81" s="3893" t="s">
        <v>705</v>
      </c>
    </row>
    <row r="82" spans="1:9" ht="11.25" customHeight="1">
      <c r="A82" s="3893" t="s">
        <v>2173</v>
      </c>
      <c r="B82" s="3893" t="s">
        <v>14</v>
      </c>
      <c r="C82" s="3893" t="s">
        <v>2454</v>
      </c>
      <c r="D82" s="3893" t="s">
        <v>2455</v>
      </c>
      <c r="E82" s="3893" t="s">
        <v>2456</v>
      </c>
      <c r="F82" s="3893" t="s">
        <v>2457</v>
      </c>
      <c r="G82" s="3893" t="s">
        <v>24</v>
      </c>
      <c r="H82" s="3893" t="s">
        <v>24</v>
      </c>
      <c r="I82" s="3893" t="s">
        <v>705</v>
      </c>
    </row>
    <row r="83" spans="1:9" ht="11.25" customHeight="1">
      <c r="A83" s="3893" t="s">
        <v>2173</v>
      </c>
      <c r="B83" s="3893" t="s">
        <v>14</v>
      </c>
      <c r="C83" s="3893" t="s">
        <v>2174</v>
      </c>
      <c r="D83" s="3893" t="s">
        <v>2175</v>
      </c>
      <c r="E83" s="3893" t="s">
        <v>2176</v>
      </c>
      <c r="F83" s="3893" t="s">
        <v>49</v>
      </c>
      <c r="G83" s="3893" t="s">
        <v>24</v>
      </c>
      <c r="H83" s="3893" t="s">
        <v>24</v>
      </c>
      <c r="I83" s="3893" t="s">
        <v>789</v>
      </c>
    </row>
    <row r="84" spans="1:9" ht="11.25" customHeight="1">
      <c r="A84" s="3893" t="s">
        <v>2173</v>
      </c>
      <c r="B84" s="3893" t="s">
        <v>14</v>
      </c>
      <c r="C84" s="3893" t="s">
        <v>2177</v>
      </c>
      <c r="D84" s="3893" t="s">
        <v>2178</v>
      </c>
      <c r="E84" s="3893" t="s">
        <v>2179</v>
      </c>
      <c r="F84" s="3893" t="s">
        <v>2180</v>
      </c>
      <c r="G84" s="3893" t="s">
        <v>24</v>
      </c>
      <c r="H84" s="3893" t="s">
        <v>24</v>
      </c>
      <c r="I84" s="3893" t="s">
        <v>789</v>
      </c>
    </row>
    <row r="85" spans="1:9" ht="11.25" customHeight="1">
      <c r="A85" s="3893" t="s">
        <v>2173</v>
      </c>
      <c r="B85" s="3893" t="s">
        <v>14</v>
      </c>
      <c r="C85" s="3893" t="s">
        <v>2193</v>
      </c>
      <c r="D85" s="3893" t="s">
        <v>2194</v>
      </c>
      <c r="E85" s="3893" t="s">
        <v>2195</v>
      </c>
      <c r="F85" s="3893" t="s">
        <v>49</v>
      </c>
      <c r="G85" s="3893" t="s">
        <v>24</v>
      </c>
      <c r="H85" s="3893" t="s">
        <v>24</v>
      </c>
      <c r="I85" s="3893" t="s">
        <v>789</v>
      </c>
    </row>
    <row r="86" spans="1:9" ht="11.25" customHeight="1">
      <c r="A86" s="3893" t="s">
        <v>2173</v>
      </c>
      <c r="B86" s="3893" t="s">
        <v>14</v>
      </c>
      <c r="C86" s="3893" t="s">
        <v>2215</v>
      </c>
      <c r="D86" s="3893" t="s">
        <v>2216</v>
      </c>
      <c r="E86" s="3893" t="s">
        <v>2217</v>
      </c>
      <c r="F86" s="3893" t="s">
        <v>2214</v>
      </c>
      <c r="G86" s="3893" t="s">
        <v>24</v>
      </c>
      <c r="H86" s="3893" t="s">
        <v>24</v>
      </c>
      <c r="I86" s="3893" t="s">
        <v>789</v>
      </c>
    </row>
    <row r="87" spans="1:9" ht="11.25" customHeight="1">
      <c r="A87" s="3893" t="s">
        <v>2173</v>
      </c>
      <c r="B87" s="3893" t="s">
        <v>14</v>
      </c>
      <c r="C87" s="3893" t="s">
        <v>2218</v>
      </c>
      <c r="D87" s="3893" t="s">
        <v>2219</v>
      </c>
      <c r="E87" s="3893" t="s">
        <v>2220</v>
      </c>
      <c r="F87" s="3893" t="s">
        <v>2221</v>
      </c>
      <c r="G87" s="3893" t="s">
        <v>24</v>
      </c>
      <c r="H87" s="3893" t="s">
        <v>24</v>
      </c>
      <c r="I87" s="3893" t="s">
        <v>789</v>
      </c>
    </row>
    <row r="88" spans="1:9" ht="11.25" customHeight="1">
      <c r="A88" s="3893" t="s">
        <v>2173</v>
      </c>
      <c r="B88" s="3893" t="s">
        <v>14</v>
      </c>
      <c r="C88" s="3893" t="s">
        <v>2222</v>
      </c>
      <c r="D88" s="3893" t="s">
        <v>2223</v>
      </c>
      <c r="E88" s="3893" t="s">
        <v>2224</v>
      </c>
      <c r="F88" s="3893" t="s">
        <v>2188</v>
      </c>
      <c r="G88" s="3893" t="s">
        <v>24</v>
      </c>
      <c r="H88" s="3893" t="s">
        <v>24</v>
      </c>
      <c r="I88" s="3893" t="s">
        <v>789</v>
      </c>
    </row>
    <row r="89" spans="1:9" ht="11.25" customHeight="1">
      <c r="A89" s="3893" t="s">
        <v>2173</v>
      </c>
      <c r="B89" s="3893" t="s">
        <v>14</v>
      </c>
      <c r="C89" s="3893" t="s">
        <v>2235</v>
      </c>
      <c r="D89" s="3893" t="s">
        <v>2236</v>
      </c>
      <c r="E89" s="3893" t="s">
        <v>2237</v>
      </c>
      <c r="F89" s="3893" t="s">
        <v>49</v>
      </c>
      <c r="G89" s="3893" t="s">
        <v>24</v>
      </c>
      <c r="H89" s="3893" t="s">
        <v>24</v>
      </c>
      <c r="I89" s="3893" t="s">
        <v>789</v>
      </c>
    </row>
    <row r="90" spans="1:9" ht="11.25" customHeight="1">
      <c r="A90" s="3893" t="s">
        <v>2173</v>
      </c>
      <c r="B90" s="3893" t="s">
        <v>14</v>
      </c>
      <c r="C90" s="3893" t="s">
        <v>2238</v>
      </c>
      <c r="D90" s="3893" t="s">
        <v>2239</v>
      </c>
      <c r="E90" s="3893" t="s">
        <v>2240</v>
      </c>
      <c r="F90" s="3893" t="s">
        <v>2241</v>
      </c>
      <c r="G90" s="3893" t="s">
        <v>2242</v>
      </c>
      <c r="H90" s="3893" t="s">
        <v>24</v>
      </c>
      <c r="I90" s="3893" t="s">
        <v>789</v>
      </c>
    </row>
    <row r="91" spans="1:9" ht="11.25" customHeight="1">
      <c r="A91" s="3893" t="s">
        <v>2173</v>
      </c>
      <c r="B91" s="3893" t="s">
        <v>14</v>
      </c>
      <c r="C91" s="3893" t="s">
        <v>2243</v>
      </c>
      <c r="D91" s="3893" t="s">
        <v>2244</v>
      </c>
      <c r="E91" s="3893" t="s">
        <v>2245</v>
      </c>
      <c r="F91" s="3893" t="s">
        <v>2246</v>
      </c>
      <c r="G91" s="3893" t="s">
        <v>2247</v>
      </c>
      <c r="H91" s="3893" t="s">
        <v>24</v>
      </c>
      <c r="I91" s="3893" t="s">
        <v>789</v>
      </c>
    </row>
    <row r="92" spans="1:9" ht="11.25" customHeight="1">
      <c r="A92" s="3893" t="s">
        <v>2173</v>
      </c>
      <c r="B92" s="3893" t="s">
        <v>14</v>
      </c>
      <c r="C92" s="3893" t="s">
        <v>2261</v>
      </c>
      <c r="D92" s="3893" t="s">
        <v>2262</v>
      </c>
      <c r="E92" s="3893" t="s">
        <v>2263</v>
      </c>
      <c r="F92" s="3893" t="s">
        <v>2184</v>
      </c>
      <c r="G92" s="3893" t="s">
        <v>24</v>
      </c>
      <c r="H92" s="3893" t="s">
        <v>24</v>
      </c>
      <c r="I92" s="3893" t="s">
        <v>789</v>
      </c>
    </row>
    <row r="93" spans="1:9" ht="11.25" customHeight="1">
      <c r="A93" s="3893" t="s">
        <v>2173</v>
      </c>
      <c r="B93" s="3893" t="s">
        <v>14</v>
      </c>
      <c r="C93" s="3893" t="s">
        <v>2285</v>
      </c>
      <c r="D93" s="3893" t="s">
        <v>2286</v>
      </c>
      <c r="E93" s="3893" t="s">
        <v>2287</v>
      </c>
      <c r="F93" s="3893" t="s">
        <v>2255</v>
      </c>
      <c r="G93" s="3893" t="s">
        <v>2288</v>
      </c>
      <c r="H93" s="3893" t="s">
        <v>24</v>
      </c>
      <c r="I93" s="3893" t="s">
        <v>789</v>
      </c>
    </row>
    <row r="94" spans="1:9" ht="11.25" customHeight="1">
      <c r="A94" s="3893" t="s">
        <v>2173</v>
      </c>
      <c r="B94" s="3893" t="s">
        <v>14</v>
      </c>
      <c r="C94" s="3893" t="s">
        <v>2301</v>
      </c>
      <c r="D94" s="3893" t="s">
        <v>2302</v>
      </c>
      <c r="E94" s="3893" t="s">
        <v>2303</v>
      </c>
      <c r="F94" s="3893" t="s">
        <v>2199</v>
      </c>
      <c r="G94" s="3893" t="s">
        <v>24</v>
      </c>
      <c r="H94" s="3893" t="s">
        <v>24</v>
      </c>
      <c r="I94" s="3893" t="s">
        <v>789</v>
      </c>
    </row>
    <row r="95" spans="1:9" ht="11.25" customHeight="1">
      <c r="A95" s="3893" t="s">
        <v>2173</v>
      </c>
      <c r="B95" s="3893" t="s">
        <v>14</v>
      </c>
      <c r="C95" s="3893" t="s">
        <v>2316</v>
      </c>
      <c r="D95" s="3893" t="s">
        <v>2317</v>
      </c>
      <c r="E95" s="3893" t="s">
        <v>2318</v>
      </c>
      <c r="F95" s="3893" t="s">
        <v>2246</v>
      </c>
      <c r="G95" s="3893" t="s">
        <v>2319</v>
      </c>
      <c r="H95" s="3893" t="s">
        <v>24</v>
      </c>
      <c r="I95" s="3893" t="s">
        <v>789</v>
      </c>
    </row>
    <row r="96" spans="1:9" ht="11.25" customHeight="1">
      <c r="A96" s="3893" t="s">
        <v>2173</v>
      </c>
      <c r="B96" s="3893" t="s">
        <v>14</v>
      </c>
      <c r="C96" s="3893" t="s">
        <v>2344</v>
      </c>
      <c r="D96" s="3893" t="s">
        <v>2345</v>
      </c>
      <c r="E96" s="3893" t="s">
        <v>2346</v>
      </c>
      <c r="F96" s="3893" t="s">
        <v>2184</v>
      </c>
      <c r="G96" s="3893" t="s">
        <v>24</v>
      </c>
      <c r="H96" s="3893" t="s">
        <v>24</v>
      </c>
      <c r="I96" s="3893" t="s">
        <v>789</v>
      </c>
    </row>
    <row r="97" spans="1:9" ht="11.25" customHeight="1">
      <c r="A97" s="3893" t="s">
        <v>2173</v>
      </c>
      <c r="B97" s="3893" t="s">
        <v>14</v>
      </c>
      <c r="C97" s="3893" t="s">
        <v>2373</v>
      </c>
      <c r="D97" s="3893" t="s">
        <v>2374</v>
      </c>
      <c r="E97" s="3893" t="s">
        <v>2375</v>
      </c>
      <c r="F97" s="3893" t="s">
        <v>49</v>
      </c>
      <c r="G97" s="3893" t="s">
        <v>2376</v>
      </c>
      <c r="H97" s="3893" t="s">
        <v>24</v>
      </c>
      <c r="I97" s="3893" t="s">
        <v>789</v>
      </c>
    </row>
    <row r="98" spans="1:9" ht="11.25" customHeight="1">
      <c r="A98" s="3893" t="s">
        <v>2173</v>
      </c>
      <c r="B98" s="3893" t="s">
        <v>14</v>
      </c>
      <c r="C98" s="3893" t="s">
        <v>2381</v>
      </c>
      <c r="D98" s="3893" t="s">
        <v>2382</v>
      </c>
      <c r="E98" s="3893" t="s">
        <v>2383</v>
      </c>
      <c r="F98" s="3893" t="s">
        <v>49</v>
      </c>
      <c r="G98" s="3893" t="s">
        <v>2384</v>
      </c>
      <c r="H98" s="3893" t="s">
        <v>24</v>
      </c>
      <c r="I98" s="3893" t="s">
        <v>789</v>
      </c>
    </row>
    <row r="99" spans="1:9" ht="11.25" customHeight="1">
      <c r="A99" s="3893" t="s">
        <v>2173</v>
      </c>
      <c r="B99" s="3893" t="s">
        <v>14</v>
      </c>
      <c r="C99" s="3893" t="s">
        <v>2413</v>
      </c>
      <c r="D99" s="3893" t="s">
        <v>2414</v>
      </c>
      <c r="E99" s="3893" t="s">
        <v>2415</v>
      </c>
      <c r="F99" s="3893" t="s">
        <v>2246</v>
      </c>
      <c r="G99" s="3893" t="s">
        <v>24</v>
      </c>
      <c r="H99" s="3893" t="s">
        <v>24</v>
      </c>
      <c r="I99" s="3893" t="s">
        <v>789</v>
      </c>
    </row>
    <row r="100" spans="1:9" ht="11.25" customHeight="1">
      <c r="A100" s="3893" t="s">
        <v>2173</v>
      </c>
      <c r="B100" s="3893" t="s">
        <v>14</v>
      </c>
      <c r="C100" s="3893" t="s">
        <v>2416</v>
      </c>
      <c r="D100" s="3893" t="s">
        <v>2417</v>
      </c>
      <c r="E100" s="3893" t="s">
        <v>2418</v>
      </c>
      <c r="F100" s="3893" t="s">
        <v>49</v>
      </c>
      <c r="G100" s="3893" t="s">
        <v>2419</v>
      </c>
      <c r="H100" s="3893" t="s">
        <v>24</v>
      </c>
      <c r="I100" s="3893" t="s">
        <v>789</v>
      </c>
    </row>
    <row r="101" spans="1:9" ht="11.25" customHeight="1">
      <c r="A101" s="3893" t="s">
        <v>2173</v>
      </c>
      <c r="B101" s="3893" t="s">
        <v>14</v>
      </c>
      <c r="C101" s="3893" t="s">
        <v>24</v>
      </c>
      <c r="D101" s="3893" t="s">
        <v>2441</v>
      </c>
      <c r="E101" s="3893" t="s">
        <v>2442</v>
      </c>
      <c r="F101" s="3893" t="s">
        <v>49</v>
      </c>
      <c r="G101" s="3893" t="s">
        <v>24</v>
      </c>
      <c r="H101" s="3893" t="s">
        <v>24</v>
      </c>
      <c r="I101" s="3893" t="s">
        <v>789</v>
      </c>
    </row>
    <row r="102" spans="1:9" ht="11.25" customHeight="1">
      <c r="A102" s="3893" t="s">
        <v>2173</v>
      </c>
      <c r="B102" s="3893" t="s">
        <v>14</v>
      </c>
      <c r="C102" s="3893" t="s">
        <v>2446</v>
      </c>
      <c r="D102" s="3893" t="s">
        <v>2447</v>
      </c>
      <c r="E102" s="3893" t="s">
        <v>2448</v>
      </c>
      <c r="F102" s="3893" t="s">
        <v>2449</v>
      </c>
      <c r="G102" s="3893" t="s">
        <v>24</v>
      </c>
      <c r="H102" s="3893" t="s">
        <v>24</v>
      </c>
      <c r="I102" s="3893" t="s">
        <v>789</v>
      </c>
    </row>
    <row r="103" spans="1:9" ht="11.25" customHeight="1">
      <c r="A103" s="3893" t="s">
        <v>2173</v>
      </c>
      <c r="B103" s="3893" t="s">
        <v>14</v>
      </c>
      <c r="C103" s="3893" t="s">
        <v>2450</v>
      </c>
      <c r="D103" s="3893" t="s">
        <v>2451</v>
      </c>
      <c r="E103" s="3893" t="s">
        <v>2448</v>
      </c>
      <c r="F103" s="3893" t="s">
        <v>2452</v>
      </c>
      <c r="G103" s="3893" t="s">
        <v>2453</v>
      </c>
      <c r="H103" s="3893" t="s">
        <v>24</v>
      </c>
      <c r="I103" s="3893" t="s">
        <v>789</v>
      </c>
    </row>
    <row r="104" spans="1:9" ht="11.25" customHeight="1">
      <c r="A104" s="3893" t="s">
        <v>2173</v>
      </c>
      <c r="B104" s="3893" t="s">
        <v>14</v>
      </c>
      <c r="C104" s="3893" t="s">
        <v>2454</v>
      </c>
      <c r="D104" s="3893" t="s">
        <v>2455</v>
      </c>
      <c r="E104" s="3893" t="s">
        <v>2456</v>
      </c>
      <c r="F104" s="3893" t="s">
        <v>2457</v>
      </c>
      <c r="G104" s="3893" t="s">
        <v>24</v>
      </c>
      <c r="H104" s="3893" t="s">
        <v>24</v>
      </c>
      <c r="I104" s="3893" t="s">
        <v>789</v>
      </c>
    </row>
    <row r="105" spans="1:9" ht="11.25" customHeight="1">
      <c r="A105" s="3893" t="s">
        <v>2173</v>
      </c>
      <c r="B105" s="3893" t="s">
        <v>14</v>
      </c>
      <c r="C105" s="3893" t="s">
        <v>2174</v>
      </c>
      <c r="D105" s="3893" t="s">
        <v>2175</v>
      </c>
      <c r="E105" s="3893" t="s">
        <v>2176</v>
      </c>
      <c r="F105" s="3893" t="s">
        <v>49</v>
      </c>
      <c r="G105" s="3893" t="s">
        <v>24</v>
      </c>
      <c r="H105" s="3893" t="s">
        <v>24</v>
      </c>
      <c r="I105" s="3893" t="s">
        <v>751</v>
      </c>
    </row>
    <row r="106" spans="1:9" ht="11.25" customHeight="1">
      <c r="A106" s="3893" t="s">
        <v>2173</v>
      </c>
      <c r="B106" s="3893" t="s">
        <v>14</v>
      </c>
      <c r="C106" s="3893" t="s">
        <v>2177</v>
      </c>
      <c r="D106" s="3893" t="s">
        <v>2178</v>
      </c>
      <c r="E106" s="3893" t="s">
        <v>2179</v>
      </c>
      <c r="F106" s="3893" t="s">
        <v>2180</v>
      </c>
      <c r="G106" s="3893" t="s">
        <v>24</v>
      </c>
      <c r="H106" s="3893" t="s">
        <v>24</v>
      </c>
      <c r="I106" s="3893" t="s">
        <v>751</v>
      </c>
    </row>
    <row r="107" spans="1:9" ht="11.25" customHeight="1">
      <c r="A107" s="3893" t="s">
        <v>2173</v>
      </c>
      <c r="B107" s="3893" t="s">
        <v>14</v>
      </c>
      <c r="C107" s="3893" t="s">
        <v>2458</v>
      </c>
      <c r="D107" s="3893" t="s">
        <v>2459</v>
      </c>
      <c r="E107" s="3893" t="s">
        <v>2460</v>
      </c>
      <c r="F107" s="3893" t="s">
        <v>49</v>
      </c>
      <c r="G107" s="3893" t="s">
        <v>24</v>
      </c>
      <c r="H107" s="3893" t="s">
        <v>24</v>
      </c>
      <c r="I107" s="3893" t="s">
        <v>751</v>
      </c>
    </row>
    <row r="108" spans="1:9" ht="11.25" customHeight="1">
      <c r="A108" s="3893" t="s">
        <v>2173</v>
      </c>
      <c r="B108" s="3893" t="s">
        <v>14</v>
      </c>
      <c r="C108" s="3893" t="s">
        <v>2193</v>
      </c>
      <c r="D108" s="3893" t="s">
        <v>2194</v>
      </c>
      <c r="E108" s="3893" t="s">
        <v>2195</v>
      </c>
      <c r="F108" s="3893" t="s">
        <v>49</v>
      </c>
      <c r="G108" s="3893" t="s">
        <v>24</v>
      </c>
      <c r="H108" s="3893" t="s">
        <v>24</v>
      </c>
      <c r="I108" s="3893" t="s">
        <v>751</v>
      </c>
    </row>
    <row r="109" spans="1:9" ht="11.25" customHeight="1">
      <c r="A109" s="3893" t="s">
        <v>2173</v>
      </c>
      <c r="B109" s="3893" t="s">
        <v>14</v>
      </c>
      <c r="C109" s="3893" t="s">
        <v>2461</v>
      </c>
      <c r="D109" s="3893" t="s">
        <v>2462</v>
      </c>
      <c r="E109" s="3893" t="s">
        <v>2463</v>
      </c>
      <c r="F109" s="3893" t="s">
        <v>2199</v>
      </c>
      <c r="G109" s="3893" t="s">
        <v>24</v>
      </c>
      <c r="H109" s="3893" t="s">
        <v>24</v>
      </c>
      <c r="I109" s="3893" t="s">
        <v>751</v>
      </c>
    </row>
    <row r="110" spans="1:9" ht="11.25" customHeight="1">
      <c r="A110" s="3893" t="s">
        <v>2173</v>
      </c>
      <c r="B110" s="3893" t="s">
        <v>14</v>
      </c>
      <c r="C110" s="3893" t="s">
        <v>2200</v>
      </c>
      <c r="D110" s="3893" t="s">
        <v>2201</v>
      </c>
      <c r="E110" s="3893" t="s">
        <v>2202</v>
      </c>
      <c r="F110" s="3893" t="s">
        <v>2203</v>
      </c>
      <c r="G110" s="3893" t="s">
        <v>24</v>
      </c>
      <c r="H110" s="3893" t="s">
        <v>24</v>
      </c>
      <c r="I110" s="3893" t="s">
        <v>751</v>
      </c>
    </row>
    <row r="111" spans="1:9" ht="11.25" customHeight="1">
      <c r="A111" s="3893" t="s">
        <v>2173</v>
      </c>
      <c r="B111" s="3893" t="s">
        <v>14</v>
      </c>
      <c r="C111" s="3893" t="s">
        <v>2207</v>
      </c>
      <c r="D111" s="3893" t="s">
        <v>2208</v>
      </c>
      <c r="E111" s="3893" t="s">
        <v>2209</v>
      </c>
      <c r="F111" s="3893" t="s">
        <v>2210</v>
      </c>
      <c r="G111" s="3893" t="s">
        <v>24</v>
      </c>
      <c r="H111" s="3893" t="s">
        <v>24</v>
      </c>
      <c r="I111" s="3893" t="s">
        <v>751</v>
      </c>
    </row>
    <row r="112" spans="1:9" ht="11.25" customHeight="1">
      <c r="A112" s="3893" t="s">
        <v>2173</v>
      </c>
      <c r="B112" s="3893" t="s">
        <v>14</v>
      </c>
      <c r="C112" s="3893" t="s">
        <v>2464</v>
      </c>
      <c r="D112" s="3893" t="s">
        <v>2465</v>
      </c>
      <c r="E112" s="3893" t="s">
        <v>2466</v>
      </c>
      <c r="F112" s="3893" t="s">
        <v>49</v>
      </c>
      <c r="G112" s="3893" t="s">
        <v>24</v>
      </c>
      <c r="H112" s="3893" t="s">
        <v>24</v>
      </c>
      <c r="I112" s="3893" t="s">
        <v>751</v>
      </c>
    </row>
    <row r="113" spans="1:9" ht="11.25" customHeight="1">
      <c r="A113" s="3893" t="s">
        <v>2173</v>
      </c>
      <c r="B113" s="3893" t="s">
        <v>14</v>
      </c>
      <c r="C113" s="3893" t="s">
        <v>2211</v>
      </c>
      <c r="D113" s="3893" t="s">
        <v>2212</v>
      </c>
      <c r="E113" s="3893" t="s">
        <v>2213</v>
      </c>
      <c r="F113" s="3893" t="s">
        <v>2214</v>
      </c>
      <c r="G113" s="3893" t="s">
        <v>24</v>
      </c>
      <c r="H113" s="3893" t="s">
        <v>24</v>
      </c>
      <c r="I113" s="3893" t="s">
        <v>751</v>
      </c>
    </row>
    <row r="114" spans="1:9" ht="11.25" customHeight="1">
      <c r="A114" s="3893" t="s">
        <v>2173</v>
      </c>
      <c r="B114" s="3893" t="s">
        <v>14</v>
      </c>
      <c r="C114" s="3893" t="s">
        <v>2215</v>
      </c>
      <c r="D114" s="3893" t="s">
        <v>2216</v>
      </c>
      <c r="E114" s="3893" t="s">
        <v>2217</v>
      </c>
      <c r="F114" s="3893" t="s">
        <v>2214</v>
      </c>
      <c r="G114" s="3893" t="s">
        <v>24</v>
      </c>
      <c r="H114" s="3893" t="s">
        <v>24</v>
      </c>
      <c r="I114" s="3893" t="s">
        <v>751</v>
      </c>
    </row>
    <row r="115" spans="1:9" ht="11.25" customHeight="1">
      <c r="A115" s="3893" t="s">
        <v>2173</v>
      </c>
      <c r="B115" s="3893" t="s">
        <v>14</v>
      </c>
      <c r="C115" s="3893" t="s">
        <v>2467</v>
      </c>
      <c r="D115" s="3893" t="s">
        <v>2468</v>
      </c>
      <c r="E115" s="3893" t="s">
        <v>2469</v>
      </c>
      <c r="F115" s="3893" t="s">
        <v>2221</v>
      </c>
      <c r="G115" s="3893" t="s">
        <v>2470</v>
      </c>
      <c r="H115" s="3893" t="s">
        <v>24</v>
      </c>
      <c r="I115" s="3893" t="s">
        <v>751</v>
      </c>
    </row>
    <row r="116" spans="1:9" ht="11.25" customHeight="1">
      <c r="A116" s="3893" t="s">
        <v>2173</v>
      </c>
      <c r="B116" s="3893" t="s">
        <v>14</v>
      </c>
      <c r="C116" s="3893" t="s">
        <v>2471</v>
      </c>
      <c r="D116" s="3893" t="s">
        <v>2472</v>
      </c>
      <c r="E116" s="3893" t="s">
        <v>2226</v>
      </c>
      <c r="F116" s="3893" t="s">
        <v>2473</v>
      </c>
      <c r="G116" s="3893" t="s">
        <v>24</v>
      </c>
      <c r="H116" s="3893" t="s">
        <v>24</v>
      </c>
      <c r="I116" s="3893" t="s">
        <v>751</v>
      </c>
    </row>
    <row r="117" spans="1:9" ht="11.25" customHeight="1">
      <c r="A117" s="3893" t="s">
        <v>2173</v>
      </c>
      <c r="B117" s="3893" t="s">
        <v>14</v>
      </c>
      <c r="C117" s="3893" t="s">
        <v>2218</v>
      </c>
      <c r="D117" s="3893" t="s">
        <v>2219</v>
      </c>
      <c r="E117" s="3893" t="s">
        <v>2220</v>
      </c>
      <c r="F117" s="3893" t="s">
        <v>2221</v>
      </c>
      <c r="G117" s="3893" t="s">
        <v>24</v>
      </c>
      <c r="H117" s="3893" t="s">
        <v>24</v>
      </c>
      <c r="I117" s="3893" t="s">
        <v>751</v>
      </c>
    </row>
    <row r="118" spans="1:9" ht="11.25" customHeight="1">
      <c r="A118" s="3893" t="s">
        <v>2173</v>
      </c>
      <c r="B118" s="3893" t="s">
        <v>14</v>
      </c>
      <c r="C118" s="3893" t="s">
        <v>2474</v>
      </c>
      <c r="D118" s="3893" t="s">
        <v>2475</v>
      </c>
      <c r="E118" s="3893" t="s">
        <v>2476</v>
      </c>
      <c r="F118" s="3893" t="s">
        <v>2300</v>
      </c>
      <c r="G118" s="3893" t="s">
        <v>24</v>
      </c>
      <c r="H118" s="3893" t="s">
        <v>24</v>
      </c>
      <c r="I118" s="3893" t="s">
        <v>751</v>
      </c>
    </row>
    <row r="119" spans="1:9" ht="11.25" customHeight="1">
      <c r="A119" s="3893" t="s">
        <v>2173</v>
      </c>
      <c r="B119" s="3893" t="s">
        <v>14</v>
      </c>
      <c r="C119" s="3893" t="s">
        <v>2477</v>
      </c>
      <c r="D119" s="3893" t="s">
        <v>2478</v>
      </c>
      <c r="E119" s="3893" t="s">
        <v>2479</v>
      </c>
      <c r="F119" s="3893" t="s">
        <v>2227</v>
      </c>
      <c r="G119" s="3893" t="s">
        <v>24</v>
      </c>
      <c r="H119" s="3893" t="s">
        <v>24</v>
      </c>
      <c r="I119" s="3893" t="s">
        <v>751</v>
      </c>
    </row>
    <row r="120" spans="1:9" ht="11.25" customHeight="1">
      <c r="A120" s="3893" t="s">
        <v>2173</v>
      </c>
      <c r="B120" s="3893" t="s">
        <v>14</v>
      </c>
      <c r="C120" s="3893" t="s">
        <v>2480</v>
      </c>
      <c r="D120" s="3893" t="s">
        <v>2223</v>
      </c>
      <c r="E120" s="3893" t="s">
        <v>2481</v>
      </c>
      <c r="F120" s="3893" t="s">
        <v>2246</v>
      </c>
      <c r="G120" s="3893" t="s">
        <v>24</v>
      </c>
      <c r="H120" s="3893" t="s">
        <v>24</v>
      </c>
      <c r="I120" s="3893" t="s">
        <v>751</v>
      </c>
    </row>
    <row r="121" spans="1:9" ht="11.25" customHeight="1">
      <c r="A121" s="3893" t="s">
        <v>2173</v>
      </c>
      <c r="B121" s="3893" t="s">
        <v>14</v>
      </c>
      <c r="C121" s="3893" t="s">
        <v>2222</v>
      </c>
      <c r="D121" s="3893" t="s">
        <v>2223</v>
      </c>
      <c r="E121" s="3893" t="s">
        <v>2224</v>
      </c>
      <c r="F121" s="3893" t="s">
        <v>2188</v>
      </c>
      <c r="G121" s="3893" t="s">
        <v>24</v>
      </c>
      <c r="H121" s="3893" t="s">
        <v>24</v>
      </c>
      <c r="I121" s="3893" t="s">
        <v>751</v>
      </c>
    </row>
    <row r="122" spans="1:9" ht="11.25" customHeight="1">
      <c r="A122" s="3893" t="s">
        <v>2173</v>
      </c>
      <c r="B122" s="3893" t="s">
        <v>14</v>
      </c>
      <c r="C122" s="3893" t="s">
        <v>2225</v>
      </c>
      <c r="D122" s="3893" t="s">
        <v>2223</v>
      </c>
      <c r="E122" s="3893" t="s">
        <v>2226</v>
      </c>
      <c r="F122" s="3893" t="s">
        <v>2227</v>
      </c>
      <c r="G122" s="3893" t="s">
        <v>24</v>
      </c>
      <c r="H122" s="3893" t="s">
        <v>24</v>
      </c>
      <c r="I122" s="3893" t="s">
        <v>751</v>
      </c>
    </row>
    <row r="123" spans="1:9" ht="11.25" customHeight="1">
      <c r="A123" s="3893" t="s">
        <v>2173</v>
      </c>
      <c r="B123" s="3893" t="s">
        <v>14</v>
      </c>
      <c r="C123" s="3893" t="s">
        <v>2482</v>
      </c>
      <c r="D123" s="3893" t="s">
        <v>2483</v>
      </c>
      <c r="E123" s="3893" t="s">
        <v>2484</v>
      </c>
      <c r="F123" s="3893" t="s">
        <v>2184</v>
      </c>
      <c r="G123" s="3893" t="s">
        <v>2485</v>
      </c>
      <c r="H123" s="3893" t="s">
        <v>24</v>
      </c>
      <c r="I123" s="3893" t="s">
        <v>751</v>
      </c>
    </row>
    <row r="124" spans="1:9" ht="11.25" customHeight="1">
      <c r="A124" s="3893" t="s">
        <v>2173</v>
      </c>
      <c r="B124" s="3893" t="s">
        <v>14</v>
      </c>
      <c r="C124" s="3893" t="s">
        <v>2228</v>
      </c>
      <c r="D124" s="3893" t="s">
        <v>2229</v>
      </c>
      <c r="E124" s="3893" t="s">
        <v>2230</v>
      </c>
      <c r="F124" s="3893" t="s">
        <v>2231</v>
      </c>
      <c r="G124" s="3893" t="s">
        <v>24</v>
      </c>
      <c r="H124" s="3893" t="s">
        <v>24</v>
      </c>
      <c r="I124" s="3893" t="s">
        <v>751</v>
      </c>
    </row>
    <row r="125" spans="1:9" ht="11.25" customHeight="1">
      <c r="A125" s="3893" t="s">
        <v>2173</v>
      </c>
      <c r="B125" s="3893" t="s">
        <v>14</v>
      </c>
      <c r="C125" s="3893" t="s">
        <v>2232</v>
      </c>
      <c r="D125" s="3893" t="s">
        <v>2233</v>
      </c>
      <c r="E125" s="3893" t="s">
        <v>2234</v>
      </c>
      <c r="F125" s="3893" t="s">
        <v>2210</v>
      </c>
      <c r="G125" s="3893" t="s">
        <v>24</v>
      </c>
      <c r="H125" s="3893" t="s">
        <v>24</v>
      </c>
      <c r="I125" s="3893" t="s">
        <v>751</v>
      </c>
    </row>
    <row r="126" spans="1:9" ht="11.25" customHeight="1">
      <c r="A126" s="3893" t="s">
        <v>2173</v>
      </c>
      <c r="B126" s="3893" t="s">
        <v>14</v>
      </c>
      <c r="C126" s="3893" t="s">
        <v>2238</v>
      </c>
      <c r="D126" s="3893" t="s">
        <v>2239</v>
      </c>
      <c r="E126" s="3893" t="s">
        <v>2240</v>
      </c>
      <c r="F126" s="3893" t="s">
        <v>2241</v>
      </c>
      <c r="G126" s="3893" t="s">
        <v>2242</v>
      </c>
      <c r="H126" s="3893" t="s">
        <v>24</v>
      </c>
      <c r="I126" s="3893" t="s">
        <v>751</v>
      </c>
    </row>
    <row r="127" spans="1:9" ht="11.25" customHeight="1">
      <c r="A127" s="3893" t="s">
        <v>2173</v>
      </c>
      <c r="B127" s="3893" t="s">
        <v>14</v>
      </c>
      <c r="C127" s="3893" t="s">
        <v>2248</v>
      </c>
      <c r="D127" s="3893" t="s">
        <v>2249</v>
      </c>
      <c r="E127" s="3893" t="s">
        <v>2250</v>
      </c>
      <c r="F127" s="3893" t="s">
        <v>2192</v>
      </c>
      <c r="G127" s="3893" t="s">
        <v>2251</v>
      </c>
      <c r="H127" s="3893" t="s">
        <v>24</v>
      </c>
      <c r="I127" s="3893" t="s">
        <v>751</v>
      </c>
    </row>
    <row r="128" spans="1:9" ht="11.25" customHeight="1">
      <c r="A128" s="3893" t="s">
        <v>2173</v>
      </c>
      <c r="B128" s="3893" t="s">
        <v>14</v>
      </c>
      <c r="C128" s="3893" t="s">
        <v>2252</v>
      </c>
      <c r="D128" s="3893" t="s">
        <v>2253</v>
      </c>
      <c r="E128" s="3893" t="s">
        <v>2254</v>
      </c>
      <c r="F128" s="3893" t="s">
        <v>2255</v>
      </c>
      <c r="G128" s="3893" t="s">
        <v>2256</v>
      </c>
      <c r="H128" s="3893" t="s">
        <v>24</v>
      </c>
      <c r="I128" s="3893" t="s">
        <v>751</v>
      </c>
    </row>
    <row r="129" spans="1:9" ht="11.25" customHeight="1">
      <c r="A129" s="3893" t="s">
        <v>2173</v>
      </c>
      <c r="B129" s="3893" t="s">
        <v>14</v>
      </c>
      <c r="C129" s="3893" t="s">
        <v>2257</v>
      </c>
      <c r="D129" s="3893" t="s">
        <v>2258</v>
      </c>
      <c r="E129" s="3893" t="s">
        <v>2259</v>
      </c>
      <c r="F129" s="3893" t="s">
        <v>2260</v>
      </c>
      <c r="G129" s="3893" t="s">
        <v>24</v>
      </c>
      <c r="H129" s="3893" t="s">
        <v>24</v>
      </c>
      <c r="I129" s="3893" t="s">
        <v>751</v>
      </c>
    </row>
    <row r="130" spans="1:9" ht="11.25" customHeight="1">
      <c r="A130" s="3893" t="s">
        <v>2173</v>
      </c>
      <c r="B130" s="3893" t="s">
        <v>14</v>
      </c>
      <c r="C130" s="3893" t="s">
        <v>2264</v>
      </c>
      <c r="D130" s="3893" t="s">
        <v>2262</v>
      </c>
      <c r="E130" s="3893" t="s">
        <v>2265</v>
      </c>
      <c r="F130" s="3893" t="s">
        <v>2246</v>
      </c>
      <c r="G130" s="3893" t="s">
        <v>2266</v>
      </c>
      <c r="H130" s="3893" t="s">
        <v>24</v>
      </c>
      <c r="I130" s="3893" t="s">
        <v>751</v>
      </c>
    </row>
    <row r="131" spans="1:9" ht="11.25" customHeight="1">
      <c r="A131" s="3893" t="s">
        <v>2173</v>
      </c>
      <c r="B131" s="3893" t="s">
        <v>14</v>
      </c>
      <c r="C131" s="3893" t="s">
        <v>2267</v>
      </c>
      <c r="D131" s="3893" t="s">
        <v>2268</v>
      </c>
      <c r="E131" s="3893" t="s">
        <v>2269</v>
      </c>
      <c r="F131" s="3893" t="s">
        <v>2246</v>
      </c>
      <c r="G131" s="3893" t="s">
        <v>2270</v>
      </c>
      <c r="H131" s="3893" t="s">
        <v>24</v>
      </c>
      <c r="I131" s="3893" t="s">
        <v>751</v>
      </c>
    </row>
    <row r="132" spans="1:9" ht="11.25" customHeight="1">
      <c r="A132" s="3893" t="s">
        <v>2173</v>
      </c>
      <c r="B132" s="3893" t="s">
        <v>14</v>
      </c>
      <c r="C132" s="3893" t="s">
        <v>2274</v>
      </c>
      <c r="D132" s="3893" t="s">
        <v>2275</v>
      </c>
      <c r="E132" s="3893" t="s">
        <v>2276</v>
      </c>
      <c r="F132" s="3893" t="s">
        <v>2255</v>
      </c>
      <c r="G132" s="3893" t="s">
        <v>24</v>
      </c>
      <c r="H132" s="3893" t="s">
        <v>24</v>
      </c>
      <c r="I132" s="3893" t="s">
        <v>751</v>
      </c>
    </row>
    <row r="133" spans="1:9" ht="11.25" customHeight="1">
      <c r="A133" s="3893" t="s">
        <v>2173</v>
      </c>
      <c r="B133" s="3893" t="s">
        <v>14</v>
      </c>
      <c r="C133" s="3893" t="s">
        <v>2277</v>
      </c>
      <c r="D133" s="3893" t="s">
        <v>2278</v>
      </c>
      <c r="E133" s="3893" t="s">
        <v>2279</v>
      </c>
      <c r="F133" s="3893" t="s">
        <v>2280</v>
      </c>
      <c r="G133" s="3893" t="s">
        <v>24</v>
      </c>
      <c r="H133" s="3893" t="s">
        <v>24</v>
      </c>
      <c r="I133" s="3893" t="s">
        <v>751</v>
      </c>
    </row>
    <row r="134" spans="1:9" ht="11.25" customHeight="1">
      <c r="A134" s="3893" t="s">
        <v>2173</v>
      </c>
      <c r="B134" s="3893" t="s">
        <v>14</v>
      </c>
      <c r="C134" s="3893" t="s">
        <v>2281</v>
      </c>
      <c r="D134" s="3893" t="s">
        <v>2282</v>
      </c>
      <c r="E134" s="3893" t="s">
        <v>2283</v>
      </c>
      <c r="F134" s="3893" t="s">
        <v>2214</v>
      </c>
      <c r="G134" s="3893" t="s">
        <v>2284</v>
      </c>
      <c r="H134" s="3893" t="s">
        <v>24</v>
      </c>
      <c r="I134" s="3893" t="s">
        <v>751</v>
      </c>
    </row>
    <row r="135" spans="1:9" ht="11.25" customHeight="1">
      <c r="A135" s="3893" t="s">
        <v>2173</v>
      </c>
      <c r="B135" s="3893" t="s">
        <v>14</v>
      </c>
      <c r="C135" s="3893" t="s">
        <v>2285</v>
      </c>
      <c r="D135" s="3893" t="s">
        <v>2286</v>
      </c>
      <c r="E135" s="3893" t="s">
        <v>2287</v>
      </c>
      <c r="F135" s="3893" t="s">
        <v>2255</v>
      </c>
      <c r="G135" s="3893" t="s">
        <v>2288</v>
      </c>
      <c r="H135" s="3893" t="s">
        <v>24</v>
      </c>
      <c r="I135" s="3893" t="s">
        <v>751</v>
      </c>
    </row>
    <row r="136" spans="1:9" ht="11.25" customHeight="1">
      <c r="A136" s="3893" t="s">
        <v>2173</v>
      </c>
      <c r="B136" s="3893" t="s">
        <v>14</v>
      </c>
      <c r="C136" s="3893" t="s">
        <v>2289</v>
      </c>
      <c r="D136" s="3893" t="s">
        <v>2290</v>
      </c>
      <c r="E136" s="3893" t="s">
        <v>2291</v>
      </c>
      <c r="F136" s="3893" t="s">
        <v>2214</v>
      </c>
      <c r="G136" s="3893" t="s">
        <v>2292</v>
      </c>
      <c r="H136" s="3893" t="s">
        <v>24</v>
      </c>
      <c r="I136" s="3893" t="s">
        <v>751</v>
      </c>
    </row>
    <row r="137" spans="1:9" ht="11.25" customHeight="1">
      <c r="A137" s="3893" t="s">
        <v>2173</v>
      </c>
      <c r="B137" s="3893" t="s">
        <v>14</v>
      </c>
      <c r="C137" s="3893" t="s">
        <v>2293</v>
      </c>
      <c r="D137" s="3893" t="s">
        <v>2294</v>
      </c>
      <c r="E137" s="3893" t="s">
        <v>2295</v>
      </c>
      <c r="F137" s="3893" t="s">
        <v>2192</v>
      </c>
      <c r="G137" s="3893" t="s">
        <v>2296</v>
      </c>
      <c r="H137" s="3893" t="s">
        <v>24</v>
      </c>
      <c r="I137" s="3893" t="s">
        <v>751</v>
      </c>
    </row>
    <row r="138" spans="1:9" ht="11.25" customHeight="1">
      <c r="A138" s="3893" t="s">
        <v>2173</v>
      </c>
      <c r="B138" s="3893" t="s">
        <v>14</v>
      </c>
      <c r="C138" s="3893" t="s">
        <v>2297</v>
      </c>
      <c r="D138" s="3893" t="s">
        <v>2298</v>
      </c>
      <c r="E138" s="3893" t="s">
        <v>2299</v>
      </c>
      <c r="F138" s="3893" t="s">
        <v>2300</v>
      </c>
      <c r="G138" s="3893" t="s">
        <v>24</v>
      </c>
      <c r="H138" s="3893" t="s">
        <v>24</v>
      </c>
      <c r="I138" s="3893" t="s">
        <v>751</v>
      </c>
    </row>
    <row r="139" spans="1:9" ht="11.25" customHeight="1">
      <c r="A139" s="3893" t="s">
        <v>2173</v>
      </c>
      <c r="B139" s="3893" t="s">
        <v>14</v>
      </c>
      <c r="C139" s="3893" t="s">
        <v>2301</v>
      </c>
      <c r="D139" s="3893" t="s">
        <v>2302</v>
      </c>
      <c r="E139" s="3893" t="s">
        <v>2303</v>
      </c>
      <c r="F139" s="3893" t="s">
        <v>2199</v>
      </c>
      <c r="G139" s="3893" t="s">
        <v>24</v>
      </c>
      <c r="H139" s="3893" t="s">
        <v>24</v>
      </c>
      <c r="I139" s="3893" t="s">
        <v>751</v>
      </c>
    </row>
    <row r="140" spans="1:9" ht="11.25" customHeight="1">
      <c r="A140" s="3893" t="s">
        <v>2173</v>
      </c>
      <c r="B140" s="3893" t="s">
        <v>14</v>
      </c>
      <c r="C140" s="3893" t="s">
        <v>2307</v>
      </c>
      <c r="D140" s="3893" t="s">
        <v>2308</v>
      </c>
      <c r="E140" s="3893" t="s">
        <v>2309</v>
      </c>
      <c r="F140" s="3893" t="s">
        <v>2210</v>
      </c>
      <c r="G140" s="3893" t="s">
        <v>24</v>
      </c>
      <c r="H140" s="3893" t="s">
        <v>24</v>
      </c>
      <c r="I140" s="3893" t="s">
        <v>751</v>
      </c>
    </row>
    <row r="141" spans="1:9" ht="11.25" customHeight="1">
      <c r="A141" s="3893" t="s">
        <v>2173</v>
      </c>
      <c r="B141" s="3893" t="s">
        <v>14</v>
      </c>
      <c r="C141" s="3893" t="s">
        <v>2313</v>
      </c>
      <c r="D141" s="3893" t="s">
        <v>2314</v>
      </c>
      <c r="E141" s="3893" t="s">
        <v>2202</v>
      </c>
      <c r="F141" s="3893" t="s">
        <v>2315</v>
      </c>
      <c r="G141" s="3893" t="s">
        <v>24</v>
      </c>
      <c r="H141" s="3893" t="s">
        <v>24</v>
      </c>
      <c r="I141" s="3893" t="s">
        <v>751</v>
      </c>
    </row>
    <row r="142" spans="1:9" ht="11.25" customHeight="1">
      <c r="A142" s="3893" t="s">
        <v>2173</v>
      </c>
      <c r="B142" s="3893" t="s">
        <v>14</v>
      </c>
      <c r="C142" s="3893" t="s">
        <v>2316</v>
      </c>
      <c r="D142" s="3893" t="s">
        <v>2317</v>
      </c>
      <c r="E142" s="3893" t="s">
        <v>2318</v>
      </c>
      <c r="F142" s="3893" t="s">
        <v>2246</v>
      </c>
      <c r="G142" s="3893" t="s">
        <v>2319</v>
      </c>
      <c r="H142" s="3893" t="s">
        <v>24</v>
      </c>
      <c r="I142" s="3893" t="s">
        <v>751</v>
      </c>
    </row>
    <row r="143" spans="1:9" ht="11.25" customHeight="1">
      <c r="A143" s="3893" t="s">
        <v>2173</v>
      </c>
      <c r="B143" s="3893" t="s">
        <v>14</v>
      </c>
      <c r="C143" s="3893" t="s">
        <v>2486</v>
      </c>
      <c r="D143" s="3893" t="s">
        <v>2487</v>
      </c>
      <c r="E143" s="3893" t="s">
        <v>2488</v>
      </c>
      <c r="F143" s="3893" t="s">
        <v>2380</v>
      </c>
      <c r="G143" s="3893" t="s">
        <v>24</v>
      </c>
      <c r="H143" s="3893" t="s">
        <v>24</v>
      </c>
      <c r="I143" s="3893" t="s">
        <v>751</v>
      </c>
    </row>
    <row r="144" spans="1:9" ht="11.25" customHeight="1">
      <c r="A144" s="3893" t="s">
        <v>2173</v>
      </c>
      <c r="B144" s="3893" t="s">
        <v>14</v>
      </c>
      <c r="C144" s="3893" t="s">
        <v>2320</v>
      </c>
      <c r="D144" s="3893" t="s">
        <v>2321</v>
      </c>
      <c r="E144" s="3893" t="s">
        <v>2322</v>
      </c>
      <c r="F144" s="3893" t="s">
        <v>2231</v>
      </c>
      <c r="G144" s="3893" t="s">
        <v>2323</v>
      </c>
      <c r="H144" s="3893" t="s">
        <v>24</v>
      </c>
      <c r="I144" s="3893" t="s">
        <v>751</v>
      </c>
    </row>
    <row r="145" spans="1:9" ht="11.25" customHeight="1">
      <c r="A145" s="3893" t="s">
        <v>2173</v>
      </c>
      <c r="B145" s="3893" t="s">
        <v>14</v>
      </c>
      <c r="C145" s="3893" t="s">
        <v>2489</v>
      </c>
      <c r="D145" s="3893" t="s">
        <v>2490</v>
      </c>
      <c r="E145" s="3893" t="s">
        <v>2491</v>
      </c>
      <c r="F145" s="3893" t="s">
        <v>2280</v>
      </c>
      <c r="G145" s="3893" t="s">
        <v>2492</v>
      </c>
      <c r="H145" s="3893" t="s">
        <v>24</v>
      </c>
      <c r="I145" s="3893" t="s">
        <v>751</v>
      </c>
    </row>
    <row r="146" spans="1:9" ht="11.25" customHeight="1">
      <c r="A146" s="3893" t="s">
        <v>2173</v>
      </c>
      <c r="B146" s="3893" t="s">
        <v>14</v>
      </c>
      <c r="C146" s="3893" t="s">
        <v>2493</v>
      </c>
      <c r="D146" s="3893" t="s">
        <v>2494</v>
      </c>
      <c r="E146" s="3893" t="s">
        <v>2495</v>
      </c>
      <c r="F146" s="3893" t="s">
        <v>2231</v>
      </c>
      <c r="G146" s="3893" t="s">
        <v>24</v>
      </c>
      <c r="H146" s="3893" t="s">
        <v>24</v>
      </c>
      <c r="I146" s="3893" t="s">
        <v>751</v>
      </c>
    </row>
    <row r="147" spans="1:9" ht="11.25" customHeight="1">
      <c r="A147" s="3893" t="s">
        <v>2173</v>
      </c>
      <c r="B147" s="3893" t="s">
        <v>14</v>
      </c>
      <c r="C147" s="3893" t="s">
        <v>2496</v>
      </c>
      <c r="D147" s="3893" t="s">
        <v>2497</v>
      </c>
      <c r="E147" s="3893" t="s">
        <v>2498</v>
      </c>
      <c r="F147" s="3893" t="s">
        <v>2380</v>
      </c>
      <c r="G147" s="3893" t="s">
        <v>24</v>
      </c>
      <c r="H147" s="3893" t="s">
        <v>24</v>
      </c>
      <c r="I147" s="3893" t="s">
        <v>751</v>
      </c>
    </row>
    <row r="148" spans="1:9" ht="11.25" customHeight="1">
      <c r="A148" s="3893" t="s">
        <v>2173</v>
      </c>
      <c r="B148" s="3893" t="s">
        <v>14</v>
      </c>
      <c r="C148" s="3893" t="s">
        <v>2499</v>
      </c>
      <c r="D148" s="3893" t="s">
        <v>2500</v>
      </c>
      <c r="E148" s="3893" t="s">
        <v>2501</v>
      </c>
      <c r="F148" s="3893" t="s">
        <v>49</v>
      </c>
      <c r="G148" s="3893" t="s">
        <v>24</v>
      </c>
      <c r="H148" s="3893" t="s">
        <v>24</v>
      </c>
      <c r="I148" s="3893" t="s">
        <v>751</v>
      </c>
    </row>
    <row r="149" spans="1:9" ht="11.25" customHeight="1">
      <c r="A149" s="3893" t="s">
        <v>2173</v>
      </c>
      <c r="B149" s="3893" t="s">
        <v>14</v>
      </c>
      <c r="C149" s="3893" t="s">
        <v>2334</v>
      </c>
      <c r="D149" s="3893" t="s">
        <v>2335</v>
      </c>
      <c r="E149" s="3893" t="s">
        <v>2336</v>
      </c>
      <c r="F149" s="3893" t="s">
        <v>2214</v>
      </c>
      <c r="G149" s="3893" t="s">
        <v>24</v>
      </c>
      <c r="H149" s="3893" t="s">
        <v>24</v>
      </c>
      <c r="I149" s="3893" t="s">
        <v>751</v>
      </c>
    </row>
    <row r="150" spans="1:9" ht="11.25" customHeight="1">
      <c r="A150" s="3893" t="s">
        <v>2173</v>
      </c>
      <c r="B150" s="3893" t="s">
        <v>14</v>
      </c>
      <c r="C150" s="3893" t="s">
        <v>2337</v>
      </c>
      <c r="D150" s="3893" t="s">
        <v>2338</v>
      </c>
      <c r="E150" s="3893" t="s">
        <v>2339</v>
      </c>
      <c r="F150" s="3893" t="s">
        <v>2327</v>
      </c>
      <c r="G150" s="3893" t="s">
        <v>2340</v>
      </c>
      <c r="H150" s="3893" t="s">
        <v>24</v>
      </c>
      <c r="I150" s="3893" t="s">
        <v>751</v>
      </c>
    </row>
    <row r="151" spans="1:9" ht="11.25" customHeight="1">
      <c r="A151" s="3893" t="s">
        <v>2173</v>
      </c>
      <c r="B151" s="3893" t="s">
        <v>14</v>
      </c>
      <c r="C151" s="3893" t="s">
        <v>2341</v>
      </c>
      <c r="D151" s="3893" t="s">
        <v>2342</v>
      </c>
      <c r="E151" s="3893" t="s">
        <v>2343</v>
      </c>
      <c r="F151" s="3893" t="s">
        <v>2327</v>
      </c>
      <c r="G151" s="3893" t="s">
        <v>24</v>
      </c>
      <c r="H151" s="3893" t="s">
        <v>24</v>
      </c>
      <c r="I151" s="3893" t="s">
        <v>751</v>
      </c>
    </row>
    <row r="152" spans="1:9" ht="11.25" customHeight="1">
      <c r="A152" s="3893" t="s">
        <v>2173</v>
      </c>
      <c r="B152" s="3893" t="s">
        <v>14</v>
      </c>
      <c r="C152" s="3893" t="s">
        <v>2356</v>
      </c>
      <c r="D152" s="3893" t="s">
        <v>2357</v>
      </c>
      <c r="E152" s="3893" t="s">
        <v>2358</v>
      </c>
      <c r="F152" s="3893" t="s">
        <v>2227</v>
      </c>
      <c r="G152" s="3893" t="s">
        <v>2359</v>
      </c>
      <c r="H152" s="3893" t="s">
        <v>24</v>
      </c>
      <c r="I152" s="3893" t="s">
        <v>751</v>
      </c>
    </row>
    <row r="153" spans="1:9" ht="11.25" customHeight="1">
      <c r="A153" s="3893" t="s">
        <v>2173</v>
      </c>
      <c r="B153" s="3893" t="s">
        <v>14</v>
      </c>
      <c r="C153" s="3893" t="s">
        <v>2360</v>
      </c>
      <c r="D153" s="3893" t="s">
        <v>2361</v>
      </c>
      <c r="E153" s="3893" t="s">
        <v>2362</v>
      </c>
      <c r="F153" s="3893" t="s">
        <v>2227</v>
      </c>
      <c r="G153" s="3893" t="s">
        <v>24</v>
      </c>
      <c r="H153" s="3893" t="s">
        <v>24</v>
      </c>
      <c r="I153" s="3893" t="s">
        <v>751</v>
      </c>
    </row>
    <row r="154" spans="1:9" ht="11.25" customHeight="1">
      <c r="A154" s="3893" t="s">
        <v>2173</v>
      </c>
      <c r="B154" s="3893" t="s">
        <v>14</v>
      </c>
      <c r="C154" s="3893" t="s">
        <v>2502</v>
      </c>
      <c r="D154" s="3893" t="s">
        <v>2503</v>
      </c>
      <c r="E154" s="3893" t="s">
        <v>2504</v>
      </c>
      <c r="F154" s="3893" t="s">
        <v>2246</v>
      </c>
      <c r="G154" s="3893" t="s">
        <v>24</v>
      </c>
      <c r="H154" s="3893" t="s">
        <v>24</v>
      </c>
      <c r="I154" s="3893" t="s">
        <v>751</v>
      </c>
    </row>
    <row r="155" spans="1:9" ht="11.25" customHeight="1">
      <c r="A155" s="3893" t="s">
        <v>2173</v>
      </c>
      <c r="B155" s="3893" t="s">
        <v>14</v>
      </c>
      <c r="C155" s="3893" t="s">
        <v>2363</v>
      </c>
      <c r="D155" s="3893" t="s">
        <v>2364</v>
      </c>
      <c r="E155" s="3893" t="s">
        <v>2365</v>
      </c>
      <c r="F155" s="3893" t="s">
        <v>2366</v>
      </c>
      <c r="G155" s="3893" t="s">
        <v>24</v>
      </c>
      <c r="H155" s="3893" t="s">
        <v>24</v>
      </c>
      <c r="I155" s="3893" t="s">
        <v>751</v>
      </c>
    </row>
    <row r="156" spans="1:9" ht="11.25" customHeight="1">
      <c r="A156" s="3893" t="s">
        <v>2173</v>
      </c>
      <c r="B156" s="3893" t="s">
        <v>14</v>
      </c>
      <c r="C156" s="3893" t="s">
        <v>2505</v>
      </c>
      <c r="D156" s="3893" t="s">
        <v>2506</v>
      </c>
      <c r="E156" s="3893" t="s">
        <v>2507</v>
      </c>
      <c r="F156" s="3893" t="s">
        <v>2246</v>
      </c>
      <c r="G156" s="3893" t="s">
        <v>24</v>
      </c>
      <c r="H156" s="3893" t="s">
        <v>24</v>
      </c>
      <c r="I156" s="3893" t="s">
        <v>751</v>
      </c>
    </row>
    <row r="157" spans="1:9" ht="11.25" customHeight="1">
      <c r="A157" s="3893" t="s">
        <v>2173</v>
      </c>
      <c r="B157" s="3893" t="s">
        <v>14</v>
      </c>
      <c r="C157" s="3893" t="s">
        <v>2508</v>
      </c>
      <c r="D157" s="3893" t="s">
        <v>2509</v>
      </c>
      <c r="E157" s="3893" t="s">
        <v>2510</v>
      </c>
      <c r="F157" s="3893" t="s">
        <v>2380</v>
      </c>
      <c r="G157" s="3893" t="s">
        <v>24</v>
      </c>
      <c r="H157" s="3893" t="s">
        <v>24</v>
      </c>
      <c r="I157" s="3893" t="s">
        <v>751</v>
      </c>
    </row>
    <row r="158" spans="1:9" ht="11.25" customHeight="1">
      <c r="A158" s="3893" t="s">
        <v>2173</v>
      </c>
      <c r="B158" s="3893" t="s">
        <v>14</v>
      </c>
      <c r="C158" s="3893" t="s">
        <v>2370</v>
      </c>
      <c r="D158" s="3893" t="s">
        <v>2371</v>
      </c>
      <c r="E158" s="3893" t="s">
        <v>2372</v>
      </c>
      <c r="F158" s="3893" t="s">
        <v>49</v>
      </c>
      <c r="G158" s="3893" t="s">
        <v>24</v>
      </c>
      <c r="H158" s="3893" t="s">
        <v>24</v>
      </c>
      <c r="I158" s="3893" t="s">
        <v>751</v>
      </c>
    </row>
    <row r="159" spans="1:9" ht="11.25" customHeight="1">
      <c r="A159" s="3893" t="s">
        <v>2173</v>
      </c>
      <c r="B159" s="3893" t="s">
        <v>14</v>
      </c>
      <c r="C159" s="3893" t="s">
        <v>2511</v>
      </c>
      <c r="D159" s="3893" t="s">
        <v>2512</v>
      </c>
      <c r="E159" s="3893" t="s">
        <v>2513</v>
      </c>
      <c r="F159" s="3893" t="s">
        <v>2184</v>
      </c>
      <c r="G159" s="3893" t="s">
        <v>2514</v>
      </c>
      <c r="H159" s="3893" t="s">
        <v>24</v>
      </c>
      <c r="I159" s="3893" t="s">
        <v>751</v>
      </c>
    </row>
    <row r="160" spans="1:9" ht="11.25" customHeight="1">
      <c r="A160" s="3893" t="s">
        <v>2173</v>
      </c>
      <c r="B160" s="3893" t="s">
        <v>14</v>
      </c>
      <c r="C160" s="3893" t="s">
        <v>2373</v>
      </c>
      <c r="D160" s="3893" t="s">
        <v>2374</v>
      </c>
      <c r="E160" s="3893" t="s">
        <v>2375</v>
      </c>
      <c r="F160" s="3893" t="s">
        <v>49</v>
      </c>
      <c r="G160" s="3893" t="s">
        <v>2376</v>
      </c>
      <c r="H160" s="3893" t="s">
        <v>24</v>
      </c>
      <c r="I160" s="3893" t="s">
        <v>751</v>
      </c>
    </row>
    <row r="161" spans="1:9" ht="11.25" customHeight="1">
      <c r="A161" s="3893" t="s">
        <v>2173</v>
      </c>
      <c r="B161" s="3893" t="s">
        <v>14</v>
      </c>
      <c r="C161" s="3893" t="s">
        <v>2381</v>
      </c>
      <c r="D161" s="3893" t="s">
        <v>2382</v>
      </c>
      <c r="E161" s="3893" t="s">
        <v>2383</v>
      </c>
      <c r="F161" s="3893" t="s">
        <v>49</v>
      </c>
      <c r="G161" s="3893" t="s">
        <v>2384</v>
      </c>
      <c r="H161" s="3893" t="s">
        <v>24</v>
      </c>
      <c r="I161" s="3893" t="s">
        <v>751</v>
      </c>
    </row>
    <row r="162" spans="1:9" ht="11.25" customHeight="1">
      <c r="A162" s="3893" t="s">
        <v>2173</v>
      </c>
      <c r="B162" s="3893" t="s">
        <v>14</v>
      </c>
      <c r="C162" s="3893" t="s">
        <v>2515</v>
      </c>
      <c r="D162" s="3893" t="s">
        <v>2516</v>
      </c>
      <c r="E162" s="3893" t="s">
        <v>2517</v>
      </c>
      <c r="F162" s="3893" t="s">
        <v>2192</v>
      </c>
      <c r="G162" s="3893" t="s">
        <v>24</v>
      </c>
      <c r="H162" s="3893" t="s">
        <v>24</v>
      </c>
      <c r="I162" s="3893" t="s">
        <v>751</v>
      </c>
    </row>
    <row r="163" spans="1:9" ht="11.25" customHeight="1">
      <c r="A163" s="3893" t="s">
        <v>2173</v>
      </c>
      <c r="B163" s="3893" t="s">
        <v>14</v>
      </c>
      <c r="C163" s="3893" t="s">
        <v>2518</v>
      </c>
      <c r="D163" s="3893" t="s">
        <v>2519</v>
      </c>
      <c r="E163" s="3893" t="s">
        <v>2520</v>
      </c>
      <c r="F163" s="3893" t="s">
        <v>49</v>
      </c>
      <c r="G163" s="3893" t="s">
        <v>24</v>
      </c>
      <c r="H163" s="3893" t="s">
        <v>24</v>
      </c>
      <c r="I163" s="3893" t="s">
        <v>751</v>
      </c>
    </row>
    <row r="164" spans="1:9" ht="11.25" customHeight="1">
      <c r="A164" s="3893" t="s">
        <v>2173</v>
      </c>
      <c r="B164" s="3893" t="s">
        <v>14</v>
      </c>
      <c r="C164" s="3893" t="s">
        <v>2399</v>
      </c>
      <c r="D164" s="3893" t="s">
        <v>2400</v>
      </c>
      <c r="E164" s="3893" t="s">
        <v>2401</v>
      </c>
      <c r="F164" s="3893" t="s">
        <v>2210</v>
      </c>
      <c r="G164" s="3893" t="s">
        <v>24</v>
      </c>
      <c r="H164" s="3893" t="s">
        <v>24</v>
      </c>
      <c r="I164" s="3893" t="s">
        <v>751</v>
      </c>
    </row>
    <row r="165" spans="1:9" ht="11.25" customHeight="1">
      <c r="A165" s="3893" t="s">
        <v>2173</v>
      </c>
      <c r="B165" s="3893" t="s">
        <v>14</v>
      </c>
      <c r="C165" s="3893" t="s">
        <v>2402</v>
      </c>
      <c r="D165" s="3893" t="s">
        <v>2403</v>
      </c>
      <c r="E165" s="3893" t="s">
        <v>2404</v>
      </c>
      <c r="F165" s="3893" t="s">
        <v>49</v>
      </c>
      <c r="G165" s="3893" t="s">
        <v>2405</v>
      </c>
      <c r="H165" s="3893" t="s">
        <v>24</v>
      </c>
      <c r="I165" s="3893" t="s">
        <v>751</v>
      </c>
    </row>
    <row r="166" spans="1:9" ht="11.25" customHeight="1">
      <c r="A166" s="3893" t="s">
        <v>2173</v>
      </c>
      <c r="B166" s="3893" t="s">
        <v>14</v>
      </c>
      <c r="C166" s="3893" t="s">
        <v>2521</v>
      </c>
      <c r="D166" s="3893" t="s">
        <v>2522</v>
      </c>
      <c r="E166" s="3893" t="s">
        <v>2523</v>
      </c>
      <c r="F166" s="3893" t="s">
        <v>49</v>
      </c>
      <c r="G166" s="3893" t="s">
        <v>2524</v>
      </c>
      <c r="H166" s="3893" t="s">
        <v>24</v>
      </c>
      <c r="I166" s="3893" t="s">
        <v>751</v>
      </c>
    </row>
    <row r="167" spans="1:9" ht="11.25" customHeight="1">
      <c r="A167" s="3893" t="s">
        <v>2173</v>
      </c>
      <c r="B167" s="3893" t="s">
        <v>14</v>
      </c>
      <c r="C167" s="3893" t="s">
        <v>2525</v>
      </c>
      <c r="D167" s="3893" t="s">
        <v>2526</v>
      </c>
      <c r="E167" s="3893" t="s">
        <v>2527</v>
      </c>
      <c r="F167" s="3893" t="s">
        <v>2246</v>
      </c>
      <c r="G167" s="3893" t="s">
        <v>24</v>
      </c>
      <c r="H167" s="3893" t="s">
        <v>24</v>
      </c>
      <c r="I167" s="3893" t="s">
        <v>751</v>
      </c>
    </row>
    <row r="168" spans="1:9" ht="11.25" customHeight="1">
      <c r="A168" s="3893" t="s">
        <v>2173</v>
      </c>
      <c r="B168" s="3893" t="s">
        <v>14</v>
      </c>
      <c r="C168" s="3893" t="s">
        <v>2416</v>
      </c>
      <c r="D168" s="3893" t="s">
        <v>2417</v>
      </c>
      <c r="E168" s="3893" t="s">
        <v>2418</v>
      </c>
      <c r="F168" s="3893" t="s">
        <v>49</v>
      </c>
      <c r="G168" s="3893" t="s">
        <v>2419</v>
      </c>
      <c r="H168" s="3893" t="s">
        <v>24</v>
      </c>
      <c r="I168" s="3893" t="s">
        <v>751</v>
      </c>
    </row>
    <row r="169" spans="1:9" ht="11.25" customHeight="1">
      <c r="A169" s="3893" t="s">
        <v>2173</v>
      </c>
      <c r="B169" s="3893" t="s">
        <v>14</v>
      </c>
      <c r="C169" s="3893" t="s">
        <v>2420</v>
      </c>
      <c r="D169" s="3893" t="s">
        <v>2421</v>
      </c>
      <c r="E169" s="3893" t="s">
        <v>2422</v>
      </c>
      <c r="F169" s="3893" t="s">
        <v>2327</v>
      </c>
      <c r="G169" s="3893" t="s">
        <v>24</v>
      </c>
      <c r="H169" s="3893" t="s">
        <v>24</v>
      </c>
      <c r="I169" s="3893" t="s">
        <v>751</v>
      </c>
    </row>
    <row r="170" spans="1:9" ht="11.25" customHeight="1">
      <c r="A170" s="3893" t="s">
        <v>2173</v>
      </c>
      <c r="B170" s="3893" t="s">
        <v>14</v>
      </c>
      <c r="C170" s="3893" t="s">
        <v>2431</v>
      </c>
      <c r="D170" s="3893" t="s">
        <v>2432</v>
      </c>
      <c r="E170" s="3893" t="s">
        <v>2433</v>
      </c>
      <c r="F170" s="3893" t="s">
        <v>2210</v>
      </c>
      <c r="G170" s="3893" t="s">
        <v>2434</v>
      </c>
      <c r="H170" s="3893" t="s">
        <v>24</v>
      </c>
      <c r="I170" s="3893" t="s">
        <v>751</v>
      </c>
    </row>
    <row r="171" spans="1:9" ht="11.25" customHeight="1">
      <c r="A171" s="3893" t="s">
        <v>2173</v>
      </c>
      <c r="B171" s="3893" t="s">
        <v>14</v>
      </c>
      <c r="C171" s="3893" t="s">
        <v>24</v>
      </c>
      <c r="D171" s="3893" t="s">
        <v>2441</v>
      </c>
      <c r="E171" s="3893" t="s">
        <v>2442</v>
      </c>
      <c r="F171" s="3893" t="s">
        <v>49</v>
      </c>
      <c r="G171" s="3893" t="s">
        <v>24</v>
      </c>
      <c r="H171" s="3893" t="s">
        <v>24</v>
      </c>
      <c r="I171" s="3893" t="s">
        <v>751</v>
      </c>
    </row>
    <row r="172" spans="1:9" ht="11.25" customHeight="1">
      <c r="A172" s="3893" t="s">
        <v>2173</v>
      </c>
      <c r="B172" s="3893" t="s">
        <v>14</v>
      </c>
      <c r="C172" s="3893" t="s">
        <v>2528</v>
      </c>
      <c r="D172" s="3893" t="s">
        <v>2529</v>
      </c>
      <c r="E172" s="3893" t="s">
        <v>2530</v>
      </c>
      <c r="F172" s="3893" t="s">
        <v>49</v>
      </c>
      <c r="G172" s="3893" t="s">
        <v>24</v>
      </c>
      <c r="H172" s="3893" t="s">
        <v>24</v>
      </c>
      <c r="I172" s="3893" t="s">
        <v>751</v>
      </c>
    </row>
    <row r="173" spans="1:9" ht="11.25" customHeight="1">
      <c r="A173" s="3893" t="s">
        <v>2173</v>
      </c>
      <c r="B173" s="3893" t="s">
        <v>14</v>
      </c>
      <c r="C173" s="3893" t="s">
        <v>2446</v>
      </c>
      <c r="D173" s="3893" t="s">
        <v>2447</v>
      </c>
      <c r="E173" s="3893" t="s">
        <v>2448</v>
      </c>
      <c r="F173" s="3893" t="s">
        <v>2449</v>
      </c>
      <c r="G173" s="3893" t="s">
        <v>24</v>
      </c>
      <c r="H173" s="3893" t="s">
        <v>24</v>
      </c>
      <c r="I173" s="3893" t="s">
        <v>751</v>
      </c>
    </row>
    <row r="174" spans="1:9" ht="11.25" customHeight="1">
      <c r="A174" s="3893" t="s">
        <v>2173</v>
      </c>
      <c r="B174" s="3893" t="s">
        <v>14</v>
      </c>
      <c r="C174" s="3893" t="s">
        <v>2450</v>
      </c>
      <c r="D174" s="3893" t="s">
        <v>2451</v>
      </c>
      <c r="E174" s="3893" t="s">
        <v>2448</v>
      </c>
      <c r="F174" s="3893" t="s">
        <v>2452</v>
      </c>
      <c r="G174" s="3893" t="s">
        <v>2453</v>
      </c>
      <c r="H174" s="3893" t="s">
        <v>24</v>
      </c>
      <c r="I174" s="3893" t="s">
        <v>751</v>
      </c>
    </row>
    <row r="175" spans="1:9" ht="11.25" customHeight="1">
      <c r="A175" s="3893" t="s">
        <v>2173</v>
      </c>
      <c r="B175" s="3893" t="s">
        <v>14</v>
      </c>
      <c r="C175" s="3893" t="s">
        <v>2531</v>
      </c>
      <c r="D175" s="3893" t="s">
        <v>2532</v>
      </c>
      <c r="E175" s="3893" t="s">
        <v>2533</v>
      </c>
      <c r="F175" s="3893" t="s">
        <v>49</v>
      </c>
      <c r="G175" s="3893" t="s">
        <v>24</v>
      </c>
      <c r="H175" s="3893" t="s">
        <v>24</v>
      </c>
      <c r="I175" s="3893" t="s">
        <v>751</v>
      </c>
    </row>
    <row r="176" spans="1:9" ht="11.25" customHeight="1">
      <c r="A176" s="3893" t="s">
        <v>2173</v>
      </c>
      <c r="B176" s="3893" t="s">
        <v>14</v>
      </c>
      <c r="C176" s="3893" t="s">
        <v>2534</v>
      </c>
      <c r="D176" s="3893" t="s">
        <v>2535</v>
      </c>
      <c r="E176" s="3893" t="s">
        <v>2536</v>
      </c>
      <c r="F176" s="3893" t="s">
        <v>2260</v>
      </c>
      <c r="G176" s="3893" t="s">
        <v>24</v>
      </c>
      <c r="H176" s="3893" t="s">
        <v>24</v>
      </c>
      <c r="I176" s="3893" t="s">
        <v>751</v>
      </c>
    </row>
    <row r="177" spans="1:9" ht="11.25" customHeight="1">
      <c r="A177" s="3893" t="s">
        <v>2173</v>
      </c>
      <c r="B177" s="3893" t="s">
        <v>14</v>
      </c>
      <c r="C177" s="3893" t="s">
        <v>2174</v>
      </c>
      <c r="D177" s="3893" t="s">
        <v>2175</v>
      </c>
      <c r="E177" s="3893" t="s">
        <v>2176</v>
      </c>
      <c r="F177" s="3893" t="s">
        <v>49</v>
      </c>
      <c r="G177" s="3893" t="s">
        <v>24</v>
      </c>
      <c r="H177" s="3893" t="s">
        <v>24</v>
      </c>
      <c r="I177" s="3893" t="s">
        <v>803</v>
      </c>
    </row>
    <row r="178" spans="1:9" ht="11.25" customHeight="1">
      <c r="A178" s="3893" t="s">
        <v>2173</v>
      </c>
      <c r="B178" s="3893" t="s">
        <v>14</v>
      </c>
      <c r="C178" s="3893" t="s">
        <v>2177</v>
      </c>
      <c r="D178" s="3893" t="s">
        <v>2178</v>
      </c>
      <c r="E178" s="3893" t="s">
        <v>2179</v>
      </c>
      <c r="F178" s="3893" t="s">
        <v>2180</v>
      </c>
      <c r="G178" s="3893" t="s">
        <v>24</v>
      </c>
      <c r="H178" s="3893" t="s">
        <v>24</v>
      </c>
      <c r="I178" s="3893" t="s">
        <v>803</v>
      </c>
    </row>
    <row r="179" spans="1:9" ht="11.25" customHeight="1">
      <c r="A179" s="3893" t="s">
        <v>2173</v>
      </c>
      <c r="B179" s="3893" t="s">
        <v>14</v>
      </c>
      <c r="C179" s="3893" t="s">
        <v>2193</v>
      </c>
      <c r="D179" s="3893" t="s">
        <v>2194</v>
      </c>
      <c r="E179" s="3893" t="s">
        <v>2195</v>
      </c>
      <c r="F179" s="3893" t="s">
        <v>49</v>
      </c>
      <c r="G179" s="3893" t="s">
        <v>24</v>
      </c>
      <c r="H179" s="3893" t="s">
        <v>24</v>
      </c>
      <c r="I179" s="3893" t="s">
        <v>803</v>
      </c>
    </row>
    <row r="180" spans="1:9" ht="11.25" customHeight="1">
      <c r="A180" s="3893" t="s">
        <v>2173</v>
      </c>
      <c r="B180" s="3893" t="s">
        <v>14</v>
      </c>
      <c r="C180" s="3893" t="s">
        <v>2461</v>
      </c>
      <c r="D180" s="3893" t="s">
        <v>2462</v>
      </c>
      <c r="E180" s="3893" t="s">
        <v>2463</v>
      </c>
      <c r="F180" s="3893" t="s">
        <v>2199</v>
      </c>
      <c r="G180" s="3893" t="s">
        <v>24</v>
      </c>
      <c r="H180" s="3893" t="s">
        <v>24</v>
      </c>
      <c r="I180" s="3893" t="s">
        <v>803</v>
      </c>
    </row>
    <row r="181" spans="1:9" ht="11.25" customHeight="1">
      <c r="A181" s="3893" t="s">
        <v>2173</v>
      </c>
      <c r="B181" s="3893" t="s">
        <v>14</v>
      </c>
      <c r="C181" s="3893" t="s">
        <v>2200</v>
      </c>
      <c r="D181" s="3893" t="s">
        <v>2201</v>
      </c>
      <c r="E181" s="3893" t="s">
        <v>2202</v>
      </c>
      <c r="F181" s="3893" t="s">
        <v>2203</v>
      </c>
      <c r="G181" s="3893" t="s">
        <v>24</v>
      </c>
      <c r="H181" s="3893" t="s">
        <v>24</v>
      </c>
      <c r="I181" s="3893" t="s">
        <v>803</v>
      </c>
    </row>
    <row r="182" spans="1:9" ht="11.25" customHeight="1">
      <c r="A182" s="3893" t="s">
        <v>2173</v>
      </c>
      <c r="B182" s="3893" t="s">
        <v>14</v>
      </c>
      <c r="C182" s="3893" t="s">
        <v>2207</v>
      </c>
      <c r="D182" s="3893" t="s">
        <v>2208</v>
      </c>
      <c r="E182" s="3893" t="s">
        <v>2209</v>
      </c>
      <c r="F182" s="3893" t="s">
        <v>2210</v>
      </c>
      <c r="G182" s="3893" t="s">
        <v>24</v>
      </c>
      <c r="H182" s="3893" t="s">
        <v>24</v>
      </c>
      <c r="I182" s="3893" t="s">
        <v>803</v>
      </c>
    </row>
    <row r="183" spans="1:9" ht="11.25" customHeight="1">
      <c r="A183" s="3893" t="s">
        <v>2173</v>
      </c>
      <c r="B183" s="3893" t="s">
        <v>14</v>
      </c>
      <c r="C183" s="3893" t="s">
        <v>2464</v>
      </c>
      <c r="D183" s="3893" t="s">
        <v>2465</v>
      </c>
      <c r="E183" s="3893" t="s">
        <v>2466</v>
      </c>
      <c r="F183" s="3893" t="s">
        <v>49</v>
      </c>
      <c r="G183" s="3893" t="s">
        <v>24</v>
      </c>
      <c r="H183" s="3893" t="s">
        <v>24</v>
      </c>
      <c r="I183" s="3893" t="s">
        <v>803</v>
      </c>
    </row>
    <row r="184" spans="1:9" ht="11.25" customHeight="1">
      <c r="A184" s="3893" t="s">
        <v>2173</v>
      </c>
      <c r="B184" s="3893" t="s">
        <v>14</v>
      </c>
      <c r="C184" s="3893" t="s">
        <v>2211</v>
      </c>
      <c r="D184" s="3893" t="s">
        <v>2212</v>
      </c>
      <c r="E184" s="3893" t="s">
        <v>2213</v>
      </c>
      <c r="F184" s="3893" t="s">
        <v>2214</v>
      </c>
      <c r="G184" s="3893" t="s">
        <v>24</v>
      </c>
      <c r="H184" s="3893" t="s">
        <v>24</v>
      </c>
      <c r="I184" s="3893" t="s">
        <v>803</v>
      </c>
    </row>
    <row r="185" spans="1:9" ht="11.25" customHeight="1">
      <c r="A185" s="3893" t="s">
        <v>2173</v>
      </c>
      <c r="B185" s="3893" t="s">
        <v>14</v>
      </c>
      <c r="C185" s="3893" t="s">
        <v>2215</v>
      </c>
      <c r="D185" s="3893" t="s">
        <v>2216</v>
      </c>
      <c r="E185" s="3893" t="s">
        <v>2217</v>
      </c>
      <c r="F185" s="3893" t="s">
        <v>2214</v>
      </c>
      <c r="G185" s="3893" t="s">
        <v>24</v>
      </c>
      <c r="H185" s="3893" t="s">
        <v>24</v>
      </c>
      <c r="I185" s="3893" t="s">
        <v>803</v>
      </c>
    </row>
    <row r="186" spans="1:9" ht="11.25" customHeight="1">
      <c r="A186" s="3893" t="s">
        <v>2173</v>
      </c>
      <c r="B186" s="3893" t="s">
        <v>14</v>
      </c>
      <c r="C186" s="3893" t="s">
        <v>2467</v>
      </c>
      <c r="D186" s="3893" t="s">
        <v>2468</v>
      </c>
      <c r="E186" s="3893" t="s">
        <v>2469</v>
      </c>
      <c r="F186" s="3893" t="s">
        <v>2221</v>
      </c>
      <c r="G186" s="3893" t="s">
        <v>2470</v>
      </c>
      <c r="H186" s="3893" t="s">
        <v>24</v>
      </c>
      <c r="I186" s="3893" t="s">
        <v>803</v>
      </c>
    </row>
    <row r="187" spans="1:9" ht="11.25" customHeight="1">
      <c r="A187" s="3893" t="s">
        <v>2173</v>
      </c>
      <c r="B187" s="3893" t="s">
        <v>14</v>
      </c>
      <c r="C187" s="3893" t="s">
        <v>2471</v>
      </c>
      <c r="D187" s="3893" t="s">
        <v>2472</v>
      </c>
      <c r="E187" s="3893" t="s">
        <v>2226</v>
      </c>
      <c r="F187" s="3893" t="s">
        <v>2473</v>
      </c>
      <c r="G187" s="3893" t="s">
        <v>24</v>
      </c>
      <c r="H187" s="3893" t="s">
        <v>24</v>
      </c>
      <c r="I187" s="3893" t="s">
        <v>803</v>
      </c>
    </row>
    <row r="188" spans="1:9" ht="11.25" customHeight="1">
      <c r="A188" s="3893" t="s">
        <v>2173</v>
      </c>
      <c r="B188" s="3893" t="s">
        <v>14</v>
      </c>
      <c r="C188" s="3893" t="s">
        <v>2218</v>
      </c>
      <c r="D188" s="3893" t="s">
        <v>2219</v>
      </c>
      <c r="E188" s="3893" t="s">
        <v>2220</v>
      </c>
      <c r="F188" s="3893" t="s">
        <v>2221</v>
      </c>
      <c r="G188" s="3893" t="s">
        <v>24</v>
      </c>
      <c r="H188" s="3893" t="s">
        <v>24</v>
      </c>
      <c r="I188" s="3893" t="s">
        <v>803</v>
      </c>
    </row>
    <row r="189" spans="1:9" ht="11.25" customHeight="1">
      <c r="A189" s="3893" t="s">
        <v>2173</v>
      </c>
      <c r="B189" s="3893" t="s">
        <v>14</v>
      </c>
      <c r="C189" s="3893" t="s">
        <v>2474</v>
      </c>
      <c r="D189" s="3893" t="s">
        <v>2475</v>
      </c>
      <c r="E189" s="3893" t="s">
        <v>2476</v>
      </c>
      <c r="F189" s="3893" t="s">
        <v>2300</v>
      </c>
      <c r="G189" s="3893" t="s">
        <v>24</v>
      </c>
      <c r="H189" s="3893" t="s">
        <v>24</v>
      </c>
      <c r="I189" s="3893" t="s">
        <v>803</v>
      </c>
    </row>
    <row r="190" spans="1:9" ht="11.25" customHeight="1">
      <c r="A190" s="3893" t="s">
        <v>2173</v>
      </c>
      <c r="B190" s="3893" t="s">
        <v>14</v>
      </c>
      <c r="C190" s="3893" t="s">
        <v>2480</v>
      </c>
      <c r="D190" s="3893" t="s">
        <v>2223</v>
      </c>
      <c r="E190" s="3893" t="s">
        <v>2481</v>
      </c>
      <c r="F190" s="3893" t="s">
        <v>2246</v>
      </c>
      <c r="G190" s="3893" t="s">
        <v>24</v>
      </c>
      <c r="H190" s="3893" t="s">
        <v>24</v>
      </c>
      <c r="I190" s="3893" t="s">
        <v>803</v>
      </c>
    </row>
    <row r="191" spans="1:9" ht="11.25" customHeight="1">
      <c r="A191" s="3893" t="s">
        <v>2173</v>
      </c>
      <c r="B191" s="3893" t="s">
        <v>14</v>
      </c>
      <c r="C191" s="3893" t="s">
        <v>2222</v>
      </c>
      <c r="D191" s="3893" t="s">
        <v>2223</v>
      </c>
      <c r="E191" s="3893" t="s">
        <v>2224</v>
      </c>
      <c r="F191" s="3893" t="s">
        <v>2188</v>
      </c>
      <c r="G191" s="3893" t="s">
        <v>24</v>
      </c>
      <c r="H191" s="3893" t="s">
        <v>24</v>
      </c>
      <c r="I191" s="3893" t="s">
        <v>803</v>
      </c>
    </row>
    <row r="192" spans="1:9" ht="11.25" customHeight="1">
      <c r="A192" s="3893" t="s">
        <v>2173</v>
      </c>
      <c r="B192" s="3893" t="s">
        <v>14</v>
      </c>
      <c r="C192" s="3893" t="s">
        <v>2225</v>
      </c>
      <c r="D192" s="3893" t="s">
        <v>2223</v>
      </c>
      <c r="E192" s="3893" t="s">
        <v>2226</v>
      </c>
      <c r="F192" s="3893" t="s">
        <v>2227</v>
      </c>
      <c r="G192" s="3893" t="s">
        <v>24</v>
      </c>
      <c r="H192" s="3893" t="s">
        <v>24</v>
      </c>
      <c r="I192" s="3893" t="s">
        <v>803</v>
      </c>
    </row>
    <row r="193" spans="1:9" ht="11.25" customHeight="1">
      <c r="A193" s="3893" t="s">
        <v>2173</v>
      </c>
      <c r="B193" s="3893" t="s">
        <v>14</v>
      </c>
      <c r="C193" s="3893" t="s">
        <v>2482</v>
      </c>
      <c r="D193" s="3893" t="s">
        <v>2483</v>
      </c>
      <c r="E193" s="3893" t="s">
        <v>2484</v>
      </c>
      <c r="F193" s="3893" t="s">
        <v>2184</v>
      </c>
      <c r="G193" s="3893" t="s">
        <v>2485</v>
      </c>
      <c r="H193" s="3893" t="s">
        <v>24</v>
      </c>
      <c r="I193" s="3893" t="s">
        <v>803</v>
      </c>
    </row>
    <row r="194" spans="1:9" ht="11.25" customHeight="1">
      <c r="A194" s="3893" t="s">
        <v>2173</v>
      </c>
      <c r="B194" s="3893" t="s">
        <v>14</v>
      </c>
      <c r="C194" s="3893" t="s">
        <v>2228</v>
      </c>
      <c r="D194" s="3893" t="s">
        <v>2229</v>
      </c>
      <c r="E194" s="3893" t="s">
        <v>2230</v>
      </c>
      <c r="F194" s="3893" t="s">
        <v>2231</v>
      </c>
      <c r="G194" s="3893" t="s">
        <v>24</v>
      </c>
      <c r="H194" s="3893" t="s">
        <v>24</v>
      </c>
      <c r="I194" s="3893" t="s">
        <v>803</v>
      </c>
    </row>
    <row r="195" spans="1:9" ht="11.25" customHeight="1">
      <c r="A195" s="3893" t="s">
        <v>2173</v>
      </c>
      <c r="B195" s="3893" t="s">
        <v>14</v>
      </c>
      <c r="C195" s="3893" t="s">
        <v>2232</v>
      </c>
      <c r="D195" s="3893" t="s">
        <v>2233</v>
      </c>
      <c r="E195" s="3893" t="s">
        <v>2234</v>
      </c>
      <c r="F195" s="3893" t="s">
        <v>2210</v>
      </c>
      <c r="G195" s="3893" t="s">
        <v>24</v>
      </c>
      <c r="H195" s="3893" t="s">
        <v>24</v>
      </c>
      <c r="I195" s="3893" t="s">
        <v>803</v>
      </c>
    </row>
    <row r="196" spans="1:9" ht="11.25" customHeight="1">
      <c r="A196" s="3893" t="s">
        <v>2173</v>
      </c>
      <c r="B196" s="3893" t="s">
        <v>14</v>
      </c>
      <c r="C196" s="3893" t="s">
        <v>2238</v>
      </c>
      <c r="D196" s="3893" t="s">
        <v>2239</v>
      </c>
      <c r="E196" s="3893" t="s">
        <v>2240</v>
      </c>
      <c r="F196" s="3893" t="s">
        <v>2241</v>
      </c>
      <c r="G196" s="3893" t="s">
        <v>2242</v>
      </c>
      <c r="H196" s="3893" t="s">
        <v>24</v>
      </c>
      <c r="I196" s="3893" t="s">
        <v>803</v>
      </c>
    </row>
    <row r="197" spans="1:9" ht="11.25" customHeight="1">
      <c r="A197" s="3893" t="s">
        <v>2173</v>
      </c>
      <c r="B197" s="3893" t="s">
        <v>14</v>
      </c>
      <c r="C197" s="3893" t="s">
        <v>2248</v>
      </c>
      <c r="D197" s="3893" t="s">
        <v>2249</v>
      </c>
      <c r="E197" s="3893" t="s">
        <v>2250</v>
      </c>
      <c r="F197" s="3893" t="s">
        <v>2192</v>
      </c>
      <c r="G197" s="3893" t="s">
        <v>2251</v>
      </c>
      <c r="H197" s="3893" t="s">
        <v>24</v>
      </c>
      <c r="I197" s="3893" t="s">
        <v>803</v>
      </c>
    </row>
    <row r="198" spans="1:9" ht="11.25" customHeight="1">
      <c r="A198" s="3893" t="s">
        <v>2173</v>
      </c>
      <c r="B198" s="3893" t="s">
        <v>14</v>
      </c>
      <c r="C198" s="3893" t="s">
        <v>2252</v>
      </c>
      <c r="D198" s="3893" t="s">
        <v>2253</v>
      </c>
      <c r="E198" s="3893" t="s">
        <v>2254</v>
      </c>
      <c r="F198" s="3893" t="s">
        <v>2255</v>
      </c>
      <c r="G198" s="3893" t="s">
        <v>2256</v>
      </c>
      <c r="H198" s="3893" t="s">
        <v>24</v>
      </c>
      <c r="I198" s="3893" t="s">
        <v>803</v>
      </c>
    </row>
    <row r="199" spans="1:9" ht="11.25" customHeight="1">
      <c r="A199" s="3893" t="s">
        <v>2173</v>
      </c>
      <c r="B199" s="3893" t="s">
        <v>14</v>
      </c>
      <c r="C199" s="3893" t="s">
        <v>2257</v>
      </c>
      <c r="D199" s="3893" t="s">
        <v>2258</v>
      </c>
      <c r="E199" s="3893" t="s">
        <v>2259</v>
      </c>
      <c r="F199" s="3893" t="s">
        <v>2260</v>
      </c>
      <c r="G199" s="3893" t="s">
        <v>24</v>
      </c>
      <c r="H199" s="3893" t="s">
        <v>24</v>
      </c>
      <c r="I199" s="3893" t="s">
        <v>803</v>
      </c>
    </row>
    <row r="200" spans="1:9" ht="11.25" customHeight="1">
      <c r="A200" s="3893" t="s">
        <v>2173</v>
      </c>
      <c r="B200" s="3893" t="s">
        <v>14</v>
      </c>
      <c r="C200" s="3893" t="s">
        <v>2264</v>
      </c>
      <c r="D200" s="3893" t="s">
        <v>2262</v>
      </c>
      <c r="E200" s="3893" t="s">
        <v>2265</v>
      </c>
      <c r="F200" s="3893" t="s">
        <v>2246</v>
      </c>
      <c r="G200" s="3893" t="s">
        <v>2266</v>
      </c>
      <c r="H200" s="3893" t="s">
        <v>24</v>
      </c>
      <c r="I200" s="3893" t="s">
        <v>803</v>
      </c>
    </row>
    <row r="201" spans="1:9" ht="11.25" customHeight="1">
      <c r="A201" s="3893" t="s">
        <v>2173</v>
      </c>
      <c r="B201" s="3893" t="s">
        <v>14</v>
      </c>
      <c r="C201" s="3893" t="s">
        <v>2267</v>
      </c>
      <c r="D201" s="3893" t="s">
        <v>2268</v>
      </c>
      <c r="E201" s="3893" t="s">
        <v>2269</v>
      </c>
      <c r="F201" s="3893" t="s">
        <v>2246</v>
      </c>
      <c r="G201" s="3893" t="s">
        <v>2270</v>
      </c>
      <c r="H201" s="3893" t="s">
        <v>24</v>
      </c>
      <c r="I201" s="3893" t="s">
        <v>803</v>
      </c>
    </row>
    <row r="202" spans="1:9" ht="11.25" customHeight="1">
      <c r="A202" s="3893" t="s">
        <v>2173</v>
      </c>
      <c r="B202" s="3893" t="s">
        <v>14</v>
      </c>
      <c r="C202" s="3893" t="s">
        <v>2274</v>
      </c>
      <c r="D202" s="3893" t="s">
        <v>2275</v>
      </c>
      <c r="E202" s="3893" t="s">
        <v>2276</v>
      </c>
      <c r="F202" s="3893" t="s">
        <v>2255</v>
      </c>
      <c r="G202" s="3893" t="s">
        <v>24</v>
      </c>
      <c r="H202" s="3893" t="s">
        <v>24</v>
      </c>
      <c r="I202" s="3893" t="s">
        <v>803</v>
      </c>
    </row>
    <row r="203" spans="1:9" ht="11.25" customHeight="1">
      <c r="A203" s="3893" t="s">
        <v>2173</v>
      </c>
      <c r="B203" s="3893" t="s">
        <v>14</v>
      </c>
      <c r="C203" s="3893" t="s">
        <v>2277</v>
      </c>
      <c r="D203" s="3893" t="s">
        <v>2278</v>
      </c>
      <c r="E203" s="3893" t="s">
        <v>2279</v>
      </c>
      <c r="F203" s="3893" t="s">
        <v>2280</v>
      </c>
      <c r="G203" s="3893" t="s">
        <v>24</v>
      </c>
      <c r="H203" s="3893" t="s">
        <v>24</v>
      </c>
      <c r="I203" s="3893" t="s">
        <v>803</v>
      </c>
    </row>
    <row r="204" spans="1:9" ht="11.25" customHeight="1">
      <c r="A204" s="3893" t="s">
        <v>2173</v>
      </c>
      <c r="B204" s="3893" t="s">
        <v>14</v>
      </c>
      <c r="C204" s="3893" t="s">
        <v>2281</v>
      </c>
      <c r="D204" s="3893" t="s">
        <v>2282</v>
      </c>
      <c r="E204" s="3893" t="s">
        <v>2283</v>
      </c>
      <c r="F204" s="3893" t="s">
        <v>2214</v>
      </c>
      <c r="G204" s="3893" t="s">
        <v>2284</v>
      </c>
      <c r="H204" s="3893" t="s">
        <v>24</v>
      </c>
      <c r="I204" s="3893" t="s">
        <v>803</v>
      </c>
    </row>
    <row r="205" spans="1:9" ht="11.25" customHeight="1">
      <c r="A205" s="3893" t="s">
        <v>2173</v>
      </c>
      <c r="B205" s="3893" t="s">
        <v>14</v>
      </c>
      <c r="C205" s="3893" t="s">
        <v>2285</v>
      </c>
      <c r="D205" s="3893" t="s">
        <v>2286</v>
      </c>
      <c r="E205" s="3893" t="s">
        <v>2287</v>
      </c>
      <c r="F205" s="3893" t="s">
        <v>2255</v>
      </c>
      <c r="G205" s="3893" t="s">
        <v>2288</v>
      </c>
      <c r="H205" s="3893" t="s">
        <v>24</v>
      </c>
      <c r="I205" s="3893" t="s">
        <v>803</v>
      </c>
    </row>
    <row r="206" spans="1:9" ht="11.25" customHeight="1">
      <c r="A206" s="3893" t="s">
        <v>2173</v>
      </c>
      <c r="B206" s="3893" t="s">
        <v>14</v>
      </c>
      <c r="C206" s="3893" t="s">
        <v>2289</v>
      </c>
      <c r="D206" s="3893" t="s">
        <v>2290</v>
      </c>
      <c r="E206" s="3893" t="s">
        <v>2291</v>
      </c>
      <c r="F206" s="3893" t="s">
        <v>2214</v>
      </c>
      <c r="G206" s="3893" t="s">
        <v>2292</v>
      </c>
      <c r="H206" s="3893" t="s">
        <v>24</v>
      </c>
      <c r="I206" s="3893" t="s">
        <v>803</v>
      </c>
    </row>
    <row r="207" spans="1:9" ht="11.25" customHeight="1">
      <c r="A207" s="3893" t="s">
        <v>2173</v>
      </c>
      <c r="B207" s="3893" t="s">
        <v>14</v>
      </c>
      <c r="C207" s="3893" t="s">
        <v>2293</v>
      </c>
      <c r="D207" s="3893" t="s">
        <v>2294</v>
      </c>
      <c r="E207" s="3893" t="s">
        <v>2295</v>
      </c>
      <c r="F207" s="3893" t="s">
        <v>2192</v>
      </c>
      <c r="G207" s="3893" t="s">
        <v>2296</v>
      </c>
      <c r="H207" s="3893" t="s">
        <v>24</v>
      </c>
      <c r="I207" s="3893" t="s">
        <v>803</v>
      </c>
    </row>
    <row r="208" spans="1:9" ht="11.25" customHeight="1">
      <c r="A208" s="3893" t="s">
        <v>2173</v>
      </c>
      <c r="B208" s="3893" t="s">
        <v>14</v>
      </c>
      <c r="C208" s="3893" t="s">
        <v>2297</v>
      </c>
      <c r="D208" s="3893" t="s">
        <v>2298</v>
      </c>
      <c r="E208" s="3893" t="s">
        <v>2299</v>
      </c>
      <c r="F208" s="3893" t="s">
        <v>2300</v>
      </c>
      <c r="G208" s="3893" t="s">
        <v>24</v>
      </c>
      <c r="H208" s="3893" t="s">
        <v>24</v>
      </c>
      <c r="I208" s="3893" t="s">
        <v>803</v>
      </c>
    </row>
    <row r="209" spans="1:9" ht="11.25" customHeight="1">
      <c r="A209" s="3893" t="s">
        <v>2173</v>
      </c>
      <c r="B209" s="3893" t="s">
        <v>14</v>
      </c>
      <c r="C209" s="3893" t="s">
        <v>2301</v>
      </c>
      <c r="D209" s="3893" t="s">
        <v>2302</v>
      </c>
      <c r="E209" s="3893" t="s">
        <v>2303</v>
      </c>
      <c r="F209" s="3893" t="s">
        <v>2199</v>
      </c>
      <c r="G209" s="3893" t="s">
        <v>24</v>
      </c>
      <c r="H209" s="3893" t="s">
        <v>24</v>
      </c>
      <c r="I209" s="3893" t="s">
        <v>803</v>
      </c>
    </row>
    <row r="210" spans="1:9" ht="11.25" customHeight="1">
      <c r="A210" s="3893" t="s">
        <v>2173</v>
      </c>
      <c r="B210" s="3893" t="s">
        <v>14</v>
      </c>
      <c r="C210" s="3893" t="s">
        <v>2307</v>
      </c>
      <c r="D210" s="3893" t="s">
        <v>2308</v>
      </c>
      <c r="E210" s="3893" t="s">
        <v>2309</v>
      </c>
      <c r="F210" s="3893" t="s">
        <v>2210</v>
      </c>
      <c r="G210" s="3893" t="s">
        <v>24</v>
      </c>
      <c r="H210" s="3893" t="s">
        <v>24</v>
      </c>
      <c r="I210" s="3893" t="s">
        <v>803</v>
      </c>
    </row>
    <row r="211" spans="1:9" ht="11.25" customHeight="1">
      <c r="A211" s="3893" t="s">
        <v>2173</v>
      </c>
      <c r="B211" s="3893" t="s">
        <v>14</v>
      </c>
      <c r="C211" s="3893" t="s">
        <v>2316</v>
      </c>
      <c r="D211" s="3893" t="s">
        <v>2317</v>
      </c>
      <c r="E211" s="3893" t="s">
        <v>2318</v>
      </c>
      <c r="F211" s="3893" t="s">
        <v>2246</v>
      </c>
      <c r="G211" s="3893" t="s">
        <v>2319</v>
      </c>
      <c r="H211" s="3893" t="s">
        <v>24</v>
      </c>
      <c r="I211" s="3893" t="s">
        <v>803</v>
      </c>
    </row>
    <row r="212" spans="1:9" ht="11.25" customHeight="1">
      <c r="A212" s="3893" t="s">
        <v>2173</v>
      </c>
      <c r="B212" s="3893" t="s">
        <v>14</v>
      </c>
      <c r="C212" s="3893" t="s">
        <v>2486</v>
      </c>
      <c r="D212" s="3893" t="s">
        <v>2487</v>
      </c>
      <c r="E212" s="3893" t="s">
        <v>2488</v>
      </c>
      <c r="F212" s="3893" t="s">
        <v>2380</v>
      </c>
      <c r="G212" s="3893" t="s">
        <v>24</v>
      </c>
      <c r="H212" s="3893" t="s">
        <v>24</v>
      </c>
      <c r="I212" s="3893" t="s">
        <v>803</v>
      </c>
    </row>
    <row r="213" spans="1:9" ht="11.25" customHeight="1">
      <c r="A213" s="3893" t="s">
        <v>2173</v>
      </c>
      <c r="B213" s="3893" t="s">
        <v>14</v>
      </c>
      <c r="C213" s="3893" t="s">
        <v>2320</v>
      </c>
      <c r="D213" s="3893" t="s">
        <v>2321</v>
      </c>
      <c r="E213" s="3893" t="s">
        <v>2322</v>
      </c>
      <c r="F213" s="3893" t="s">
        <v>2231</v>
      </c>
      <c r="G213" s="3893" t="s">
        <v>2323</v>
      </c>
      <c r="H213" s="3893" t="s">
        <v>24</v>
      </c>
      <c r="I213" s="3893" t="s">
        <v>803</v>
      </c>
    </row>
    <row r="214" spans="1:9" ht="11.25" customHeight="1">
      <c r="A214" s="3893" t="s">
        <v>2173</v>
      </c>
      <c r="B214" s="3893" t="s">
        <v>14</v>
      </c>
      <c r="C214" s="3893" t="s">
        <v>2489</v>
      </c>
      <c r="D214" s="3893" t="s">
        <v>2490</v>
      </c>
      <c r="E214" s="3893" t="s">
        <v>2491</v>
      </c>
      <c r="F214" s="3893" t="s">
        <v>2280</v>
      </c>
      <c r="G214" s="3893" t="s">
        <v>2492</v>
      </c>
      <c r="H214" s="3893" t="s">
        <v>24</v>
      </c>
      <c r="I214" s="3893" t="s">
        <v>803</v>
      </c>
    </row>
    <row r="215" spans="1:9" ht="11.25" customHeight="1">
      <c r="A215" s="3893" t="s">
        <v>2173</v>
      </c>
      <c r="B215" s="3893" t="s">
        <v>14</v>
      </c>
      <c r="C215" s="3893" t="s">
        <v>2493</v>
      </c>
      <c r="D215" s="3893" t="s">
        <v>2494</v>
      </c>
      <c r="E215" s="3893" t="s">
        <v>2495</v>
      </c>
      <c r="F215" s="3893" t="s">
        <v>2231</v>
      </c>
      <c r="G215" s="3893" t="s">
        <v>24</v>
      </c>
      <c r="H215" s="3893" t="s">
        <v>24</v>
      </c>
      <c r="I215" s="3893" t="s">
        <v>803</v>
      </c>
    </row>
    <row r="216" spans="1:9" ht="11.25" customHeight="1">
      <c r="A216" s="3893" t="s">
        <v>2173</v>
      </c>
      <c r="B216" s="3893" t="s">
        <v>14</v>
      </c>
      <c r="C216" s="3893" t="s">
        <v>2496</v>
      </c>
      <c r="D216" s="3893" t="s">
        <v>2497</v>
      </c>
      <c r="E216" s="3893" t="s">
        <v>2498</v>
      </c>
      <c r="F216" s="3893" t="s">
        <v>2380</v>
      </c>
      <c r="G216" s="3893" t="s">
        <v>24</v>
      </c>
      <c r="H216" s="3893" t="s">
        <v>24</v>
      </c>
      <c r="I216" s="3893" t="s">
        <v>803</v>
      </c>
    </row>
    <row r="217" spans="1:9" ht="11.25" customHeight="1">
      <c r="A217" s="3893" t="s">
        <v>2173</v>
      </c>
      <c r="B217" s="3893" t="s">
        <v>14</v>
      </c>
      <c r="C217" s="3893" t="s">
        <v>2499</v>
      </c>
      <c r="D217" s="3893" t="s">
        <v>2500</v>
      </c>
      <c r="E217" s="3893" t="s">
        <v>2501</v>
      </c>
      <c r="F217" s="3893" t="s">
        <v>49</v>
      </c>
      <c r="G217" s="3893" t="s">
        <v>24</v>
      </c>
      <c r="H217" s="3893" t="s">
        <v>24</v>
      </c>
      <c r="I217" s="3893" t="s">
        <v>803</v>
      </c>
    </row>
    <row r="218" spans="1:9" ht="11.25" customHeight="1">
      <c r="A218" s="3893" t="s">
        <v>2173</v>
      </c>
      <c r="B218" s="3893" t="s">
        <v>14</v>
      </c>
      <c r="C218" s="3893" t="s">
        <v>2334</v>
      </c>
      <c r="D218" s="3893" t="s">
        <v>2335</v>
      </c>
      <c r="E218" s="3893" t="s">
        <v>2336</v>
      </c>
      <c r="F218" s="3893" t="s">
        <v>2214</v>
      </c>
      <c r="G218" s="3893" t="s">
        <v>24</v>
      </c>
      <c r="H218" s="3893" t="s">
        <v>24</v>
      </c>
      <c r="I218" s="3893" t="s">
        <v>803</v>
      </c>
    </row>
    <row r="219" spans="1:9" ht="11.25" customHeight="1">
      <c r="A219" s="3893" t="s">
        <v>2173</v>
      </c>
      <c r="B219" s="3893" t="s">
        <v>14</v>
      </c>
      <c r="C219" s="3893" t="s">
        <v>2337</v>
      </c>
      <c r="D219" s="3893" t="s">
        <v>2338</v>
      </c>
      <c r="E219" s="3893" t="s">
        <v>2339</v>
      </c>
      <c r="F219" s="3893" t="s">
        <v>2327</v>
      </c>
      <c r="G219" s="3893" t="s">
        <v>2340</v>
      </c>
      <c r="H219" s="3893" t="s">
        <v>24</v>
      </c>
      <c r="I219" s="3893" t="s">
        <v>803</v>
      </c>
    </row>
    <row r="220" spans="1:9" ht="11.25" customHeight="1">
      <c r="A220" s="3893" t="s">
        <v>2173</v>
      </c>
      <c r="B220" s="3893" t="s">
        <v>14</v>
      </c>
      <c r="C220" s="3893" t="s">
        <v>2356</v>
      </c>
      <c r="D220" s="3893" t="s">
        <v>2357</v>
      </c>
      <c r="E220" s="3893" t="s">
        <v>2358</v>
      </c>
      <c r="F220" s="3893" t="s">
        <v>2227</v>
      </c>
      <c r="G220" s="3893" t="s">
        <v>2359</v>
      </c>
      <c r="H220" s="3893" t="s">
        <v>24</v>
      </c>
      <c r="I220" s="3893" t="s">
        <v>803</v>
      </c>
    </row>
    <row r="221" spans="1:9" ht="11.25" customHeight="1">
      <c r="A221" s="3893" t="s">
        <v>2173</v>
      </c>
      <c r="B221" s="3893" t="s">
        <v>14</v>
      </c>
      <c r="C221" s="3893" t="s">
        <v>2360</v>
      </c>
      <c r="D221" s="3893" t="s">
        <v>2361</v>
      </c>
      <c r="E221" s="3893" t="s">
        <v>2362</v>
      </c>
      <c r="F221" s="3893" t="s">
        <v>2227</v>
      </c>
      <c r="G221" s="3893" t="s">
        <v>24</v>
      </c>
      <c r="H221" s="3893" t="s">
        <v>24</v>
      </c>
      <c r="I221" s="3893" t="s">
        <v>803</v>
      </c>
    </row>
    <row r="222" spans="1:9" ht="11.25" customHeight="1">
      <c r="A222" s="3893" t="s">
        <v>2173</v>
      </c>
      <c r="B222" s="3893" t="s">
        <v>14</v>
      </c>
      <c r="C222" s="3893" t="s">
        <v>2502</v>
      </c>
      <c r="D222" s="3893" t="s">
        <v>2503</v>
      </c>
      <c r="E222" s="3893" t="s">
        <v>2504</v>
      </c>
      <c r="F222" s="3893" t="s">
        <v>2246</v>
      </c>
      <c r="G222" s="3893" t="s">
        <v>24</v>
      </c>
      <c r="H222" s="3893" t="s">
        <v>24</v>
      </c>
      <c r="I222" s="3893" t="s">
        <v>803</v>
      </c>
    </row>
    <row r="223" spans="1:9" ht="11.25" customHeight="1">
      <c r="A223" s="3893" t="s">
        <v>2173</v>
      </c>
      <c r="B223" s="3893" t="s">
        <v>14</v>
      </c>
      <c r="C223" s="3893" t="s">
        <v>2505</v>
      </c>
      <c r="D223" s="3893" t="s">
        <v>2506</v>
      </c>
      <c r="E223" s="3893" t="s">
        <v>2507</v>
      </c>
      <c r="F223" s="3893" t="s">
        <v>2246</v>
      </c>
      <c r="G223" s="3893" t="s">
        <v>24</v>
      </c>
      <c r="H223" s="3893" t="s">
        <v>24</v>
      </c>
      <c r="I223" s="3893" t="s">
        <v>803</v>
      </c>
    </row>
    <row r="224" spans="1:9" ht="11.25" customHeight="1">
      <c r="A224" s="3893" t="s">
        <v>2173</v>
      </c>
      <c r="B224" s="3893" t="s">
        <v>14</v>
      </c>
      <c r="C224" s="3893" t="s">
        <v>2508</v>
      </c>
      <c r="D224" s="3893" t="s">
        <v>2509</v>
      </c>
      <c r="E224" s="3893" t="s">
        <v>2510</v>
      </c>
      <c r="F224" s="3893" t="s">
        <v>2380</v>
      </c>
      <c r="G224" s="3893" t="s">
        <v>24</v>
      </c>
      <c r="H224" s="3893" t="s">
        <v>24</v>
      </c>
      <c r="I224" s="3893" t="s">
        <v>803</v>
      </c>
    </row>
    <row r="225" spans="1:9" ht="11.25" customHeight="1">
      <c r="A225" s="3893" t="s">
        <v>2173</v>
      </c>
      <c r="B225" s="3893" t="s">
        <v>14</v>
      </c>
      <c r="C225" s="3893" t="s">
        <v>2370</v>
      </c>
      <c r="D225" s="3893" t="s">
        <v>2371</v>
      </c>
      <c r="E225" s="3893" t="s">
        <v>2372</v>
      </c>
      <c r="F225" s="3893" t="s">
        <v>49</v>
      </c>
      <c r="G225" s="3893" t="s">
        <v>24</v>
      </c>
      <c r="H225" s="3893" t="s">
        <v>24</v>
      </c>
      <c r="I225" s="3893" t="s">
        <v>803</v>
      </c>
    </row>
    <row r="226" spans="1:9" ht="11.25" customHeight="1">
      <c r="A226" s="3893" t="s">
        <v>2173</v>
      </c>
      <c r="B226" s="3893" t="s">
        <v>14</v>
      </c>
      <c r="C226" s="3893" t="s">
        <v>2511</v>
      </c>
      <c r="D226" s="3893" t="s">
        <v>2512</v>
      </c>
      <c r="E226" s="3893" t="s">
        <v>2513</v>
      </c>
      <c r="F226" s="3893" t="s">
        <v>2184</v>
      </c>
      <c r="G226" s="3893" t="s">
        <v>2514</v>
      </c>
      <c r="H226" s="3893" t="s">
        <v>24</v>
      </c>
      <c r="I226" s="3893" t="s">
        <v>803</v>
      </c>
    </row>
    <row r="227" spans="1:9" ht="11.25" customHeight="1">
      <c r="A227" s="3893" t="s">
        <v>2173</v>
      </c>
      <c r="B227" s="3893" t="s">
        <v>14</v>
      </c>
      <c r="C227" s="3893" t="s">
        <v>2373</v>
      </c>
      <c r="D227" s="3893" t="s">
        <v>2374</v>
      </c>
      <c r="E227" s="3893" t="s">
        <v>2375</v>
      </c>
      <c r="F227" s="3893" t="s">
        <v>49</v>
      </c>
      <c r="G227" s="3893" t="s">
        <v>2376</v>
      </c>
      <c r="H227" s="3893" t="s">
        <v>24</v>
      </c>
      <c r="I227" s="3893" t="s">
        <v>803</v>
      </c>
    </row>
    <row r="228" spans="1:9" ht="11.25" customHeight="1">
      <c r="A228" s="3893" t="s">
        <v>2173</v>
      </c>
      <c r="B228" s="3893" t="s">
        <v>14</v>
      </c>
      <c r="C228" s="3893" t="s">
        <v>2381</v>
      </c>
      <c r="D228" s="3893" t="s">
        <v>2382</v>
      </c>
      <c r="E228" s="3893" t="s">
        <v>2383</v>
      </c>
      <c r="F228" s="3893" t="s">
        <v>49</v>
      </c>
      <c r="G228" s="3893" t="s">
        <v>2384</v>
      </c>
      <c r="H228" s="3893" t="s">
        <v>24</v>
      </c>
      <c r="I228" s="3893" t="s">
        <v>803</v>
      </c>
    </row>
    <row r="229" spans="1:9" ht="11.25" customHeight="1">
      <c r="A229" s="3893" t="s">
        <v>2173</v>
      </c>
      <c r="B229" s="3893" t="s">
        <v>14</v>
      </c>
      <c r="C229" s="3893" t="s">
        <v>2399</v>
      </c>
      <c r="D229" s="3893" t="s">
        <v>2400</v>
      </c>
      <c r="E229" s="3893" t="s">
        <v>2401</v>
      </c>
      <c r="F229" s="3893" t="s">
        <v>2210</v>
      </c>
      <c r="G229" s="3893" t="s">
        <v>24</v>
      </c>
      <c r="H229" s="3893" t="s">
        <v>24</v>
      </c>
      <c r="I229" s="3893" t="s">
        <v>803</v>
      </c>
    </row>
    <row r="230" spans="1:9" ht="11.25" customHeight="1">
      <c r="A230" s="3893" t="s">
        <v>2173</v>
      </c>
      <c r="B230" s="3893" t="s">
        <v>14</v>
      </c>
      <c r="C230" s="3893" t="s">
        <v>2402</v>
      </c>
      <c r="D230" s="3893" t="s">
        <v>2403</v>
      </c>
      <c r="E230" s="3893" t="s">
        <v>2404</v>
      </c>
      <c r="F230" s="3893" t="s">
        <v>49</v>
      </c>
      <c r="G230" s="3893" t="s">
        <v>2405</v>
      </c>
      <c r="H230" s="3893" t="s">
        <v>24</v>
      </c>
      <c r="I230" s="3893" t="s">
        <v>803</v>
      </c>
    </row>
    <row r="231" spans="1:9" ht="11.25" customHeight="1">
      <c r="A231" s="3893" t="s">
        <v>2173</v>
      </c>
      <c r="B231" s="3893" t="s">
        <v>14</v>
      </c>
      <c r="C231" s="3893" t="s">
        <v>2521</v>
      </c>
      <c r="D231" s="3893" t="s">
        <v>2522</v>
      </c>
      <c r="E231" s="3893" t="s">
        <v>2523</v>
      </c>
      <c r="F231" s="3893" t="s">
        <v>49</v>
      </c>
      <c r="G231" s="3893" t="s">
        <v>2524</v>
      </c>
      <c r="H231" s="3893" t="s">
        <v>24</v>
      </c>
      <c r="I231" s="3893" t="s">
        <v>803</v>
      </c>
    </row>
    <row r="232" spans="1:9" ht="11.25" customHeight="1">
      <c r="A232" s="3893" t="s">
        <v>2173</v>
      </c>
      <c r="B232" s="3893" t="s">
        <v>14</v>
      </c>
      <c r="C232" s="3893" t="s">
        <v>2525</v>
      </c>
      <c r="D232" s="3893" t="s">
        <v>2526</v>
      </c>
      <c r="E232" s="3893" t="s">
        <v>2527</v>
      </c>
      <c r="F232" s="3893" t="s">
        <v>2246</v>
      </c>
      <c r="G232" s="3893" t="s">
        <v>24</v>
      </c>
      <c r="H232" s="3893" t="s">
        <v>24</v>
      </c>
      <c r="I232" s="3893" t="s">
        <v>803</v>
      </c>
    </row>
    <row r="233" spans="1:9" ht="11.25" customHeight="1">
      <c r="A233" s="3893" t="s">
        <v>2173</v>
      </c>
      <c r="B233" s="3893" t="s">
        <v>14</v>
      </c>
      <c r="C233" s="3893" t="s">
        <v>2416</v>
      </c>
      <c r="D233" s="3893" t="s">
        <v>2417</v>
      </c>
      <c r="E233" s="3893" t="s">
        <v>2418</v>
      </c>
      <c r="F233" s="3893" t="s">
        <v>49</v>
      </c>
      <c r="G233" s="3893" t="s">
        <v>2419</v>
      </c>
      <c r="H233" s="3893" t="s">
        <v>24</v>
      </c>
      <c r="I233" s="3893" t="s">
        <v>803</v>
      </c>
    </row>
    <row r="234" spans="1:9" ht="11.25" customHeight="1">
      <c r="A234" s="3893" t="s">
        <v>2173</v>
      </c>
      <c r="B234" s="3893" t="s">
        <v>14</v>
      </c>
      <c r="C234" s="3893" t="s">
        <v>2420</v>
      </c>
      <c r="D234" s="3893" t="s">
        <v>2421</v>
      </c>
      <c r="E234" s="3893" t="s">
        <v>2422</v>
      </c>
      <c r="F234" s="3893" t="s">
        <v>2327</v>
      </c>
      <c r="G234" s="3893" t="s">
        <v>24</v>
      </c>
      <c r="H234" s="3893" t="s">
        <v>24</v>
      </c>
      <c r="I234" s="3893" t="s">
        <v>803</v>
      </c>
    </row>
    <row r="235" spans="1:9" ht="11.25" customHeight="1">
      <c r="A235" s="3893" t="s">
        <v>2173</v>
      </c>
      <c r="B235" s="3893" t="s">
        <v>14</v>
      </c>
      <c r="C235" s="3893" t="s">
        <v>2431</v>
      </c>
      <c r="D235" s="3893" t="s">
        <v>2432</v>
      </c>
      <c r="E235" s="3893" t="s">
        <v>2433</v>
      </c>
      <c r="F235" s="3893" t="s">
        <v>2210</v>
      </c>
      <c r="G235" s="3893" t="s">
        <v>2434</v>
      </c>
      <c r="H235" s="3893" t="s">
        <v>24</v>
      </c>
      <c r="I235" s="3893" t="s">
        <v>803</v>
      </c>
    </row>
    <row r="236" spans="1:9" ht="11.25" customHeight="1">
      <c r="A236" s="3893" t="s">
        <v>2173</v>
      </c>
      <c r="B236" s="3893" t="s">
        <v>14</v>
      </c>
      <c r="C236" s="3893" t="s">
        <v>24</v>
      </c>
      <c r="D236" s="3893" t="s">
        <v>2441</v>
      </c>
      <c r="E236" s="3893" t="s">
        <v>2442</v>
      </c>
      <c r="F236" s="3893" t="s">
        <v>49</v>
      </c>
      <c r="G236" s="3893" t="s">
        <v>24</v>
      </c>
      <c r="H236" s="3893" t="s">
        <v>24</v>
      </c>
      <c r="I236" s="3893" t="s">
        <v>803</v>
      </c>
    </row>
    <row r="237" spans="1:9" ht="11.25" customHeight="1">
      <c r="A237" s="3893" t="s">
        <v>2173</v>
      </c>
      <c r="B237" s="3893" t="s">
        <v>14</v>
      </c>
      <c r="C237" s="3893" t="s">
        <v>2446</v>
      </c>
      <c r="D237" s="3893" t="s">
        <v>2447</v>
      </c>
      <c r="E237" s="3893" t="s">
        <v>2448</v>
      </c>
      <c r="F237" s="3893" t="s">
        <v>2449</v>
      </c>
      <c r="G237" s="3893" t="s">
        <v>24</v>
      </c>
      <c r="H237" s="3893" t="s">
        <v>24</v>
      </c>
      <c r="I237" s="3893" t="s">
        <v>803</v>
      </c>
    </row>
    <row r="238" spans="1:9" ht="11.25" customHeight="1">
      <c r="A238" s="3893" t="s">
        <v>2173</v>
      </c>
      <c r="B238" s="3893" t="s">
        <v>14</v>
      </c>
      <c r="C238" s="3893" t="s">
        <v>2450</v>
      </c>
      <c r="D238" s="3893" t="s">
        <v>2451</v>
      </c>
      <c r="E238" s="3893" t="s">
        <v>2448</v>
      </c>
      <c r="F238" s="3893" t="s">
        <v>2452</v>
      </c>
      <c r="G238" s="3893" t="s">
        <v>2453</v>
      </c>
      <c r="H238" s="3893" t="s">
        <v>24</v>
      </c>
      <c r="I238" s="3893" t="s">
        <v>803</v>
      </c>
    </row>
    <row r="239" spans="1:9" ht="11.25" customHeight="1">
      <c r="A239" s="3893" t="s">
        <v>2173</v>
      </c>
      <c r="B239" s="3893" t="s">
        <v>14</v>
      </c>
      <c r="C239" s="3893" t="s">
        <v>2537</v>
      </c>
      <c r="D239" s="3893" t="s">
        <v>2538</v>
      </c>
      <c r="E239" s="3893" t="s">
        <v>2539</v>
      </c>
      <c r="F239" s="3893" t="s">
        <v>49</v>
      </c>
      <c r="G239" s="3893" t="s">
        <v>24</v>
      </c>
      <c r="H239" s="3893" t="s">
        <v>24</v>
      </c>
      <c r="I239" s="3893" t="s">
        <v>1614</v>
      </c>
    </row>
    <row r="240" spans="1:9" ht="11.25" customHeight="1">
      <c r="A240" s="3893" t="s">
        <v>2173</v>
      </c>
      <c r="B240" s="3893" t="s">
        <v>14</v>
      </c>
      <c r="C240" s="3893" t="s">
        <v>2540</v>
      </c>
      <c r="D240" s="3893" t="s">
        <v>2541</v>
      </c>
      <c r="E240" s="3893" t="s">
        <v>2542</v>
      </c>
      <c r="F240" s="3893" t="s">
        <v>49</v>
      </c>
      <c r="G240" s="3893" t="s">
        <v>2543</v>
      </c>
      <c r="H240" s="3893" t="s">
        <v>24</v>
      </c>
      <c r="I240" s="3893" t="s">
        <v>1614</v>
      </c>
    </row>
    <row r="241" spans="1:9" ht="11.25" customHeight="1">
      <c r="A241" s="3893" t="s">
        <v>2173</v>
      </c>
      <c r="B241" s="3893" t="s">
        <v>14</v>
      </c>
      <c r="C241" s="3893" t="s">
        <v>2544</v>
      </c>
      <c r="D241" s="3893" t="s">
        <v>2545</v>
      </c>
      <c r="E241" s="3893" t="s">
        <v>2546</v>
      </c>
      <c r="F241" s="3893" t="s">
        <v>558</v>
      </c>
      <c r="G241" s="3893" t="s">
        <v>24</v>
      </c>
      <c r="H241" s="3893" t="s">
        <v>24</v>
      </c>
      <c r="I241" s="3893" t="s">
        <v>1614</v>
      </c>
    </row>
    <row r="242" spans="1:9" ht="11.25" customHeight="1">
      <c r="A242" s="3893" t="s">
        <v>2173</v>
      </c>
      <c r="B242" s="3893" t="s">
        <v>14</v>
      </c>
      <c r="C242" s="3893" t="s">
        <v>2547</v>
      </c>
      <c r="D242" s="3893" t="s">
        <v>2548</v>
      </c>
      <c r="E242" s="3893" t="s">
        <v>2549</v>
      </c>
      <c r="F242" s="3893" t="s">
        <v>558</v>
      </c>
      <c r="G242" s="3893" t="s">
        <v>24</v>
      </c>
      <c r="H242" s="3893" t="s">
        <v>24</v>
      </c>
      <c r="I242" s="3893" t="s">
        <v>1614</v>
      </c>
    </row>
    <row r="243" spans="1:9" ht="11.25" customHeight="1">
      <c r="A243" s="3893" t="s">
        <v>2173</v>
      </c>
      <c r="B243" s="3893" t="s">
        <v>14</v>
      </c>
      <c r="C243" s="3893" t="s">
        <v>2550</v>
      </c>
      <c r="D243" s="3893" t="s">
        <v>2551</v>
      </c>
      <c r="E243" s="3893" t="s">
        <v>2552</v>
      </c>
      <c r="F243" s="3893" t="s">
        <v>2327</v>
      </c>
      <c r="G243" s="3893" t="s">
        <v>24</v>
      </c>
      <c r="H243" s="3893" t="s">
        <v>24</v>
      </c>
      <c r="I243" s="3893" t="s">
        <v>1614</v>
      </c>
    </row>
    <row r="244" spans="1:9" ht="11.25" customHeight="1">
      <c r="A244" s="3893" t="s">
        <v>2173</v>
      </c>
      <c r="B244" s="3893" t="s">
        <v>14</v>
      </c>
      <c r="C244" s="3893" t="s">
        <v>2553</v>
      </c>
      <c r="D244" s="3893" t="s">
        <v>2554</v>
      </c>
      <c r="E244" s="3893" t="s">
        <v>2555</v>
      </c>
      <c r="F244" s="3893" t="s">
        <v>49</v>
      </c>
      <c r="G244" s="3893" t="s">
        <v>24</v>
      </c>
      <c r="H244" s="3893" t="s">
        <v>24</v>
      </c>
      <c r="I244" s="3893" t="s">
        <v>1614</v>
      </c>
    </row>
    <row r="245" spans="1:9" ht="11.25" customHeight="1">
      <c r="A245" s="3893" t="s">
        <v>2173</v>
      </c>
      <c r="B245" s="3893" t="s">
        <v>14</v>
      </c>
      <c r="C245" s="3893" t="s">
        <v>2556</v>
      </c>
      <c r="D245" s="3893" t="s">
        <v>2557</v>
      </c>
      <c r="E245" s="3893" t="s">
        <v>2558</v>
      </c>
      <c r="F245" s="3893" t="s">
        <v>2559</v>
      </c>
      <c r="G245" s="3893" t="s">
        <v>24</v>
      </c>
      <c r="H245" s="3893" t="s">
        <v>24</v>
      </c>
      <c r="I245" s="3893" t="s">
        <v>1614</v>
      </c>
    </row>
    <row r="246" spans="1:9" ht="11.25" customHeight="1">
      <c r="A246" s="3893" t="s">
        <v>2173</v>
      </c>
      <c r="B246" s="3893" t="s">
        <v>14</v>
      </c>
      <c r="C246" s="3893" t="s">
        <v>2211</v>
      </c>
      <c r="D246" s="3893" t="s">
        <v>2212</v>
      </c>
      <c r="E246" s="3893" t="s">
        <v>2213</v>
      </c>
      <c r="F246" s="3893" t="s">
        <v>2214</v>
      </c>
      <c r="G246" s="3893" t="s">
        <v>24</v>
      </c>
      <c r="H246" s="3893" t="s">
        <v>24</v>
      </c>
      <c r="I246" s="3893" t="s">
        <v>1614</v>
      </c>
    </row>
    <row r="247" spans="1:9" ht="11.25" customHeight="1">
      <c r="A247" s="3893" t="s">
        <v>2173</v>
      </c>
      <c r="B247" s="3893" t="s">
        <v>14</v>
      </c>
      <c r="C247" s="3893" t="s">
        <v>2467</v>
      </c>
      <c r="D247" s="3893" t="s">
        <v>2468</v>
      </c>
      <c r="E247" s="3893" t="s">
        <v>2469</v>
      </c>
      <c r="F247" s="3893" t="s">
        <v>2221</v>
      </c>
      <c r="G247" s="3893" t="s">
        <v>2470</v>
      </c>
      <c r="H247" s="3893" t="s">
        <v>24</v>
      </c>
      <c r="I247" s="3893" t="s">
        <v>1614</v>
      </c>
    </row>
    <row r="248" spans="1:9" ht="11.25" customHeight="1">
      <c r="A248" s="3893" t="s">
        <v>2173</v>
      </c>
      <c r="B248" s="3893" t="s">
        <v>14</v>
      </c>
      <c r="C248" s="3893" t="s">
        <v>2218</v>
      </c>
      <c r="D248" s="3893" t="s">
        <v>2219</v>
      </c>
      <c r="E248" s="3893" t="s">
        <v>2220</v>
      </c>
      <c r="F248" s="3893" t="s">
        <v>2221</v>
      </c>
      <c r="G248" s="3893" t="s">
        <v>24</v>
      </c>
      <c r="H248" s="3893" t="s">
        <v>24</v>
      </c>
      <c r="I248" s="3893" t="s">
        <v>1614</v>
      </c>
    </row>
    <row r="249" spans="1:9" ht="11.25" customHeight="1">
      <c r="A249" s="3893" t="s">
        <v>2173</v>
      </c>
      <c r="B249" s="3893" t="s">
        <v>14</v>
      </c>
      <c r="C249" s="3893" t="s">
        <v>2477</v>
      </c>
      <c r="D249" s="3893" t="s">
        <v>2478</v>
      </c>
      <c r="E249" s="3893" t="s">
        <v>2479</v>
      </c>
      <c r="F249" s="3893" t="s">
        <v>2227</v>
      </c>
      <c r="G249" s="3893" t="s">
        <v>24</v>
      </c>
      <c r="H249" s="3893" t="s">
        <v>24</v>
      </c>
      <c r="I249" s="3893" t="s">
        <v>1614</v>
      </c>
    </row>
    <row r="250" spans="1:9" ht="11.25" customHeight="1">
      <c r="A250" s="3893" t="s">
        <v>2173</v>
      </c>
      <c r="B250" s="3893" t="s">
        <v>14</v>
      </c>
      <c r="C250" s="3893" t="s">
        <v>2560</v>
      </c>
      <c r="D250" s="3893" t="s">
        <v>2561</v>
      </c>
      <c r="E250" s="3893" t="s">
        <v>2562</v>
      </c>
      <c r="F250" s="3893" t="s">
        <v>2199</v>
      </c>
      <c r="G250" s="3893" t="s">
        <v>24</v>
      </c>
      <c r="H250" s="3893" t="s">
        <v>24</v>
      </c>
      <c r="I250" s="3893" t="s">
        <v>1614</v>
      </c>
    </row>
    <row r="251" spans="1:9" ht="11.25" customHeight="1">
      <c r="A251" s="3893" t="s">
        <v>2173</v>
      </c>
      <c r="B251" s="3893" t="s">
        <v>14</v>
      </c>
      <c r="C251" s="3893" t="s">
        <v>2235</v>
      </c>
      <c r="D251" s="3893" t="s">
        <v>2236</v>
      </c>
      <c r="E251" s="3893" t="s">
        <v>2237</v>
      </c>
      <c r="F251" s="3893" t="s">
        <v>49</v>
      </c>
      <c r="G251" s="3893" t="s">
        <v>24</v>
      </c>
      <c r="H251" s="3893" t="s">
        <v>24</v>
      </c>
      <c r="I251" s="3893" t="s">
        <v>1614</v>
      </c>
    </row>
    <row r="252" spans="1:9" ht="11.25" customHeight="1">
      <c r="A252" s="3893" t="s">
        <v>2173</v>
      </c>
      <c r="B252" s="3893" t="s">
        <v>14</v>
      </c>
      <c r="C252" s="3893" t="s">
        <v>2238</v>
      </c>
      <c r="D252" s="3893" t="s">
        <v>2239</v>
      </c>
      <c r="E252" s="3893" t="s">
        <v>2240</v>
      </c>
      <c r="F252" s="3893" t="s">
        <v>2241</v>
      </c>
      <c r="G252" s="3893" t="s">
        <v>2242</v>
      </c>
      <c r="H252" s="3893" t="s">
        <v>24</v>
      </c>
      <c r="I252" s="3893" t="s">
        <v>1614</v>
      </c>
    </row>
    <row r="253" spans="1:9" ht="11.25" customHeight="1">
      <c r="A253" s="3893" t="s">
        <v>2173</v>
      </c>
      <c r="B253" s="3893" t="s">
        <v>14</v>
      </c>
      <c r="C253" s="3893" t="s">
        <v>2563</v>
      </c>
      <c r="D253" s="3893" t="s">
        <v>2564</v>
      </c>
      <c r="E253" s="3893" t="s">
        <v>2565</v>
      </c>
      <c r="F253" s="3893" t="s">
        <v>2300</v>
      </c>
      <c r="G253" s="3893" t="s">
        <v>24</v>
      </c>
      <c r="H253" s="3893" t="s">
        <v>24</v>
      </c>
      <c r="I253" s="3893" t="s">
        <v>1614</v>
      </c>
    </row>
    <row r="254" spans="1:9" ht="11.25" customHeight="1">
      <c r="A254" s="3893" t="s">
        <v>2173</v>
      </c>
      <c r="B254" s="3893" t="s">
        <v>14</v>
      </c>
      <c r="C254" s="3893" t="s">
        <v>2252</v>
      </c>
      <c r="D254" s="3893" t="s">
        <v>2253</v>
      </c>
      <c r="E254" s="3893" t="s">
        <v>2254</v>
      </c>
      <c r="F254" s="3893" t="s">
        <v>2255</v>
      </c>
      <c r="G254" s="3893" t="s">
        <v>2256</v>
      </c>
      <c r="H254" s="3893" t="s">
        <v>24</v>
      </c>
      <c r="I254" s="3893" t="s">
        <v>1614</v>
      </c>
    </row>
    <row r="255" spans="1:9" ht="11.25" customHeight="1">
      <c r="A255" s="3893" t="s">
        <v>2173</v>
      </c>
      <c r="B255" s="3893" t="s">
        <v>14</v>
      </c>
      <c r="C255" s="3893" t="s">
        <v>2566</v>
      </c>
      <c r="D255" s="3893" t="s">
        <v>2567</v>
      </c>
      <c r="E255" s="3893" t="s">
        <v>2568</v>
      </c>
      <c r="F255" s="3893" t="s">
        <v>2188</v>
      </c>
      <c r="G255" s="3893" t="s">
        <v>24</v>
      </c>
      <c r="H255" s="3893" t="s">
        <v>24</v>
      </c>
      <c r="I255" s="3893" t="s">
        <v>1614</v>
      </c>
    </row>
    <row r="256" spans="1:9" ht="11.25" customHeight="1">
      <c r="A256" s="3893" t="s">
        <v>2173</v>
      </c>
      <c r="B256" s="3893" t="s">
        <v>14</v>
      </c>
      <c r="C256" s="3893" t="s">
        <v>2289</v>
      </c>
      <c r="D256" s="3893" t="s">
        <v>2290</v>
      </c>
      <c r="E256" s="3893" t="s">
        <v>2291</v>
      </c>
      <c r="F256" s="3893" t="s">
        <v>2214</v>
      </c>
      <c r="G256" s="3893" t="s">
        <v>2292</v>
      </c>
      <c r="H256" s="3893" t="s">
        <v>24</v>
      </c>
      <c r="I256" s="3893" t="s">
        <v>1614</v>
      </c>
    </row>
    <row r="257" spans="1:9" ht="11.25" customHeight="1">
      <c r="A257" s="3893" t="s">
        <v>2173</v>
      </c>
      <c r="B257" s="3893" t="s">
        <v>14</v>
      </c>
      <c r="C257" s="3893" t="s">
        <v>2569</v>
      </c>
      <c r="D257" s="3893" t="s">
        <v>2570</v>
      </c>
      <c r="E257" s="3893" t="s">
        <v>2571</v>
      </c>
      <c r="F257" s="3893" t="s">
        <v>2231</v>
      </c>
      <c r="G257" s="3893" t="s">
        <v>2572</v>
      </c>
      <c r="H257" s="3893" t="s">
        <v>24</v>
      </c>
      <c r="I257" s="3893" t="s">
        <v>1614</v>
      </c>
    </row>
    <row r="258" spans="1:9" ht="11.25" customHeight="1">
      <c r="A258" s="3893" t="s">
        <v>2173</v>
      </c>
      <c r="B258" s="3893" t="s">
        <v>14</v>
      </c>
      <c r="C258" s="3893" t="s">
        <v>2307</v>
      </c>
      <c r="D258" s="3893" t="s">
        <v>2308</v>
      </c>
      <c r="E258" s="3893" t="s">
        <v>2309</v>
      </c>
      <c r="F258" s="3893" t="s">
        <v>2210</v>
      </c>
      <c r="G258" s="3893" t="s">
        <v>24</v>
      </c>
      <c r="H258" s="3893" t="s">
        <v>24</v>
      </c>
      <c r="I258" s="3893" t="s">
        <v>1614</v>
      </c>
    </row>
    <row r="259" spans="1:9" ht="11.25" customHeight="1">
      <c r="A259" s="3893" t="s">
        <v>2173</v>
      </c>
      <c r="B259" s="3893" t="s">
        <v>14</v>
      </c>
      <c r="C259" s="3893" t="s">
        <v>2573</v>
      </c>
      <c r="D259" s="3893" t="s">
        <v>2574</v>
      </c>
      <c r="E259" s="3893" t="s">
        <v>2575</v>
      </c>
      <c r="F259" s="3893" t="s">
        <v>49</v>
      </c>
      <c r="G259" s="3893" t="s">
        <v>24</v>
      </c>
      <c r="H259" s="3893" t="s">
        <v>24</v>
      </c>
      <c r="I259" s="3893" t="s">
        <v>1614</v>
      </c>
    </row>
    <row r="260" spans="1:9" ht="11.25" customHeight="1">
      <c r="A260" s="3893" t="s">
        <v>2173</v>
      </c>
      <c r="B260" s="3893" t="s">
        <v>14</v>
      </c>
      <c r="C260" s="3893" t="s">
        <v>2576</v>
      </c>
      <c r="D260" s="3893" t="s">
        <v>2577</v>
      </c>
      <c r="E260" s="3893" t="s">
        <v>2578</v>
      </c>
      <c r="F260" s="3893" t="s">
        <v>2241</v>
      </c>
      <c r="G260" s="3893" t="s">
        <v>24</v>
      </c>
      <c r="H260" s="3893" t="s">
        <v>24</v>
      </c>
      <c r="I260" s="3893" t="s">
        <v>1614</v>
      </c>
    </row>
    <row r="261" spans="1:9" ht="11.25" customHeight="1">
      <c r="A261" s="3893" t="s">
        <v>2173</v>
      </c>
      <c r="B261" s="3893" t="s">
        <v>14</v>
      </c>
      <c r="C261" s="3893" t="s">
        <v>2579</v>
      </c>
      <c r="D261" s="3893" t="s">
        <v>2580</v>
      </c>
      <c r="E261" s="3893" t="s">
        <v>2581</v>
      </c>
      <c r="F261" s="3893" t="s">
        <v>2192</v>
      </c>
      <c r="G261" s="3893" t="s">
        <v>24</v>
      </c>
      <c r="H261" s="3893" t="s">
        <v>24</v>
      </c>
      <c r="I261" s="3893" t="s">
        <v>1614</v>
      </c>
    </row>
    <row r="262" spans="1:9" ht="11.25" customHeight="1">
      <c r="A262" s="3893" t="s">
        <v>2173</v>
      </c>
      <c r="B262" s="3893" t="s">
        <v>14</v>
      </c>
      <c r="C262" s="3893" t="s">
        <v>2582</v>
      </c>
      <c r="D262" s="3893" t="s">
        <v>2583</v>
      </c>
      <c r="E262" s="3893" t="s">
        <v>2584</v>
      </c>
      <c r="F262" s="3893" t="s">
        <v>2327</v>
      </c>
      <c r="G262" s="3893" t="s">
        <v>24</v>
      </c>
      <c r="H262" s="3893" t="s">
        <v>24</v>
      </c>
      <c r="I262" s="3893" t="s">
        <v>1614</v>
      </c>
    </row>
    <row r="263" spans="1:9" ht="11.25" customHeight="1">
      <c r="A263" s="3893" t="s">
        <v>2173</v>
      </c>
      <c r="B263" s="3893" t="s">
        <v>14</v>
      </c>
      <c r="C263" s="3893" t="s">
        <v>2585</v>
      </c>
      <c r="D263" s="3893" t="s">
        <v>2586</v>
      </c>
      <c r="E263" s="3893" t="s">
        <v>2587</v>
      </c>
      <c r="F263" s="3893" t="s">
        <v>49</v>
      </c>
      <c r="G263" s="3893" t="s">
        <v>24</v>
      </c>
      <c r="H263" s="3893" t="s">
        <v>24</v>
      </c>
      <c r="I263" s="3893" t="s">
        <v>1614</v>
      </c>
    </row>
    <row r="264" spans="1:9" ht="11.25" customHeight="1">
      <c r="A264" s="3893" t="s">
        <v>2173</v>
      </c>
      <c r="B264" s="3893" t="s">
        <v>14</v>
      </c>
      <c r="C264" s="3893" t="s">
        <v>2588</v>
      </c>
      <c r="D264" s="3893" t="s">
        <v>2589</v>
      </c>
      <c r="E264" s="3893" t="s">
        <v>2590</v>
      </c>
      <c r="F264" s="3893" t="s">
        <v>2591</v>
      </c>
      <c r="G264" s="3893" t="s">
        <v>24</v>
      </c>
      <c r="H264" s="3893" t="s">
        <v>24</v>
      </c>
      <c r="I264" s="3893" t="s">
        <v>1614</v>
      </c>
    </row>
    <row r="265" spans="1:9" ht="11.25" customHeight="1">
      <c r="A265" s="3893" t="s">
        <v>2173</v>
      </c>
      <c r="B265" s="3893" t="s">
        <v>14</v>
      </c>
      <c r="C265" s="3893" t="s">
        <v>2356</v>
      </c>
      <c r="D265" s="3893" t="s">
        <v>2357</v>
      </c>
      <c r="E265" s="3893" t="s">
        <v>2358</v>
      </c>
      <c r="F265" s="3893" t="s">
        <v>2227</v>
      </c>
      <c r="G265" s="3893" t="s">
        <v>2359</v>
      </c>
      <c r="H265" s="3893" t="s">
        <v>24</v>
      </c>
      <c r="I265" s="3893" t="s">
        <v>1614</v>
      </c>
    </row>
    <row r="266" spans="1:9" ht="11.25" customHeight="1">
      <c r="A266" s="3893" t="s">
        <v>2173</v>
      </c>
      <c r="B266" s="3893" t="s">
        <v>14</v>
      </c>
      <c r="C266" s="3893" t="s">
        <v>2592</v>
      </c>
      <c r="D266" s="3893" t="s">
        <v>2593</v>
      </c>
      <c r="E266" s="3893" t="s">
        <v>2594</v>
      </c>
      <c r="F266" s="3893" t="s">
        <v>2184</v>
      </c>
      <c r="G266" s="3893" t="s">
        <v>24</v>
      </c>
      <c r="H266" s="3893" t="s">
        <v>24</v>
      </c>
      <c r="I266" s="3893" t="s">
        <v>1614</v>
      </c>
    </row>
    <row r="267" spans="1:9" ht="11.25" customHeight="1">
      <c r="A267" s="3893" t="s">
        <v>2173</v>
      </c>
      <c r="B267" s="3893" t="s">
        <v>14</v>
      </c>
      <c r="C267" s="3893" t="s">
        <v>2595</v>
      </c>
      <c r="D267" s="3893" t="s">
        <v>2596</v>
      </c>
      <c r="E267" s="3893" t="s">
        <v>2597</v>
      </c>
      <c r="F267" s="3893" t="s">
        <v>2255</v>
      </c>
      <c r="G267" s="3893" t="s">
        <v>24</v>
      </c>
      <c r="H267" s="3893" t="s">
        <v>24</v>
      </c>
      <c r="I267" s="3893" t="s">
        <v>1614</v>
      </c>
    </row>
    <row r="268" spans="1:9" ht="11.25" customHeight="1">
      <c r="A268" s="3893" t="s">
        <v>2173</v>
      </c>
      <c r="B268" s="3893" t="s">
        <v>14</v>
      </c>
      <c r="C268" s="3893" t="s">
        <v>2598</v>
      </c>
      <c r="D268" s="3893" t="s">
        <v>2599</v>
      </c>
      <c r="E268" s="3893" t="s">
        <v>2600</v>
      </c>
      <c r="F268" s="3893" t="s">
        <v>2192</v>
      </c>
      <c r="G268" s="3893" t="s">
        <v>24</v>
      </c>
      <c r="H268" s="3893" t="s">
        <v>24</v>
      </c>
      <c r="I268" s="3893" t="s">
        <v>1614</v>
      </c>
    </row>
    <row r="269" spans="1:9" ht="11.25" customHeight="1">
      <c r="A269" s="3893" t="s">
        <v>2173</v>
      </c>
      <c r="B269" s="3893" t="s">
        <v>14</v>
      </c>
      <c r="C269" s="3893" t="s">
        <v>2601</v>
      </c>
      <c r="D269" s="3893" t="s">
        <v>2602</v>
      </c>
      <c r="E269" s="3893" t="s">
        <v>2603</v>
      </c>
      <c r="F269" s="3893" t="s">
        <v>2280</v>
      </c>
      <c r="G269" s="3893" t="s">
        <v>2604</v>
      </c>
      <c r="H269" s="3893" t="s">
        <v>24</v>
      </c>
      <c r="I269" s="3893" t="s">
        <v>1614</v>
      </c>
    </row>
    <row r="270" spans="1:9" ht="11.25" customHeight="1">
      <c r="A270" s="3893" t="s">
        <v>2173</v>
      </c>
      <c r="B270" s="3893" t="s">
        <v>14</v>
      </c>
      <c r="C270" s="3893" t="s">
        <v>2605</v>
      </c>
      <c r="D270" s="3893" t="s">
        <v>2606</v>
      </c>
      <c r="E270" s="3893" t="s">
        <v>2607</v>
      </c>
      <c r="F270" s="3893" t="s">
        <v>49</v>
      </c>
      <c r="G270" s="3893" t="s">
        <v>24</v>
      </c>
      <c r="H270" s="3893" t="s">
        <v>24</v>
      </c>
      <c r="I270" s="3893" t="s">
        <v>1614</v>
      </c>
    </row>
    <row r="271" spans="1:9" ht="11.25" customHeight="1">
      <c r="A271" s="3893" t="s">
        <v>2173</v>
      </c>
      <c r="B271" s="3893" t="s">
        <v>14</v>
      </c>
      <c r="C271" s="3893" t="s">
        <v>2608</v>
      </c>
      <c r="D271" s="3893" t="s">
        <v>2609</v>
      </c>
      <c r="E271" s="3893" t="s">
        <v>2610</v>
      </c>
      <c r="F271" s="3893" t="s">
        <v>49</v>
      </c>
      <c r="G271" s="3893" t="s">
        <v>24</v>
      </c>
      <c r="H271" s="3893" t="s">
        <v>24</v>
      </c>
      <c r="I271" s="3893" t="s">
        <v>1614</v>
      </c>
    </row>
    <row r="272" spans="1:9" ht="11.25" customHeight="1">
      <c r="A272" s="3893" t="s">
        <v>2173</v>
      </c>
      <c r="B272" s="3893" t="s">
        <v>14</v>
      </c>
      <c r="C272" s="3893" t="s">
        <v>2611</v>
      </c>
      <c r="D272" s="3893" t="s">
        <v>2612</v>
      </c>
      <c r="E272" s="3893" t="s">
        <v>2613</v>
      </c>
      <c r="F272" s="3893" t="s">
        <v>2380</v>
      </c>
      <c r="G272" s="3893" t="s">
        <v>24</v>
      </c>
      <c r="H272" s="3893" t="s">
        <v>24</v>
      </c>
      <c r="I272" s="3893" t="s">
        <v>1614</v>
      </c>
    </row>
    <row r="273" spans="1:9" ht="11.25" customHeight="1">
      <c r="A273" s="3893" t="s">
        <v>2173</v>
      </c>
      <c r="B273" s="3893" t="s">
        <v>14</v>
      </c>
      <c r="C273" s="3893" t="s">
        <v>2614</v>
      </c>
      <c r="D273" s="3893" t="s">
        <v>2615</v>
      </c>
      <c r="E273" s="3893" t="s">
        <v>2616</v>
      </c>
      <c r="F273" s="3893" t="s">
        <v>2380</v>
      </c>
      <c r="G273" s="3893" t="s">
        <v>24</v>
      </c>
      <c r="H273" s="3893" t="s">
        <v>24</v>
      </c>
      <c r="I273" s="3893" t="s">
        <v>1614</v>
      </c>
    </row>
    <row r="274" spans="1:9" ht="11.25" customHeight="1">
      <c r="A274" s="3893" t="s">
        <v>2173</v>
      </c>
      <c r="B274" s="3893" t="s">
        <v>14</v>
      </c>
      <c r="C274" s="3893" t="s">
        <v>2617</v>
      </c>
      <c r="D274" s="3893" t="s">
        <v>2618</v>
      </c>
      <c r="E274" s="3893" t="s">
        <v>2619</v>
      </c>
      <c r="F274" s="3893" t="s">
        <v>49</v>
      </c>
      <c r="G274" s="3893" t="s">
        <v>24</v>
      </c>
      <c r="H274" s="3893" t="s">
        <v>24</v>
      </c>
      <c r="I274" s="3893" t="s">
        <v>1614</v>
      </c>
    </row>
    <row r="275" spans="1:9" ht="11.25" customHeight="1">
      <c r="A275" s="3893" t="s">
        <v>2173</v>
      </c>
      <c r="B275" s="3893" t="s">
        <v>14</v>
      </c>
      <c r="C275" s="3893" t="s">
        <v>2620</v>
      </c>
      <c r="D275" s="3893" t="s">
        <v>2621</v>
      </c>
      <c r="E275" s="3893" t="s">
        <v>2622</v>
      </c>
      <c r="F275" s="3893" t="s">
        <v>49</v>
      </c>
      <c r="G275" s="3893" t="s">
        <v>24</v>
      </c>
      <c r="H275" s="3893" t="s">
        <v>24</v>
      </c>
      <c r="I275" s="3893" t="s">
        <v>1614</v>
      </c>
    </row>
    <row r="276" spans="1:9" ht="11.25" customHeight="1">
      <c r="A276" s="3893" t="s">
        <v>2173</v>
      </c>
      <c r="B276" s="3893" t="s">
        <v>14</v>
      </c>
      <c r="C276" s="3893" t="s">
        <v>2623</v>
      </c>
      <c r="D276" s="3893" t="s">
        <v>2624</v>
      </c>
      <c r="E276" s="3893" t="s">
        <v>2625</v>
      </c>
      <c r="F276" s="3893" t="s">
        <v>2280</v>
      </c>
      <c r="G276" s="3893" t="s">
        <v>24</v>
      </c>
      <c r="H276" s="3893" t="s">
        <v>24</v>
      </c>
      <c r="I276" s="3893" t="s">
        <v>1614</v>
      </c>
    </row>
    <row r="277" spans="1:9" ht="11.25" customHeight="1">
      <c r="A277" s="3893" t="s">
        <v>2173</v>
      </c>
      <c r="B277" s="3893" t="s">
        <v>14</v>
      </c>
      <c r="C277" s="3893" t="s">
        <v>2431</v>
      </c>
      <c r="D277" s="3893" t="s">
        <v>2432</v>
      </c>
      <c r="E277" s="3893" t="s">
        <v>2433</v>
      </c>
      <c r="F277" s="3893" t="s">
        <v>2210</v>
      </c>
      <c r="G277" s="3893" t="s">
        <v>2434</v>
      </c>
      <c r="H277" s="3893" t="s">
        <v>24</v>
      </c>
      <c r="I277" s="3893" t="s">
        <v>1614</v>
      </c>
    </row>
    <row r="278" spans="1:9" ht="11.25" customHeight="1">
      <c r="A278" s="3893" t="s">
        <v>2173</v>
      </c>
      <c r="B278" s="3893" t="s">
        <v>14</v>
      </c>
      <c r="C278" s="3893" t="s">
        <v>24</v>
      </c>
      <c r="D278" s="3893" t="s">
        <v>2441</v>
      </c>
      <c r="E278" s="3893" t="s">
        <v>2442</v>
      </c>
      <c r="F278" s="3893" t="s">
        <v>49</v>
      </c>
      <c r="G278" s="3893" t="s">
        <v>24</v>
      </c>
      <c r="H278" s="3893" t="s">
        <v>24</v>
      </c>
      <c r="I278" s="3893" t="s">
        <v>1614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3"/>
  <sheetViews>
    <sheetView showGridLines="0" workbookViewId="0"/>
  </sheetViews>
  <sheetFormatPr defaultRowHeight="11.25" customHeight="1"/>
  <cols>
    <col min="1" max="1" width="9.140625" style="3868"/>
  </cols>
  <sheetData>
    <row r="1" spans="1:7" ht="11.25" customHeight="1">
      <c r="A1" s="301" t="s">
        <v>2626</v>
      </c>
      <c r="B1" s="1" t="s">
        <v>2627</v>
      </c>
      <c r="C1" s="1" t="s">
        <v>2628</v>
      </c>
      <c r="D1" s="1" t="s">
        <v>2629</v>
      </c>
      <c r="E1" t="s">
        <v>2630</v>
      </c>
      <c r="F1" t="s">
        <v>2631</v>
      </c>
      <c r="G1" t="s">
        <v>2632</v>
      </c>
    </row>
    <row r="2" spans="1:7" ht="11.25" customHeight="1">
      <c r="A2" s="301" t="s">
        <v>14</v>
      </c>
      <c r="B2" t="s">
        <v>2633</v>
      </c>
      <c r="C2" t="s">
        <v>2634</v>
      </c>
      <c r="D2" t="s">
        <v>2633</v>
      </c>
      <c r="E2" t="s">
        <v>2634</v>
      </c>
      <c r="F2" t="s">
        <v>2635</v>
      </c>
      <c r="G2" t="s">
        <v>107</v>
      </c>
    </row>
    <row r="3" spans="1:7" ht="11.25" customHeight="1">
      <c r="A3" s="301" t="s">
        <v>14</v>
      </c>
      <c r="B3" t="s">
        <v>2636</v>
      </c>
      <c r="C3" t="s">
        <v>2637</v>
      </c>
      <c r="D3" t="s">
        <v>2636</v>
      </c>
      <c r="E3" t="s">
        <v>2637</v>
      </c>
      <c r="F3" t="s">
        <v>2635</v>
      </c>
      <c r="G3" t="s">
        <v>108</v>
      </c>
    </row>
    <row r="4" spans="1:7" ht="11.25" customHeight="1">
      <c r="A4" s="301" t="s">
        <v>14</v>
      </c>
      <c r="B4" t="s">
        <v>2638</v>
      </c>
      <c r="C4" t="s">
        <v>2639</v>
      </c>
      <c r="D4" t="s">
        <v>2638</v>
      </c>
      <c r="E4" t="s">
        <v>2639</v>
      </c>
      <c r="F4" t="s">
        <v>2635</v>
      </c>
      <c r="G4" t="s">
        <v>88</v>
      </c>
    </row>
    <row r="5" spans="1:7" ht="11.25" customHeight="1">
      <c r="A5" s="301" t="s">
        <v>14</v>
      </c>
      <c r="B5" t="s">
        <v>2640</v>
      </c>
      <c r="C5" t="s">
        <v>2641</v>
      </c>
      <c r="D5" t="s">
        <v>2640</v>
      </c>
      <c r="E5" t="s">
        <v>2641</v>
      </c>
      <c r="F5" t="s">
        <v>2635</v>
      </c>
      <c r="G5" t="s">
        <v>89</v>
      </c>
    </row>
    <row r="6" spans="1:7" ht="11.25" customHeight="1">
      <c r="A6" s="301" t="s">
        <v>14</v>
      </c>
      <c r="B6" t="s">
        <v>2642</v>
      </c>
      <c r="C6" t="s">
        <v>2643</v>
      </c>
      <c r="D6" t="s">
        <v>2642</v>
      </c>
      <c r="E6" t="s">
        <v>2643</v>
      </c>
      <c r="F6" t="s">
        <v>2635</v>
      </c>
      <c r="G6" t="s">
        <v>109</v>
      </c>
    </row>
    <row r="7" spans="1:7" ht="11.25" customHeight="1">
      <c r="A7" s="301" t="s">
        <v>14</v>
      </c>
      <c r="B7" t="s">
        <v>2644</v>
      </c>
      <c r="C7" t="s">
        <v>2645</v>
      </c>
      <c r="D7" t="s">
        <v>2644</v>
      </c>
      <c r="E7" t="s">
        <v>2645</v>
      </c>
      <c r="F7" t="s">
        <v>2635</v>
      </c>
      <c r="G7" t="s">
        <v>90</v>
      </c>
    </row>
    <row r="8" spans="1:7" ht="11.25" customHeight="1">
      <c r="A8" s="301" t="s">
        <v>14</v>
      </c>
      <c r="B8" t="s">
        <v>2646</v>
      </c>
      <c r="C8" t="s">
        <v>2647</v>
      </c>
      <c r="D8" t="s">
        <v>2646</v>
      </c>
      <c r="E8" t="s">
        <v>2647</v>
      </c>
      <c r="F8" t="s">
        <v>2635</v>
      </c>
      <c r="G8" t="s">
        <v>91</v>
      </c>
    </row>
    <row r="9" spans="1:7" ht="11.25" customHeight="1">
      <c r="A9" s="301" t="s">
        <v>14</v>
      </c>
      <c r="B9" t="s">
        <v>2648</v>
      </c>
      <c r="C9" t="s">
        <v>2649</v>
      </c>
      <c r="D9" t="s">
        <v>2648</v>
      </c>
      <c r="E9" t="s">
        <v>2649</v>
      </c>
      <c r="F9" t="s">
        <v>2635</v>
      </c>
      <c r="G9" t="s">
        <v>110</v>
      </c>
    </row>
    <row r="10" spans="1:7" ht="11.25" customHeight="1">
      <c r="A10" s="301" t="s">
        <v>14</v>
      </c>
      <c r="B10" t="s">
        <v>2650</v>
      </c>
      <c r="C10" t="s">
        <v>2651</v>
      </c>
      <c r="D10" t="s">
        <v>2652</v>
      </c>
      <c r="E10" t="s">
        <v>2653</v>
      </c>
      <c r="F10" t="s">
        <v>2654</v>
      </c>
      <c r="G10" t="s">
        <v>146</v>
      </c>
    </row>
    <row r="11" spans="1:7" ht="11.25" customHeight="1">
      <c r="A11" s="301" t="s">
        <v>14</v>
      </c>
      <c r="B11" t="s">
        <v>2650</v>
      </c>
      <c r="C11" t="s">
        <v>2651</v>
      </c>
      <c r="D11" t="s">
        <v>2650</v>
      </c>
      <c r="E11" t="s">
        <v>2651</v>
      </c>
      <c r="F11" t="s">
        <v>2655</v>
      </c>
      <c r="G11" t="s">
        <v>147</v>
      </c>
    </row>
    <row r="12" spans="1:7" ht="11.25" customHeight="1">
      <c r="A12" s="301" t="s">
        <v>14</v>
      </c>
      <c r="B12" t="s">
        <v>2650</v>
      </c>
      <c r="C12" t="s">
        <v>2651</v>
      </c>
      <c r="D12" t="s">
        <v>2656</v>
      </c>
      <c r="E12" t="s">
        <v>2657</v>
      </c>
      <c r="F12" t="s">
        <v>2658</v>
      </c>
      <c r="G12" t="s">
        <v>148</v>
      </c>
    </row>
    <row r="13" spans="1:7" ht="11.25" customHeight="1">
      <c r="A13" s="301" t="s">
        <v>14</v>
      </c>
      <c r="B13" t="s">
        <v>2650</v>
      </c>
      <c r="C13" t="s">
        <v>2651</v>
      </c>
      <c r="D13" t="s">
        <v>2659</v>
      </c>
      <c r="E13" t="s">
        <v>2660</v>
      </c>
      <c r="F13" t="s">
        <v>2658</v>
      </c>
      <c r="G13" t="s">
        <v>149</v>
      </c>
    </row>
    <row r="14" spans="1:7" ht="11.25" customHeight="1">
      <c r="A14" s="301" t="s">
        <v>14</v>
      </c>
      <c r="B14" t="s">
        <v>2661</v>
      </c>
      <c r="C14" t="s">
        <v>2662</v>
      </c>
      <c r="D14" t="s">
        <v>2661</v>
      </c>
      <c r="E14" t="s">
        <v>2662</v>
      </c>
      <c r="F14" t="s">
        <v>2635</v>
      </c>
      <c r="G14" t="s">
        <v>150</v>
      </c>
    </row>
    <row r="15" spans="1:7" ht="11.25" customHeight="1">
      <c r="A15" s="301" t="s">
        <v>14</v>
      </c>
      <c r="B15" t="s">
        <v>2663</v>
      </c>
      <c r="C15" t="s">
        <v>2664</v>
      </c>
      <c r="D15" t="s">
        <v>2663</v>
      </c>
      <c r="E15" t="s">
        <v>2664</v>
      </c>
      <c r="F15" t="s">
        <v>2635</v>
      </c>
      <c r="G15" t="s">
        <v>151</v>
      </c>
    </row>
    <row r="16" spans="1:7" ht="11.25" customHeight="1">
      <c r="A16" s="301" t="s">
        <v>14</v>
      </c>
      <c r="B16" t="s">
        <v>2665</v>
      </c>
      <c r="C16" t="s">
        <v>2666</v>
      </c>
      <c r="D16" t="s">
        <v>2665</v>
      </c>
      <c r="E16" t="s">
        <v>2666</v>
      </c>
      <c r="F16" t="s">
        <v>2635</v>
      </c>
      <c r="G16" t="s">
        <v>1459</v>
      </c>
    </row>
    <row r="17" spans="1:7" ht="11.25" customHeight="1">
      <c r="A17" s="301" t="s">
        <v>14</v>
      </c>
      <c r="B17" t="s">
        <v>98</v>
      </c>
      <c r="C17" t="s">
        <v>99</v>
      </c>
      <c r="D17" t="s">
        <v>98</v>
      </c>
      <c r="E17" t="s">
        <v>99</v>
      </c>
      <c r="F17" t="s">
        <v>2635</v>
      </c>
      <c r="G17" t="s">
        <v>97</v>
      </c>
    </row>
    <row r="18" spans="1:7" ht="11.25" customHeight="1">
      <c r="A18" s="301" t="s">
        <v>14</v>
      </c>
      <c r="B18" t="s">
        <v>2667</v>
      </c>
      <c r="C18" t="s">
        <v>2668</v>
      </c>
      <c r="D18" t="s">
        <v>2667</v>
      </c>
      <c r="E18" t="s">
        <v>2668</v>
      </c>
      <c r="F18" t="s">
        <v>2635</v>
      </c>
      <c r="G18" t="s">
        <v>1475</v>
      </c>
    </row>
    <row r="19" spans="1:7" ht="11.25" customHeight="1">
      <c r="A19" s="301" t="s">
        <v>14</v>
      </c>
      <c r="B19" t="s">
        <v>2669</v>
      </c>
      <c r="C19" t="s">
        <v>2670</v>
      </c>
      <c r="D19" t="s">
        <v>2669</v>
      </c>
      <c r="E19" t="s">
        <v>2670</v>
      </c>
      <c r="F19" t="s">
        <v>2635</v>
      </c>
      <c r="G19" t="s">
        <v>1489</v>
      </c>
    </row>
    <row r="20" spans="1:7" ht="11.25" customHeight="1">
      <c r="A20" s="301" t="s">
        <v>14</v>
      </c>
      <c r="B20" t="s">
        <v>2671</v>
      </c>
      <c r="C20" t="s">
        <v>2672</v>
      </c>
      <c r="D20" t="s">
        <v>2671</v>
      </c>
      <c r="E20" t="s">
        <v>2672</v>
      </c>
      <c r="F20" t="s">
        <v>2635</v>
      </c>
      <c r="G20" t="s">
        <v>1501</v>
      </c>
    </row>
    <row r="21" spans="1:7" ht="11.25" customHeight="1">
      <c r="A21" s="301" t="s">
        <v>14</v>
      </c>
      <c r="B21" t="s">
        <v>2673</v>
      </c>
      <c r="C21" t="s">
        <v>2674</v>
      </c>
      <c r="D21" t="s">
        <v>2673</v>
      </c>
      <c r="E21" t="s">
        <v>2674</v>
      </c>
      <c r="F21" t="s">
        <v>2635</v>
      </c>
      <c r="G21" t="s">
        <v>1510</v>
      </c>
    </row>
    <row r="22" spans="1:7" ht="11.25" customHeight="1">
      <c r="A22" s="301" t="s">
        <v>14</v>
      </c>
      <c r="B22" t="s">
        <v>2675</v>
      </c>
      <c r="C22" t="s">
        <v>2676</v>
      </c>
      <c r="D22" t="s">
        <v>2675</v>
      </c>
      <c r="E22" t="s">
        <v>2676</v>
      </c>
      <c r="F22" t="s">
        <v>2635</v>
      </c>
      <c r="G22" t="s">
        <v>1526</v>
      </c>
    </row>
    <row r="23" spans="1:7" ht="11.25" customHeight="1">
      <c r="A23" s="301" t="s">
        <v>14</v>
      </c>
      <c r="B23" t="s">
        <v>2677</v>
      </c>
      <c r="C23" t="s">
        <v>2678</v>
      </c>
      <c r="D23" t="s">
        <v>2677</v>
      </c>
      <c r="E23" t="s">
        <v>2678</v>
      </c>
      <c r="F23" t="s">
        <v>2635</v>
      </c>
      <c r="G23" t="s">
        <v>1533</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27"/>
  <sheetViews>
    <sheetView showGridLines="0" workbookViewId="0"/>
  </sheetViews>
  <sheetFormatPr defaultColWidth="9.140625" defaultRowHeight="11.25" customHeight="1"/>
  <cols>
    <col min="1" max="4" width="9.140625" style="3894"/>
  </cols>
  <sheetData>
    <row r="1" spans="1:4" ht="11.25" customHeight="1">
      <c r="A1" s="752" t="s">
        <v>2679</v>
      </c>
      <c r="B1" s="752" t="s">
        <v>2680</v>
      </c>
      <c r="C1" s="752" t="s">
        <v>2681</v>
      </c>
      <c r="D1" s="752" t="s">
        <v>2682</v>
      </c>
    </row>
    <row r="2" spans="1:4" ht="11.25" customHeight="1">
      <c r="A2" s="3895" t="s">
        <v>107</v>
      </c>
      <c r="B2" s="3895" t="s">
        <v>2683</v>
      </c>
      <c r="C2" s="3895" t="s">
        <v>2684</v>
      </c>
      <c r="D2" s="3895" t="s">
        <v>2685</v>
      </c>
    </row>
    <row r="3" spans="1:4" ht="11.25" customHeight="1">
      <c r="A3" s="3895" t="s">
        <v>108</v>
      </c>
      <c r="B3" s="3895" t="s">
        <v>2686</v>
      </c>
      <c r="C3" s="3895" t="s">
        <v>2684</v>
      </c>
      <c r="D3" s="3895" t="s">
        <v>2687</v>
      </c>
    </row>
    <row r="4" spans="1:4" ht="11.25" customHeight="1">
      <c r="A4" s="3895" t="s">
        <v>88</v>
      </c>
      <c r="B4" s="3895" t="s">
        <v>2688</v>
      </c>
      <c r="C4" s="3895" t="s">
        <v>2684</v>
      </c>
      <c r="D4" s="3895" t="s">
        <v>2687</v>
      </c>
    </row>
    <row r="5" spans="1:4" ht="11.25" customHeight="1">
      <c r="A5" s="3895" t="s">
        <v>89</v>
      </c>
      <c r="B5" s="3895" t="s">
        <v>2689</v>
      </c>
      <c r="C5" s="3895" t="s">
        <v>2690</v>
      </c>
      <c r="D5" s="3895" t="s">
        <v>2691</v>
      </c>
    </row>
    <row r="6" spans="1:4" ht="11.25" customHeight="1">
      <c r="A6" s="3895" t="s">
        <v>109</v>
      </c>
      <c r="B6" s="3895" t="s">
        <v>2692</v>
      </c>
      <c r="C6" s="3895" t="s">
        <v>2690</v>
      </c>
      <c r="D6" s="3895" t="s">
        <v>2691</v>
      </c>
    </row>
    <row r="7" spans="1:4" ht="11.25" customHeight="1">
      <c r="A7" s="3895" t="s">
        <v>90</v>
      </c>
      <c r="B7" s="3895" t="s">
        <v>2693</v>
      </c>
      <c r="C7" s="3895" t="s">
        <v>2690</v>
      </c>
      <c r="D7" s="3895" t="s">
        <v>2691</v>
      </c>
    </row>
    <row r="8" spans="1:4" ht="11.25" customHeight="1">
      <c r="A8" s="3895" t="s">
        <v>91</v>
      </c>
      <c r="B8" s="3895" t="s">
        <v>2694</v>
      </c>
      <c r="C8" s="3895" t="s">
        <v>2695</v>
      </c>
      <c r="D8" s="3895" t="s">
        <v>2687</v>
      </c>
    </row>
    <row r="9" spans="1:4" ht="11.25" customHeight="1">
      <c r="A9" s="3895" t="s">
        <v>110</v>
      </c>
      <c r="B9" s="3895" t="s">
        <v>2696</v>
      </c>
      <c r="C9" s="3895" t="s">
        <v>2697</v>
      </c>
      <c r="D9" s="3895" t="s">
        <v>2687</v>
      </c>
    </row>
    <row r="10" spans="1:4" ht="11.25" customHeight="1">
      <c r="A10" s="3895" t="s">
        <v>146</v>
      </c>
      <c r="B10" s="3895" t="s">
        <v>2698</v>
      </c>
      <c r="C10" s="3895" t="s">
        <v>2697</v>
      </c>
      <c r="D10" s="3895" t="s">
        <v>2687</v>
      </c>
    </row>
    <row r="11" spans="1:4" ht="11.25" customHeight="1">
      <c r="A11" s="3895" t="s">
        <v>147</v>
      </c>
      <c r="B11" s="3895" t="s">
        <v>2699</v>
      </c>
      <c r="C11" s="3895" t="s">
        <v>2700</v>
      </c>
      <c r="D11" s="3895" t="s">
        <v>2701</v>
      </c>
    </row>
    <row r="12" spans="1:4" ht="11.25" customHeight="1">
      <c r="A12" s="3895" t="s">
        <v>148</v>
      </c>
      <c r="B12" s="3895" t="s">
        <v>2702</v>
      </c>
      <c r="C12" s="3895" t="s">
        <v>2703</v>
      </c>
      <c r="D12" s="3895" t="s">
        <v>2691</v>
      </c>
    </row>
    <row r="13" spans="1:4" ht="11.25" customHeight="1">
      <c r="A13" s="3895" t="s">
        <v>149</v>
      </c>
      <c r="B13" s="3895" t="s">
        <v>2704</v>
      </c>
      <c r="C13" s="3895" t="s">
        <v>2690</v>
      </c>
      <c r="D13" s="3895" t="s">
        <v>2691</v>
      </c>
    </row>
    <row r="14" spans="1:4" ht="11.25" customHeight="1">
      <c r="A14" s="3895" t="s">
        <v>150</v>
      </c>
      <c r="B14" s="3895" t="s">
        <v>2705</v>
      </c>
      <c r="C14" s="3895" t="s">
        <v>2706</v>
      </c>
      <c r="D14" s="3895" t="s">
        <v>2707</v>
      </c>
    </row>
    <row r="15" spans="1:4" ht="11.25" customHeight="1">
      <c r="A15" s="3895" t="s">
        <v>151</v>
      </c>
      <c r="B15" s="3895" t="s">
        <v>2708</v>
      </c>
      <c r="C15" s="3895" t="s">
        <v>2690</v>
      </c>
      <c r="D15" s="3895" t="s">
        <v>2691</v>
      </c>
    </row>
    <row r="16" spans="1:4" ht="11.25" customHeight="1">
      <c r="A16" s="3895" t="s">
        <v>1459</v>
      </c>
      <c r="B16" s="3895" t="s">
        <v>2709</v>
      </c>
      <c r="C16" s="3895" t="s">
        <v>2697</v>
      </c>
      <c r="D16" s="3895" t="s">
        <v>2687</v>
      </c>
    </row>
    <row r="17" spans="1:4" ht="11.25" customHeight="1">
      <c r="A17" s="3895" t="s">
        <v>97</v>
      </c>
      <c r="B17" s="3895" t="s">
        <v>2710</v>
      </c>
      <c r="C17" s="3895" t="s">
        <v>2703</v>
      </c>
      <c r="D17" s="3895" t="s">
        <v>2687</v>
      </c>
    </row>
    <row r="18" spans="1:4" ht="11.25" customHeight="1">
      <c r="A18" s="3895" t="s">
        <v>1475</v>
      </c>
      <c r="B18" s="3895" t="s">
        <v>2711</v>
      </c>
      <c r="C18" s="3895" t="s">
        <v>2712</v>
      </c>
      <c r="D18" s="3895" t="s">
        <v>2713</v>
      </c>
    </row>
    <row r="19" spans="1:4" ht="11.25" customHeight="1">
      <c r="A19" s="3895" t="s">
        <v>1489</v>
      </c>
      <c r="B19" s="3895" t="s">
        <v>2714</v>
      </c>
      <c r="C19" s="3895" t="s">
        <v>2706</v>
      </c>
      <c r="D19" s="3895" t="s">
        <v>2707</v>
      </c>
    </row>
    <row r="20" spans="1:4" ht="11.25" customHeight="1">
      <c r="A20" s="3895" t="s">
        <v>1501</v>
      </c>
      <c r="B20" s="3895" t="s">
        <v>2715</v>
      </c>
      <c r="C20" s="3895" t="s">
        <v>2706</v>
      </c>
      <c r="D20" s="3895" t="s">
        <v>2716</v>
      </c>
    </row>
    <row r="21" spans="1:4" ht="11.25" customHeight="1">
      <c r="A21" s="3895" t="s">
        <v>1510</v>
      </c>
      <c r="B21" s="3895" t="s">
        <v>2717</v>
      </c>
      <c r="C21" s="3895" t="s">
        <v>2718</v>
      </c>
      <c r="D21" s="3895" t="s">
        <v>2719</v>
      </c>
    </row>
    <row r="22" spans="1:4" ht="11.25" customHeight="1">
      <c r="A22" s="3895" t="s">
        <v>1526</v>
      </c>
      <c r="B22" s="3895" t="s">
        <v>2720</v>
      </c>
      <c r="C22" s="3895" t="s">
        <v>2718</v>
      </c>
      <c r="D22" s="3895" t="s">
        <v>2721</v>
      </c>
    </row>
    <row r="23" spans="1:4" ht="11.25" customHeight="1">
      <c r="A23" s="3895" t="s">
        <v>1533</v>
      </c>
      <c r="B23" s="3895" t="s">
        <v>2722</v>
      </c>
      <c r="C23" s="3895" t="s">
        <v>2718</v>
      </c>
      <c r="D23" s="3895" t="s">
        <v>2721</v>
      </c>
    </row>
    <row r="24" spans="1:4" ht="11.25" customHeight="1">
      <c r="A24" s="3895" t="s">
        <v>1541</v>
      </c>
      <c r="B24" s="3895" t="s">
        <v>2723</v>
      </c>
      <c r="C24" s="3895" t="s">
        <v>2724</v>
      </c>
      <c r="D24" s="3895" t="s">
        <v>2725</v>
      </c>
    </row>
    <row r="25" spans="1:4" ht="11.25" customHeight="1">
      <c r="A25" s="3895" t="s">
        <v>1548</v>
      </c>
      <c r="B25" s="3895" t="s">
        <v>2726</v>
      </c>
      <c r="C25" s="3895" t="s">
        <v>2724</v>
      </c>
      <c r="D25" s="3895" t="s">
        <v>2725</v>
      </c>
    </row>
    <row r="26" spans="1:4" ht="11.25" customHeight="1">
      <c r="A26" s="3895" t="s">
        <v>1552</v>
      </c>
      <c r="B26" s="3895" t="s">
        <v>2727</v>
      </c>
      <c r="C26" s="3895" t="s">
        <v>2706</v>
      </c>
      <c r="D26" s="3895" t="s">
        <v>2701</v>
      </c>
    </row>
    <row r="27" spans="1:4" ht="11.25" customHeight="1">
      <c r="A27" s="3895" t="s">
        <v>1557</v>
      </c>
      <c r="B27" s="3895" t="s">
        <v>2728</v>
      </c>
      <c r="C27" s="3895" t="s">
        <v>2684</v>
      </c>
      <c r="D27" s="3895" t="s">
        <v>2729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3896"/>
  </cols>
  <sheetData>
    <row r="1" spans="1:2" ht="11.25" customHeight="1">
      <c r="A1" s="104" t="s">
        <v>128</v>
      </c>
      <c r="B1" s="104" t="s">
        <v>2730</v>
      </c>
    </row>
    <row r="2" spans="1:2" ht="11.25" customHeight="1">
      <c r="A2" s="1" t="s">
        <v>96</v>
      </c>
      <c r="B2" s="1" t="s">
        <v>2731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3894"/>
    <col min="2" max="2" width="65.28515625" style="3894" customWidth="1"/>
  </cols>
  <sheetData>
    <row r="1" spans="1:2" ht="11.25" customHeight="1">
      <c r="A1" s="752" t="s">
        <v>2732</v>
      </c>
      <c r="B1" s="752" t="s">
        <v>2733</v>
      </c>
    </row>
    <row r="2" spans="1:2" ht="11.25" customHeight="1">
      <c r="A2" s="752">
        <v>4213775</v>
      </c>
      <c r="B2" s="752" t="s">
        <v>1219</v>
      </c>
    </row>
    <row r="3" spans="1:2" ht="11.25" customHeight="1">
      <c r="A3" s="752">
        <v>4213784</v>
      </c>
      <c r="B3" s="752" t="s">
        <v>1251</v>
      </c>
    </row>
    <row r="4" spans="1:2" ht="11.25" customHeight="1">
      <c r="A4" s="752">
        <v>4213781</v>
      </c>
      <c r="B4" s="752" t="s">
        <v>1244</v>
      </c>
    </row>
    <row r="5" spans="1:2" ht="11.25" customHeight="1">
      <c r="A5" s="752">
        <v>4213776</v>
      </c>
      <c r="B5" s="752" t="s">
        <v>170</v>
      </c>
    </row>
    <row r="6" spans="1:2" ht="11.25" customHeight="1">
      <c r="A6" s="752">
        <v>4213777</v>
      </c>
      <c r="B6" s="752" t="s">
        <v>176</v>
      </c>
    </row>
    <row r="7" spans="1:2" ht="11.25" customHeight="1">
      <c r="A7" s="752">
        <v>4213778</v>
      </c>
      <c r="B7" s="752" t="s">
        <v>182</v>
      </c>
    </row>
    <row r="8" spans="1:2" ht="11.25" customHeight="1">
      <c r="A8" s="752">
        <v>4213780</v>
      </c>
      <c r="B8" s="752" t="s">
        <v>188</v>
      </c>
    </row>
    <row r="9" spans="1:2" ht="11.25" customHeight="1">
      <c r="A9" s="752">
        <v>4213779</v>
      </c>
      <c r="B9" s="752" t="s">
        <v>1384</v>
      </c>
    </row>
    <row r="10" spans="1:2" ht="11.25" customHeight="1">
      <c r="A10" s="752">
        <v>4213783</v>
      </c>
      <c r="B10" s="752" t="s">
        <v>1399</v>
      </c>
    </row>
    <row r="11" spans="1:2" ht="11.25" customHeight="1">
      <c r="A11" s="752">
        <v>4213782</v>
      </c>
      <c r="B11" s="752" t="s">
        <v>194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3894"/>
    <col min="2" max="2" width="65.28515625" style="3894" customWidth="1"/>
  </cols>
  <sheetData>
    <row r="1" spans="1:2" ht="11.25" customHeight="1">
      <c r="A1" s="752" t="s">
        <v>2732</v>
      </c>
      <c r="B1" s="752" t="s">
        <v>2734</v>
      </c>
    </row>
    <row r="2" spans="1:2" ht="11.25" customHeight="1">
      <c r="A2" s="752" t="s">
        <v>160</v>
      </c>
      <c r="B2" s="752" t="s">
        <v>1495</v>
      </c>
    </row>
    <row r="3" spans="1:2" ht="11.25" customHeight="1">
      <c r="A3" s="752" t="s">
        <v>2735</v>
      </c>
      <c r="B3" s="752" t="s">
        <v>1505</v>
      </c>
    </row>
    <row r="4" spans="1:2" ht="11.25" customHeight="1">
      <c r="A4" s="752" t="s">
        <v>2736</v>
      </c>
      <c r="B4" s="752" t="s">
        <v>1514</v>
      </c>
    </row>
    <row r="5" spans="1:2" ht="11.25" customHeight="1">
      <c r="A5" s="752" t="s">
        <v>2737</v>
      </c>
      <c r="B5" s="752" t="s">
        <v>1523</v>
      </c>
    </row>
    <row r="6" spans="1:2" ht="11.25" customHeight="1">
      <c r="A6" s="752" t="s">
        <v>2738</v>
      </c>
      <c r="B6" s="752" t="s">
        <v>1529</v>
      </c>
    </row>
    <row r="7" spans="1:2" ht="11.25" customHeight="1">
      <c r="A7" s="752" t="s">
        <v>2739</v>
      </c>
      <c r="B7" s="752" t="s">
        <v>1537</v>
      </c>
    </row>
    <row r="8" spans="1:2" ht="11.25" customHeight="1">
      <c r="A8" s="752" t="s">
        <v>2740</v>
      </c>
      <c r="B8" s="752" t="s">
        <v>1544</v>
      </c>
    </row>
    <row r="9" spans="1:2" ht="11.25" customHeight="1">
      <c r="A9" s="752" t="s">
        <v>2741</v>
      </c>
      <c r="B9" s="752" t="s">
        <v>1550</v>
      </c>
    </row>
    <row r="10" spans="1:2" ht="11.25" customHeight="1">
      <c r="A10" s="752" t="s">
        <v>2742</v>
      </c>
      <c r="B10" s="752" t="s">
        <v>1554</v>
      </c>
    </row>
    <row r="11" spans="1:2" ht="11.25" customHeight="1">
      <c r="A11" s="752" t="s">
        <v>2743</v>
      </c>
      <c r="B11" s="752" t="s">
        <v>1561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3"/>
  <sheetViews>
    <sheetView showGridLines="0" workbookViewId="0"/>
  </sheetViews>
  <sheetFormatPr defaultRowHeight="11.25" customHeight="1"/>
  <sheetData>
    <row r="1" spans="1:7" ht="11.25" customHeight="1">
      <c r="A1" s="301" t="s">
        <v>2626</v>
      </c>
      <c r="B1" s="301" t="s">
        <v>2627</v>
      </c>
      <c r="C1" s="301" t="s">
        <v>2628</v>
      </c>
      <c r="D1" s="301" t="s">
        <v>2629</v>
      </c>
      <c r="E1" t="s">
        <v>2630</v>
      </c>
      <c r="F1" t="s">
        <v>2631</v>
      </c>
      <c r="G1" t="s">
        <v>2632</v>
      </c>
    </row>
    <row r="2" spans="1:7" ht="11.25" customHeight="1">
      <c r="A2" t="s">
        <v>14</v>
      </c>
      <c r="B2" t="s">
        <v>2633</v>
      </c>
      <c r="C2" t="s">
        <v>2634</v>
      </c>
      <c r="D2" t="s">
        <v>2633</v>
      </c>
      <c r="E2" t="s">
        <v>2634</v>
      </c>
      <c r="F2" t="s">
        <v>2635</v>
      </c>
      <c r="G2" t="s">
        <v>107</v>
      </c>
    </row>
    <row r="3" spans="1:7" ht="11.25" customHeight="1">
      <c r="A3" t="s">
        <v>14</v>
      </c>
      <c r="B3" t="s">
        <v>2636</v>
      </c>
      <c r="C3" t="s">
        <v>2637</v>
      </c>
      <c r="D3" t="s">
        <v>2636</v>
      </c>
      <c r="E3" t="s">
        <v>2637</v>
      </c>
      <c r="F3" t="s">
        <v>2635</v>
      </c>
      <c r="G3" t="s">
        <v>108</v>
      </c>
    </row>
    <row r="4" spans="1:7" ht="11.25" customHeight="1">
      <c r="A4" t="s">
        <v>14</v>
      </c>
      <c r="B4" t="s">
        <v>2638</v>
      </c>
      <c r="C4" t="s">
        <v>2639</v>
      </c>
      <c r="D4" t="s">
        <v>2638</v>
      </c>
      <c r="E4" t="s">
        <v>2639</v>
      </c>
      <c r="F4" t="s">
        <v>2635</v>
      </c>
      <c r="G4" t="s">
        <v>88</v>
      </c>
    </row>
    <row r="5" spans="1:7" ht="11.25" customHeight="1">
      <c r="A5" t="s">
        <v>14</v>
      </c>
      <c r="B5" t="s">
        <v>2640</v>
      </c>
      <c r="C5" t="s">
        <v>2641</v>
      </c>
      <c r="D5" t="s">
        <v>2640</v>
      </c>
      <c r="E5" t="s">
        <v>2641</v>
      </c>
      <c r="F5" t="s">
        <v>2635</v>
      </c>
      <c r="G5" t="s">
        <v>89</v>
      </c>
    </row>
    <row r="6" spans="1:7" ht="11.25" customHeight="1">
      <c r="A6" t="s">
        <v>14</v>
      </c>
      <c r="B6" t="s">
        <v>2642</v>
      </c>
      <c r="C6" t="s">
        <v>2643</v>
      </c>
      <c r="D6" t="s">
        <v>2642</v>
      </c>
      <c r="E6" t="s">
        <v>2643</v>
      </c>
      <c r="F6" t="s">
        <v>2635</v>
      </c>
      <c r="G6" t="s">
        <v>109</v>
      </c>
    </row>
    <row r="7" spans="1:7" ht="11.25" customHeight="1">
      <c r="A7" t="s">
        <v>14</v>
      </c>
      <c r="B7" t="s">
        <v>2644</v>
      </c>
      <c r="C7" t="s">
        <v>2645</v>
      </c>
      <c r="D7" t="s">
        <v>2644</v>
      </c>
      <c r="E7" t="s">
        <v>2645</v>
      </c>
      <c r="F7" t="s">
        <v>2635</v>
      </c>
      <c r="G7" t="s">
        <v>90</v>
      </c>
    </row>
    <row r="8" spans="1:7" ht="11.25" customHeight="1">
      <c r="A8" t="s">
        <v>14</v>
      </c>
      <c r="B8" t="s">
        <v>2646</v>
      </c>
      <c r="C8" t="s">
        <v>2647</v>
      </c>
      <c r="D8" t="s">
        <v>2646</v>
      </c>
      <c r="E8" t="s">
        <v>2647</v>
      </c>
      <c r="F8" t="s">
        <v>2635</v>
      </c>
      <c r="G8" t="s">
        <v>91</v>
      </c>
    </row>
    <row r="9" spans="1:7" ht="11.25" customHeight="1">
      <c r="A9" t="s">
        <v>14</v>
      </c>
      <c r="B9" t="s">
        <v>2648</v>
      </c>
      <c r="C9" t="s">
        <v>2649</v>
      </c>
      <c r="D9" t="s">
        <v>2648</v>
      </c>
      <c r="E9" t="s">
        <v>2649</v>
      </c>
      <c r="F9" t="s">
        <v>2635</v>
      </c>
      <c r="G9" t="s">
        <v>110</v>
      </c>
    </row>
    <row r="10" spans="1:7" ht="11.25" customHeight="1">
      <c r="A10" t="s">
        <v>14</v>
      </c>
      <c r="B10" t="s">
        <v>2650</v>
      </c>
      <c r="C10" t="s">
        <v>2651</v>
      </c>
      <c r="D10" t="s">
        <v>2652</v>
      </c>
      <c r="E10" t="s">
        <v>2653</v>
      </c>
      <c r="F10" t="s">
        <v>2654</v>
      </c>
      <c r="G10" t="s">
        <v>146</v>
      </c>
    </row>
    <row r="11" spans="1:7" ht="11.25" customHeight="1">
      <c r="A11" t="s">
        <v>14</v>
      </c>
      <c r="B11" t="s">
        <v>2650</v>
      </c>
      <c r="C11" t="s">
        <v>2651</v>
      </c>
      <c r="D11" t="s">
        <v>2650</v>
      </c>
      <c r="E11" t="s">
        <v>2651</v>
      </c>
      <c r="F11" t="s">
        <v>2655</v>
      </c>
      <c r="G11" t="s">
        <v>147</v>
      </c>
    </row>
    <row r="12" spans="1:7" ht="11.25" customHeight="1">
      <c r="A12" t="s">
        <v>14</v>
      </c>
      <c r="B12" t="s">
        <v>2650</v>
      </c>
      <c r="C12" t="s">
        <v>2651</v>
      </c>
      <c r="D12" t="s">
        <v>2656</v>
      </c>
      <c r="E12" t="s">
        <v>2657</v>
      </c>
      <c r="F12" t="s">
        <v>2658</v>
      </c>
      <c r="G12" t="s">
        <v>148</v>
      </c>
    </row>
    <row r="13" spans="1:7" ht="11.25" customHeight="1">
      <c r="A13" t="s">
        <v>14</v>
      </c>
      <c r="B13" t="s">
        <v>2650</v>
      </c>
      <c r="C13" t="s">
        <v>2651</v>
      </c>
      <c r="D13" t="s">
        <v>2659</v>
      </c>
      <c r="E13" t="s">
        <v>2660</v>
      </c>
      <c r="F13" t="s">
        <v>2658</v>
      </c>
      <c r="G13" t="s">
        <v>149</v>
      </c>
    </row>
    <row r="14" spans="1:7" ht="11.25" customHeight="1">
      <c r="A14" t="s">
        <v>14</v>
      </c>
      <c r="B14" t="s">
        <v>2661</v>
      </c>
      <c r="C14" t="s">
        <v>2662</v>
      </c>
      <c r="D14" t="s">
        <v>2661</v>
      </c>
      <c r="E14" t="s">
        <v>2662</v>
      </c>
      <c r="F14" t="s">
        <v>2635</v>
      </c>
      <c r="G14" t="s">
        <v>150</v>
      </c>
    </row>
    <row r="15" spans="1:7" ht="11.25" customHeight="1">
      <c r="A15" t="s">
        <v>14</v>
      </c>
      <c r="B15" t="s">
        <v>2663</v>
      </c>
      <c r="C15" t="s">
        <v>2664</v>
      </c>
      <c r="D15" t="s">
        <v>2663</v>
      </c>
      <c r="E15" t="s">
        <v>2664</v>
      </c>
      <c r="F15" t="s">
        <v>2635</v>
      </c>
      <c r="G15" t="s">
        <v>151</v>
      </c>
    </row>
    <row r="16" spans="1:7" ht="11.25" customHeight="1">
      <c r="A16" t="s">
        <v>14</v>
      </c>
      <c r="B16" t="s">
        <v>2665</v>
      </c>
      <c r="C16" t="s">
        <v>2666</v>
      </c>
      <c r="D16" t="s">
        <v>2665</v>
      </c>
      <c r="E16" t="s">
        <v>2666</v>
      </c>
      <c r="F16" t="s">
        <v>2635</v>
      </c>
      <c r="G16" t="s">
        <v>1459</v>
      </c>
    </row>
    <row r="17" spans="1:7" ht="11.25" customHeight="1">
      <c r="A17" t="s">
        <v>14</v>
      </c>
      <c r="B17" t="s">
        <v>98</v>
      </c>
      <c r="C17" t="s">
        <v>99</v>
      </c>
      <c r="D17" t="s">
        <v>98</v>
      </c>
      <c r="E17" t="s">
        <v>99</v>
      </c>
      <c r="F17" t="s">
        <v>2635</v>
      </c>
      <c r="G17" t="s">
        <v>97</v>
      </c>
    </row>
    <row r="18" spans="1:7" ht="11.25" customHeight="1">
      <c r="A18" t="s">
        <v>14</v>
      </c>
      <c r="B18" t="s">
        <v>2667</v>
      </c>
      <c r="C18" t="s">
        <v>2668</v>
      </c>
      <c r="D18" t="s">
        <v>2667</v>
      </c>
      <c r="E18" t="s">
        <v>2668</v>
      </c>
      <c r="F18" t="s">
        <v>2635</v>
      </c>
      <c r="G18" t="s">
        <v>1475</v>
      </c>
    </row>
    <row r="19" spans="1:7" ht="11.25" customHeight="1">
      <c r="A19" t="s">
        <v>14</v>
      </c>
      <c r="B19" t="s">
        <v>2669</v>
      </c>
      <c r="C19" t="s">
        <v>2670</v>
      </c>
      <c r="D19" t="s">
        <v>2669</v>
      </c>
      <c r="E19" t="s">
        <v>2670</v>
      </c>
      <c r="F19" t="s">
        <v>2635</v>
      </c>
      <c r="G19" t="s">
        <v>1489</v>
      </c>
    </row>
    <row r="20" spans="1:7" ht="11.25" customHeight="1">
      <c r="A20" t="s">
        <v>14</v>
      </c>
      <c r="B20" t="s">
        <v>2671</v>
      </c>
      <c r="C20" t="s">
        <v>2672</v>
      </c>
      <c r="D20" t="s">
        <v>2671</v>
      </c>
      <c r="E20" t="s">
        <v>2672</v>
      </c>
      <c r="F20" t="s">
        <v>2635</v>
      </c>
      <c r="G20" t="s">
        <v>1501</v>
      </c>
    </row>
    <row r="21" spans="1:7" ht="11.25" customHeight="1">
      <c r="A21" t="s">
        <v>14</v>
      </c>
      <c r="B21" t="s">
        <v>2673</v>
      </c>
      <c r="C21" t="s">
        <v>2674</v>
      </c>
      <c r="D21" t="s">
        <v>2673</v>
      </c>
      <c r="E21" t="s">
        <v>2674</v>
      </c>
      <c r="F21" t="s">
        <v>2635</v>
      </c>
      <c r="G21" t="s">
        <v>1510</v>
      </c>
    </row>
    <row r="22" spans="1:7" ht="11.25" customHeight="1">
      <c r="A22" t="s">
        <v>14</v>
      </c>
      <c r="B22" t="s">
        <v>2675</v>
      </c>
      <c r="C22" t="s">
        <v>2676</v>
      </c>
      <c r="D22" t="s">
        <v>2675</v>
      </c>
      <c r="E22" t="s">
        <v>2676</v>
      </c>
      <c r="F22" t="s">
        <v>2635</v>
      </c>
      <c r="G22" t="s">
        <v>1526</v>
      </c>
    </row>
    <row r="23" spans="1:7" ht="11.25" customHeight="1">
      <c r="A23" t="s">
        <v>14</v>
      </c>
      <c r="B23" t="s">
        <v>2677</v>
      </c>
      <c r="C23" t="s">
        <v>2678</v>
      </c>
      <c r="D23" t="s">
        <v>2677</v>
      </c>
      <c r="E23" t="s">
        <v>2678</v>
      </c>
      <c r="F23" t="s">
        <v>2635</v>
      </c>
      <c r="G23" t="s">
        <v>1533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3894"/>
    <col min="2" max="2" width="84.28515625" style="3894" customWidth="1"/>
    <col min="3" max="3" width="9.140625" style="3894"/>
  </cols>
  <sheetData>
    <row r="1" spans="1:3" ht="11.25" customHeight="1">
      <c r="A1" s="752" t="s">
        <v>2744</v>
      </c>
      <c r="B1" s="752" t="s">
        <v>2745</v>
      </c>
      <c r="C1" s="752" t="s">
        <v>1165</v>
      </c>
    </row>
    <row r="2" spans="1:3" ht="11.25" customHeight="1">
      <c r="A2" s="752">
        <v>4189678</v>
      </c>
      <c r="B2" s="752" t="s">
        <v>2746</v>
      </c>
      <c r="C2" s="752" t="s">
        <v>2747</v>
      </c>
    </row>
    <row r="3" spans="1:3" ht="11.25" customHeight="1">
      <c r="A3" s="752">
        <v>4190415</v>
      </c>
      <c r="B3" s="752" t="s">
        <v>2748</v>
      </c>
      <c r="C3" s="752" t="s">
        <v>2747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3897" customWidth="1"/>
    <col min="2" max="5" width="9.140625" style="3897"/>
  </cols>
  <sheetData>
    <row r="1" spans="1:5" ht="15" customHeight="1">
      <c r="A1" s="84" t="s">
        <v>2749</v>
      </c>
      <c r="B1" s="84" t="s">
        <v>2750</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2751</v>
      </c>
      <c r="B1" t="b">
        <v>1</v>
      </c>
    </row>
    <row r="2" spans="1:2" ht="11.25" customHeight="1">
      <c r="A2" t="s">
        <v>2752</v>
      </c>
      <c r="B2" t="b">
        <v>0</v>
      </c>
    </row>
    <row r="3" spans="1:2" ht="11.25" customHeight="1">
      <c r="A3" t="s">
        <v>2753</v>
      </c>
      <c r="B3" t="b">
        <v>1</v>
      </c>
    </row>
    <row r="4" spans="1:2" ht="11.25" customHeight="1">
      <c r="A4" t="s">
        <v>2754</v>
      </c>
      <c r="B4" t="b">
        <v>0</v>
      </c>
    </row>
    <row r="5" spans="1:2" ht="11.25" customHeight="1">
      <c r="A5" t="s">
        <v>2755</v>
      </c>
      <c r="B5" t="b">
        <v>0</v>
      </c>
    </row>
    <row r="6" spans="1:2" ht="11.25" customHeight="1">
      <c r="A6" t="s">
        <v>2756</v>
      </c>
      <c r="B6" t="b">
        <v>0</v>
      </c>
    </row>
    <row r="7" spans="1:2" ht="11.25" customHeight="1">
      <c r="A7" t="s">
        <v>2757</v>
      </c>
      <c r="B7" t="b">
        <v>0</v>
      </c>
    </row>
    <row r="8" spans="1:2" ht="11.25" customHeight="1">
      <c r="A8" t="s">
        <v>2758</v>
      </c>
      <c r="B8" t="b">
        <v>0</v>
      </c>
    </row>
    <row r="9" spans="1:2" ht="11.25" customHeight="1">
      <c r="A9" t="s">
        <v>2759</v>
      </c>
      <c r="B9" t="b">
        <v>0</v>
      </c>
    </row>
    <row r="10" spans="1:2" ht="11.25" customHeight="1">
      <c r="A10" t="s">
        <v>2760</v>
      </c>
      <c r="B10" t="b">
        <v>0</v>
      </c>
    </row>
    <row r="11" spans="1:2" ht="11.25" customHeight="1">
      <c r="A11" t="s">
        <v>2761</v>
      </c>
      <c r="B11" t="b">
        <v>0</v>
      </c>
    </row>
    <row r="12" spans="1:2" ht="11.25" customHeight="1">
      <c r="A12" t="s">
        <v>2762</v>
      </c>
      <c r="B12" t="b">
        <v>0</v>
      </c>
    </row>
    <row r="13" spans="1:2" ht="11.25" customHeight="1">
      <c r="A13" t="s">
        <v>2763</v>
      </c>
      <c r="B13" t="b">
        <v>0</v>
      </c>
    </row>
    <row r="14" spans="1:2" ht="11.25" customHeight="1">
      <c r="A14" t="s">
        <v>2764</v>
      </c>
      <c r="B14" t="b">
        <v>1</v>
      </c>
    </row>
    <row r="15" spans="1:2" ht="11.25" customHeight="1">
      <c r="A15" t="s">
        <v>2765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3898"/>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3891" customWidth="1"/>
    <col min="2" max="2" width="21.140625" style="3891" customWidth="1"/>
  </cols>
  <sheetData>
    <row r="1" spans="1:2" ht="11.25" customHeight="1">
      <c r="A1" s="4" t="s">
        <v>2766</v>
      </c>
      <c r="B1" s="4" t="s">
        <v>2767</v>
      </c>
    </row>
    <row r="2" spans="1:2" ht="11.25" customHeight="1">
      <c r="A2" s="1" t="s">
        <v>2768</v>
      </c>
      <c r="B2" s="1" t="s">
        <v>2769</v>
      </c>
    </row>
    <row r="3" spans="1:2" ht="11.25" customHeight="1">
      <c r="A3" s="1" t="s">
        <v>2770</v>
      </c>
      <c r="B3" s="1" t="s">
        <v>2771</v>
      </c>
    </row>
    <row r="4" spans="1:2" ht="11.25" customHeight="1">
      <c r="A4" s="1" t="s">
        <v>2772</v>
      </c>
      <c r="B4" s="1" t="s">
        <v>2773</v>
      </c>
    </row>
    <row r="5" spans="1:2" ht="11.25" customHeight="1">
      <c r="A5" s="1" t="s">
        <v>2774</v>
      </c>
      <c r="B5" s="1" t="s">
        <v>2775</v>
      </c>
    </row>
    <row r="6" spans="1:2" ht="11.25" customHeight="1">
      <c r="A6" s="1" t="s">
        <v>2776</v>
      </c>
      <c r="B6" s="1" t="s">
        <v>2777</v>
      </c>
    </row>
    <row r="7" spans="1:2" ht="11.25" customHeight="1">
      <c r="A7" s="1" t="s">
        <v>2778</v>
      </c>
      <c r="B7" s="1" t="s">
        <v>2779</v>
      </c>
    </row>
    <row r="8" spans="1:2" ht="11.25" customHeight="1">
      <c r="A8" s="1" t="s">
        <v>2780</v>
      </c>
      <c r="B8" s="1" t="s">
        <v>2781</v>
      </c>
    </row>
    <row r="9" spans="1:2" ht="11.25" customHeight="1">
      <c r="A9" s="1" t="s">
        <v>2782</v>
      </c>
      <c r="B9" s="1" t="s">
        <v>2783</v>
      </c>
    </row>
    <row r="10" spans="1:2" ht="11.25" customHeight="1">
      <c r="A10" s="1" t="s">
        <v>2784</v>
      </c>
      <c r="B10" s="1" t="s">
        <v>2785</v>
      </c>
    </row>
    <row r="11" spans="1:2" ht="11.25" customHeight="1">
      <c r="A11" s="1" t="s">
        <v>2786</v>
      </c>
      <c r="B11" s="1" t="s">
        <v>2787</v>
      </c>
    </row>
    <row r="12" spans="1:2" ht="11.25" customHeight="1">
      <c r="A12" s="1" t="s">
        <v>2788</v>
      </c>
      <c r="B12" s="1" t="s">
        <v>2789</v>
      </c>
    </row>
    <row r="13" spans="1:2" ht="11.25" customHeight="1">
      <c r="A13" s="1" t="s">
        <v>2790</v>
      </c>
      <c r="B13" s="1" t="s">
        <v>2791</v>
      </c>
    </row>
    <row r="14" spans="1:2" ht="11.25" customHeight="1">
      <c r="A14" s="1" t="s">
        <v>2792</v>
      </c>
      <c r="B14" s="1" t="s">
        <v>2793</v>
      </c>
    </row>
    <row r="15" spans="1:2" ht="11.25" customHeight="1">
      <c r="A15" s="1" t="s">
        <v>2794</v>
      </c>
      <c r="B15" s="1" t="s">
        <v>2795</v>
      </c>
    </row>
    <row r="16" spans="1:2" ht="11.25" customHeight="1">
      <c r="A16" s="1" t="s">
        <v>2796</v>
      </c>
      <c r="B16" s="1" t="s">
        <v>2797</v>
      </c>
    </row>
    <row r="17" spans="1:2" ht="11.25" customHeight="1">
      <c r="A17" s="1" t="s">
        <v>2798</v>
      </c>
      <c r="B17" s="1" t="s">
        <v>2799</v>
      </c>
    </row>
    <row r="18" spans="1:2" ht="11.25" customHeight="1">
      <c r="A18" s="1" t="s">
        <v>2800</v>
      </c>
      <c r="B18" s="1" t="s">
        <v>2801</v>
      </c>
    </row>
    <row r="19" spans="1:2" ht="11.25" customHeight="1">
      <c r="A19" s="1" t="s">
        <v>2802</v>
      </c>
      <c r="B19" s="1" t="s">
        <v>2803</v>
      </c>
    </row>
    <row r="20" spans="1:2" ht="11.25" customHeight="1">
      <c r="A20" s="1" t="s">
        <v>2804</v>
      </c>
      <c r="B20" s="1" t="s">
        <v>2805</v>
      </c>
    </row>
    <row r="21" spans="1:2" ht="11.25" customHeight="1">
      <c r="A21" s="1" t="s">
        <v>2806</v>
      </c>
      <c r="B21" s="1" t="s">
        <v>2807</v>
      </c>
    </row>
    <row r="22" spans="1:2" ht="11.25" customHeight="1">
      <c r="A22" s="1" t="s">
        <v>2808</v>
      </c>
      <c r="B22" s="1" t="s">
        <v>2809</v>
      </c>
    </row>
    <row r="23" spans="1:2" ht="11.25" customHeight="1">
      <c r="A23" s="1" t="s">
        <v>2810</v>
      </c>
      <c r="B23" s="1" t="s">
        <v>2811</v>
      </c>
    </row>
    <row r="24" spans="1:2" ht="11.25" customHeight="1">
      <c r="A24" s="1" t="s">
        <v>2812</v>
      </c>
      <c r="B24" s="1" t="s">
        <v>2813</v>
      </c>
    </row>
    <row r="25" spans="1:2" ht="11.25" customHeight="1">
      <c r="A25" s="1" t="s">
        <v>2814</v>
      </c>
      <c r="B25" s="1" t="s">
        <v>2815</v>
      </c>
    </row>
    <row r="26" spans="1:2" ht="11.25" customHeight="1">
      <c r="A26" s="1" t="s">
        <v>2816</v>
      </c>
      <c r="B26" s="1" t="s">
        <v>2817</v>
      </c>
    </row>
    <row r="27" spans="1:2" ht="11.25" customHeight="1">
      <c r="A27" s="1" t="s">
        <v>2818</v>
      </c>
      <c r="B27" s="1" t="s">
        <v>2819</v>
      </c>
    </row>
    <row r="28" spans="1:2" ht="11.25" customHeight="1">
      <c r="A28" s="1" t="s">
        <v>2820</v>
      </c>
      <c r="B28" s="1" t="s">
        <v>2821</v>
      </c>
    </row>
    <row r="29" spans="1:2" ht="11.25" customHeight="1">
      <c r="A29" s="1" t="s">
        <v>2822</v>
      </c>
      <c r="B29" s="1" t="s">
        <v>2823</v>
      </c>
    </row>
    <row r="30" spans="1:2" ht="11.25" customHeight="1">
      <c r="A30" s="1" t="s">
        <v>2824</v>
      </c>
      <c r="B30" s="1" t="s">
        <v>2825</v>
      </c>
    </row>
    <row r="31" spans="1:2" ht="11.25" customHeight="1">
      <c r="A31" s="1" t="s">
        <v>2826</v>
      </c>
      <c r="B31" s="1" t="s">
        <v>2827</v>
      </c>
    </row>
    <row r="32" spans="1:2" ht="11.25" customHeight="1">
      <c r="A32" s="1" t="s">
        <v>2828</v>
      </c>
      <c r="B32" s="1" t="s">
        <v>2829</v>
      </c>
    </row>
    <row r="33" spans="1:2" ht="11.25" customHeight="1">
      <c r="A33" s="1" t="s">
        <v>2830</v>
      </c>
      <c r="B33" s="1" t="s">
        <v>2831</v>
      </c>
    </row>
    <row r="34" spans="1:2" ht="11.25" customHeight="1">
      <c r="A34" s="1" t="s">
        <v>2832</v>
      </c>
      <c r="B34" s="1" t="s">
        <v>2833</v>
      </c>
    </row>
    <row r="35" spans="1:2" ht="11.25" customHeight="1">
      <c r="A35" s="1" t="s">
        <v>2834</v>
      </c>
      <c r="B35" s="1" t="s">
        <v>2835</v>
      </c>
    </row>
    <row r="36" spans="1:2" ht="11.25" customHeight="1">
      <c r="A36" s="1" t="s">
        <v>2836</v>
      </c>
      <c r="B36" s="1" t="s">
        <v>2837</v>
      </c>
    </row>
    <row r="37" spans="1:2" ht="11.25" customHeight="1">
      <c r="A37" s="1" t="s">
        <v>2838</v>
      </c>
      <c r="B37" s="1" t="s">
        <v>2839</v>
      </c>
    </row>
    <row r="38" spans="1:2" ht="11.25" customHeight="1">
      <c r="A38" s="1" t="s">
        <v>2840</v>
      </c>
      <c r="B38" s="1" t="s">
        <v>2841</v>
      </c>
    </row>
    <row r="39" spans="1:2" ht="11.25" customHeight="1">
      <c r="A39" s="1" t="s">
        <v>2842</v>
      </c>
      <c r="B39" s="1" t="s">
        <v>2843</v>
      </c>
    </row>
    <row r="40" spans="1:2" ht="11.25" customHeight="1">
      <c r="A40" s="1" t="s">
        <v>2844</v>
      </c>
      <c r="B40" s="1" t="s">
        <v>2845</v>
      </c>
    </row>
    <row r="41" spans="1:2" ht="11.25" customHeight="1">
      <c r="A41" s="1" t="s">
        <v>2846</v>
      </c>
      <c r="B41" s="1" t="s">
        <v>2847</v>
      </c>
    </row>
    <row r="42" spans="1:2" ht="11.25" customHeight="1">
      <c r="A42" s="1" t="s">
        <v>2848</v>
      </c>
      <c r="B42" s="1" t="s">
        <v>2849</v>
      </c>
    </row>
    <row r="43" spans="1:2" ht="11.25" customHeight="1">
      <c r="A43" s="1" t="s">
        <v>2850</v>
      </c>
      <c r="B43" s="1" t="s">
        <v>2851</v>
      </c>
    </row>
    <row r="44" spans="1:2" ht="11.25" customHeight="1">
      <c r="A44" s="1" t="s">
        <v>2852</v>
      </c>
      <c r="B44" s="1" t="s">
        <v>2853</v>
      </c>
    </row>
    <row r="45" spans="1:2" ht="11.25" customHeight="1">
      <c r="A45" s="1" t="s">
        <v>2854</v>
      </c>
      <c r="B45" s="1" t="s">
        <v>2855</v>
      </c>
    </row>
    <row r="46" spans="1:2" ht="11.25" customHeight="1">
      <c r="A46" s="1" t="s">
        <v>2856</v>
      </c>
      <c r="B46" s="1" t="s">
        <v>2857</v>
      </c>
    </row>
    <row r="47" spans="1:2" ht="11.25" customHeight="1">
      <c r="A47" s="1" t="s">
        <v>2858</v>
      </c>
      <c r="B47" s="1" t="s">
        <v>2859</v>
      </c>
    </row>
    <row r="48" spans="1:2" ht="11.25" customHeight="1">
      <c r="A48" s="1" t="s">
        <v>2860</v>
      </c>
      <c r="B48" s="1" t="s">
        <v>2861</v>
      </c>
    </row>
    <row r="49" spans="1:2" ht="11.25" customHeight="1">
      <c r="A49" s="1" t="s">
        <v>2862</v>
      </c>
      <c r="B49" s="1" t="s">
        <v>2863</v>
      </c>
    </row>
    <row r="50" spans="1:2" ht="11.25" customHeight="1">
      <c r="A50" s="1" t="s">
        <v>2864</v>
      </c>
      <c r="B50" s="1" t="s">
        <v>2865</v>
      </c>
    </row>
    <row r="51" spans="1:2" ht="11.25" customHeight="1">
      <c r="A51" s="1" t="s">
        <v>2866</v>
      </c>
      <c r="B51" s="1" t="s">
        <v>2867</v>
      </c>
    </row>
    <row r="52" spans="1:2" ht="11.25" customHeight="1">
      <c r="A52" s="1" t="s">
        <v>2868</v>
      </c>
      <c r="B52" s="1" t="s">
        <v>2869</v>
      </c>
    </row>
    <row r="53" spans="1:2" ht="11.25" customHeight="1">
      <c r="A53" s="1" t="s">
        <v>2870</v>
      </c>
      <c r="B53" s="1" t="s">
        <v>2871</v>
      </c>
    </row>
    <row r="54" spans="1:2" ht="11.25" customHeight="1">
      <c r="A54" s="1" t="s">
        <v>2872</v>
      </c>
      <c r="B54" s="1" t="s">
        <v>2873</v>
      </c>
    </row>
    <row r="55" spans="1:2" ht="11.25" customHeight="1">
      <c r="A55" s="1" t="s">
        <v>2874</v>
      </c>
      <c r="B55" s="1" t="s">
        <v>2875</v>
      </c>
    </row>
    <row r="56" spans="1:2" ht="11.25" customHeight="1">
      <c r="A56" s="1" t="s">
        <v>2876</v>
      </c>
      <c r="B56" s="1" t="s">
        <v>2877</v>
      </c>
    </row>
    <row r="57" spans="1:2" ht="11.25" customHeight="1">
      <c r="A57" s="1" t="s">
        <v>2878</v>
      </c>
      <c r="B57" s="1" t="s">
        <v>2879</v>
      </c>
    </row>
    <row r="58" spans="1:2" ht="11.25" customHeight="1">
      <c r="A58" s="1" t="s">
        <v>2880</v>
      </c>
      <c r="B58" s="1" t="s">
        <v>2881</v>
      </c>
    </row>
    <row r="59" spans="1:2" ht="11.25" customHeight="1">
      <c r="A59" s="1" t="s">
        <v>2882</v>
      </c>
      <c r="B59" s="1" t="s">
        <v>2883</v>
      </c>
    </row>
    <row r="60" spans="1:2" ht="11.25" customHeight="1">
      <c r="A60" s="1" t="s">
        <v>2884</v>
      </c>
      <c r="B60" s="1" t="s">
        <v>2885</v>
      </c>
    </row>
    <row r="61" spans="1:2" ht="11.25" customHeight="1">
      <c r="A61" s="1"/>
      <c r="B61" s="1" t="s">
        <v>2886</v>
      </c>
    </row>
    <row r="62" spans="1:2" ht="11.25" customHeight="1">
      <c r="A62" s="1"/>
      <c r="B62" s="1" t="s">
        <v>2887</v>
      </c>
    </row>
    <row r="63" spans="1:2" ht="11.25" customHeight="1">
      <c r="A63" s="1"/>
      <c r="B63" s="1" t="s">
        <v>2888</v>
      </c>
    </row>
    <row r="64" spans="1:2" ht="11.25" customHeight="1">
      <c r="A64" s="1"/>
      <c r="B64" s="1" t="s">
        <v>2889</v>
      </c>
    </row>
    <row r="65" spans="1:2" ht="11.25" customHeight="1">
      <c r="A65" s="1"/>
      <c r="B65" s="1" t="s">
        <v>2890</v>
      </c>
    </row>
    <row r="66" spans="1:2" ht="11.25" customHeight="1">
      <c r="A66" s="1"/>
      <c r="B66" s="1" t="s">
        <v>2891</v>
      </c>
    </row>
    <row r="67" spans="1:2" ht="11.25" customHeight="1">
      <c r="A67" s="1"/>
      <c r="B67" s="1" t="s">
        <v>2892</v>
      </c>
    </row>
    <row r="68" spans="1:2" ht="11.25" customHeight="1">
      <c r="A68" s="1"/>
      <c r="B68" s="1" t="s">
        <v>2893</v>
      </c>
    </row>
    <row r="69" spans="1:2" ht="11.25" customHeight="1">
      <c r="A69" s="1"/>
      <c r="B69" s="1" t="s">
        <v>2894</v>
      </c>
    </row>
    <row r="70" spans="1:2" ht="11.25" customHeight="1">
      <c r="A70" s="1"/>
      <c r="B70" s="1" t="s">
        <v>2895</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4" customWidth="1"/>
    <col min="2" max="2" width="90.7109375" style="1804" customWidth="1"/>
    <col min="3" max="4" width="9.140625" style="1804"/>
  </cols>
  <sheetData>
    <row r="1" spans="2:4" ht="11.25" customHeight="1">
      <c r="B1" s="26" t="s">
        <v>2896</v>
      </c>
    </row>
    <row r="2" spans="2:4" ht="90" customHeight="1">
      <c r="B2" s="27" t="s">
        <v>2897</v>
      </c>
    </row>
    <row r="3" spans="2:4" ht="67.5" customHeight="1">
      <c r="B3" s="27" t="s">
        <v>2898</v>
      </c>
    </row>
    <row r="4" spans="2:4" ht="33.75" customHeight="1">
      <c r="B4" s="27" t="s">
        <v>2899</v>
      </c>
    </row>
    <row r="5" spans="2:4" ht="11.25" customHeight="1">
      <c r="B5" s="27" t="s">
        <v>2900</v>
      </c>
    </row>
    <row r="6" spans="2:4" ht="22.5" customHeight="1">
      <c r="B6" s="27" t="s">
        <v>2901</v>
      </c>
    </row>
    <row r="7" spans="2:4" ht="22.5" customHeight="1">
      <c r="B7" s="27" t="s">
        <v>2902</v>
      </c>
    </row>
    <row r="8" spans="2:4" ht="22.5" customHeight="1">
      <c r="B8" s="27" t="s">
        <v>2903</v>
      </c>
    </row>
    <row r="9" spans="2:4" ht="22.5" customHeight="1">
      <c r="B9" s="27" t="s">
        <v>2904</v>
      </c>
    </row>
    <row r="10" spans="2:4" ht="56.25" customHeight="1">
      <c r="B10" s="27" t="s">
        <v>2905</v>
      </c>
    </row>
    <row r="11" spans="2:4" ht="12.75" customHeight="1">
      <c r="B11" s="81" t="s">
        <v>2906</v>
      </c>
    </row>
    <row r="12" spans="2:4" ht="11.25" customHeight="1">
      <c r="B12" s="26" t="s">
        <v>2907</v>
      </c>
    </row>
    <row r="13" spans="2:4" ht="22.5" customHeight="1">
      <c r="B13" s="27" t="s">
        <v>2908</v>
      </c>
    </row>
    <row r="14" spans="2:4" ht="67.5" customHeight="1">
      <c r="B14" s="27" t="s">
        <v>2909</v>
      </c>
    </row>
    <row r="15" spans="2:4" ht="22.5" customHeight="1">
      <c r="B15" s="27" t="s">
        <v>2910</v>
      </c>
    </row>
    <row r="16" spans="2:4" ht="11.25" customHeight="1">
      <c r="B16" s="26" t="s">
        <v>2911</v>
      </c>
      <c r="D16" s="33"/>
    </row>
    <row r="17" spans="1:2" ht="33.75" customHeight="1">
      <c r="B17" s="27" t="s">
        <v>2912</v>
      </c>
    </row>
    <row r="18" spans="1:2" ht="33.75" customHeight="1">
      <c r="B18" s="27" t="s">
        <v>2913</v>
      </c>
    </row>
    <row r="19" spans="1:2" ht="11.25" customHeight="1">
      <c r="B19" s="27" t="s">
        <v>2914</v>
      </c>
    </row>
    <row r="20" spans="1:2" ht="33.75" customHeight="1">
      <c r="B20" s="27" t="s">
        <v>2915</v>
      </c>
    </row>
    <row r="21" spans="1:2" ht="11.25" customHeight="1">
      <c r="B21" s="26" t="s">
        <v>2916</v>
      </c>
    </row>
    <row r="22" spans="1:2" ht="11.25" customHeight="1">
      <c r="B22" s="27" t="s">
        <v>2917</v>
      </c>
    </row>
    <row r="24" spans="1:2" ht="22.5" customHeight="1">
      <c r="B24" s="83" t="s">
        <v>2918</v>
      </c>
    </row>
    <row r="26" spans="1:2" ht="11.25" customHeight="1">
      <c r="B26" s="26" t="s">
        <v>2919</v>
      </c>
    </row>
    <row r="27" spans="1:2" ht="22.5" customHeight="1">
      <c r="B27" s="82" t="s">
        <v>388</v>
      </c>
    </row>
    <row r="28" spans="1:2" ht="56.25" customHeight="1">
      <c r="B28" s="82" t="s">
        <v>2920</v>
      </c>
    </row>
    <row r="29" spans="1:2" ht="11.25" customHeight="1">
      <c r="B29" s="131" t="s">
        <v>2921</v>
      </c>
    </row>
    <row r="30" spans="1:2" ht="22.5" customHeight="1">
      <c r="B30" s="82" t="s">
        <v>2922</v>
      </c>
    </row>
    <row r="32" spans="1:2" ht="11.25" customHeight="1">
      <c r="A32" s="109"/>
      <c r="B32" s="110" t="s">
        <v>2923</v>
      </c>
    </row>
    <row r="33" spans="1:2" ht="14.25" customHeight="1">
      <c r="A33" s="111">
        <v>1</v>
      </c>
      <c r="B33" s="112" t="s">
        <v>2924</v>
      </c>
    </row>
    <row r="34" spans="1:2" ht="14.25" customHeight="1">
      <c r="A34" s="111">
        <v>2</v>
      </c>
      <c r="B34" s="112" t="s">
        <v>2925</v>
      </c>
    </row>
    <row r="35" spans="1:2" ht="11.25" customHeight="1">
      <c r="B35" s="110" t="s">
        <v>2926</v>
      </c>
    </row>
    <row r="36" spans="1:2" ht="11.25" customHeight="1">
      <c r="B36" s="112" t="s">
        <v>2927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1914</vt:i4>
      </vt:variant>
    </vt:vector>
  </HeadingPairs>
  <TitlesOfParts>
    <vt:vector size="200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Цапина Анна Юрьевна</cp:lastModifiedBy>
  <cp:lastPrinted>2013-08-29T08:11:20Z</cp:lastPrinted>
  <dcterms:created xsi:type="dcterms:W3CDTF">2004-05-21T07:18:45Z</dcterms:created>
  <dcterms:modified xsi:type="dcterms:W3CDTF">2024-01-22T08:16:38Z</dcterms:modified>
</cp:coreProperties>
</file>